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DIK-HK\II_353_D1-Rytířsko-Jamné\PDPS\Pracovni\F_SOUVISEJICI_DOKUMENTACE\F.4_SOUPIS_PRACI\export_DJ\VYBER_ZHOTOVITELE_UPRAVY\"/>
    </mc:Choice>
  </mc:AlternateContent>
  <xr:revisionPtr revIDLastSave="0" documentId="13_ncr:1_{AD1960AB-A23E-4225-8823-F05E30D8D33D}" xr6:coauthVersionLast="47" xr6:coauthVersionMax="47" xr10:uidLastSave="{00000000-0000-0000-0000-000000000000}"/>
  <bookViews>
    <workbookView xWindow="28680" yWindow="-120" windowWidth="29040" windowHeight="17520" activeTab="9" xr2:uid="{00000000-000D-0000-FFFF-FFFF00000000}"/>
  </bookViews>
  <sheets>
    <sheet name="Rekapitulace_bez_nazvu_SO" sheetId="38" r:id="rId1"/>
    <sheet name="Rekapitulace bez_cen" sheetId="39" r:id="rId2"/>
    <sheet name="SO 000" sheetId="2" r:id="rId3"/>
    <sheet name="SO001a" sheetId="3" r:id="rId4"/>
    <sheet name="SO001b" sheetId="4" r:id="rId5"/>
    <sheet name="SO002" sheetId="5" r:id="rId6"/>
    <sheet name="SO051" sheetId="6" r:id="rId7"/>
    <sheet name="SO052" sheetId="7" r:id="rId8"/>
    <sheet name="SO053" sheetId="8" r:id="rId9"/>
    <sheet name="SO101101.01" sheetId="9" r:id="rId10"/>
    <sheet name="SO101101.02" sheetId="10" r:id="rId11"/>
    <sheet name="SO101101.03" sheetId="11" r:id="rId12"/>
    <sheet name="SO101101.04" sheetId="12" r:id="rId13"/>
    <sheet name="SO101101.05" sheetId="13" r:id="rId14"/>
    <sheet name="SO102102.01" sheetId="14" r:id="rId15"/>
    <sheet name="SO102102.02" sheetId="15" r:id="rId16"/>
    <sheet name="SO102102.03" sheetId="16" r:id="rId17"/>
    <sheet name="SO102102.04" sheetId="17" r:id="rId18"/>
    <sheet name="SO102102.05" sheetId="18" r:id="rId19"/>
    <sheet name="SO103103.01" sheetId="19" r:id="rId20"/>
    <sheet name="SO103103.02" sheetId="20" r:id="rId21"/>
    <sheet name="SO104" sheetId="21" r:id="rId22"/>
    <sheet name="SO105" sheetId="22" r:id="rId23"/>
    <sheet name="SO108108.01" sheetId="23" r:id="rId24"/>
    <sheet name="SO108108.02" sheetId="24" r:id="rId25"/>
    <sheet name="SO141" sheetId="25" r:id="rId26"/>
    <sheet name="SO142" sheetId="26" r:id="rId27"/>
    <sheet name="SO301301.01" sheetId="27" r:id="rId28"/>
    <sheet name="SO301301.02" sheetId="28" r:id="rId29"/>
    <sheet name="SO402" sheetId="29" r:id="rId30"/>
    <sheet name="SO413" sheetId="30" r:id="rId31"/>
    <sheet name="SO601" sheetId="31" r:id="rId32"/>
    <sheet name="SO701" sheetId="32" r:id="rId33"/>
    <sheet name="SO801a" sheetId="33" r:id="rId34"/>
    <sheet name="SO801b" sheetId="34" r:id="rId35"/>
    <sheet name="SO801c" sheetId="35" r:id="rId36"/>
    <sheet name="SO901" sheetId="36" r:id="rId37"/>
  </sheets>
  <externalReferences>
    <externalReference r:id="rId38"/>
  </externalReferences>
  <calcPr calcId="181029"/>
</workbook>
</file>

<file path=xl/calcChain.xml><?xml version="1.0" encoding="utf-8"?>
<calcChain xmlns="http://schemas.openxmlformats.org/spreadsheetml/2006/main">
  <c r="C7" i="39" l="1"/>
  <c r="C6" i="39"/>
  <c r="D45" i="38"/>
  <c r="C45" i="38"/>
  <c r="E45" i="38" s="1"/>
  <c r="D44" i="38"/>
  <c r="E44" i="38" s="1"/>
  <c r="C44" i="38"/>
  <c r="D43" i="38"/>
  <c r="C43" i="38"/>
  <c r="E43" i="38" s="1"/>
  <c r="D42" i="38"/>
  <c r="C42" i="38"/>
  <c r="E42" i="38" s="1"/>
  <c r="D41" i="38"/>
  <c r="C41" i="38"/>
  <c r="E41" i="38" s="1"/>
  <c r="D40" i="38"/>
  <c r="E40" i="38" s="1"/>
  <c r="C40" i="38"/>
  <c r="D39" i="38"/>
  <c r="C39" i="38"/>
  <c r="E39" i="38" s="1"/>
  <c r="D38" i="38"/>
  <c r="C38" i="38"/>
  <c r="E38" i="38" s="1"/>
  <c r="D37" i="38"/>
  <c r="C37" i="38"/>
  <c r="E37" i="38" s="1"/>
  <c r="D36" i="38"/>
  <c r="E36" i="38" s="1"/>
  <c r="C36" i="38"/>
  <c r="D35" i="38"/>
  <c r="C35" i="38"/>
  <c r="E35" i="38" s="1"/>
  <c r="D34" i="38"/>
  <c r="C34" i="38"/>
  <c r="E34" i="38" s="1"/>
  <c r="D33" i="38"/>
  <c r="C33" i="38"/>
  <c r="E33" i="38" s="1"/>
  <c r="D32" i="38"/>
  <c r="E32" i="38" s="1"/>
  <c r="C32" i="38"/>
  <c r="D31" i="38"/>
  <c r="C31" i="38"/>
  <c r="E31" i="38" s="1"/>
  <c r="D30" i="38"/>
  <c r="C30" i="38"/>
  <c r="E30" i="38" s="1"/>
  <c r="D29" i="38"/>
  <c r="C29" i="38"/>
  <c r="E29" i="38" s="1"/>
  <c r="D28" i="38"/>
  <c r="E28" i="38" s="1"/>
  <c r="C28" i="38"/>
  <c r="D27" i="38"/>
  <c r="C27" i="38"/>
  <c r="E27" i="38" s="1"/>
  <c r="D26" i="38"/>
  <c r="C26" i="38"/>
  <c r="E26" i="38" s="1"/>
  <c r="D25" i="38"/>
  <c r="C25" i="38"/>
  <c r="E25" i="38" s="1"/>
  <c r="D24" i="38"/>
  <c r="E24" i="38" s="1"/>
  <c r="C24" i="38"/>
  <c r="D23" i="38"/>
  <c r="C23" i="38"/>
  <c r="E23" i="38" s="1"/>
  <c r="D22" i="38"/>
  <c r="C22" i="38"/>
  <c r="E22" i="38" s="1"/>
  <c r="D21" i="38"/>
  <c r="C21" i="38"/>
  <c r="E21" i="38" s="1"/>
  <c r="D20" i="38"/>
  <c r="E20" i="38" s="1"/>
  <c r="C20" i="38"/>
  <c r="D19" i="38"/>
  <c r="C19" i="38"/>
  <c r="E19" i="38" s="1"/>
  <c r="D18" i="38"/>
  <c r="C18" i="38"/>
  <c r="E18" i="38" s="1"/>
  <c r="D17" i="38"/>
  <c r="C17" i="38"/>
  <c r="E17" i="38" s="1"/>
  <c r="D16" i="38"/>
  <c r="E16" i="38" s="1"/>
  <c r="C16" i="38"/>
  <c r="D15" i="38"/>
  <c r="C15" i="38"/>
  <c r="E15" i="38" s="1"/>
  <c r="D14" i="38"/>
  <c r="C14" i="38"/>
  <c r="E14" i="38" s="1"/>
  <c r="D13" i="38"/>
  <c r="C13" i="38"/>
  <c r="E13" i="38" s="1"/>
  <c r="D12" i="38"/>
  <c r="E12" i="38" s="1"/>
  <c r="C12" i="38"/>
  <c r="D11" i="38"/>
  <c r="C11" i="38"/>
  <c r="E11" i="38" s="1"/>
  <c r="D10" i="38"/>
  <c r="C10" i="38"/>
  <c r="C6" i="38" s="1"/>
  <c r="E10" i="38" l="1"/>
  <c r="C7" i="38" s="1"/>
  <c r="O97" i="36" l="1"/>
  <c r="I97" i="36"/>
  <c r="I81" i="36"/>
  <c r="I80" i="36" s="1"/>
  <c r="I75" i="36"/>
  <c r="I74" i="36" s="1"/>
  <c r="I69" i="36"/>
  <c r="O69" i="36" s="1"/>
  <c r="O64" i="36"/>
  <c r="I64" i="36"/>
  <c r="O59" i="36"/>
  <c r="I59" i="36"/>
  <c r="I52" i="36"/>
  <c r="O52" i="36" s="1"/>
  <c r="O36" i="36"/>
  <c r="I36" i="36"/>
  <c r="O20" i="36"/>
  <c r="I20" i="36"/>
  <c r="I9" i="36"/>
  <c r="I8" i="36" s="1"/>
  <c r="I3" i="36" s="1"/>
  <c r="O25" i="35"/>
  <c r="I25" i="35"/>
  <c r="I21" i="35"/>
  <c r="O21" i="35" s="1"/>
  <c r="O17" i="35"/>
  <c r="I17" i="35"/>
  <c r="O13" i="35"/>
  <c r="I13" i="35"/>
  <c r="I9" i="35"/>
  <c r="I8" i="35" s="1"/>
  <c r="I3" i="35" s="1"/>
  <c r="O80" i="34"/>
  <c r="I80" i="34"/>
  <c r="I54" i="34"/>
  <c r="O54" i="34" s="1"/>
  <c r="O49" i="34"/>
  <c r="I49" i="34"/>
  <c r="O31" i="34"/>
  <c r="I31" i="34"/>
  <c r="I9" i="34"/>
  <c r="I8" i="34" s="1"/>
  <c r="I3" i="34" s="1"/>
  <c r="O76" i="33"/>
  <c r="I76" i="33"/>
  <c r="I70" i="33"/>
  <c r="O70" i="33" s="1"/>
  <c r="O65" i="33"/>
  <c r="I65" i="33"/>
  <c r="O58" i="33"/>
  <c r="I58" i="33"/>
  <c r="I25" i="33"/>
  <c r="O25" i="33" s="1"/>
  <c r="O14" i="33"/>
  <c r="I14" i="33"/>
  <c r="I8" i="33" s="1"/>
  <c r="I3" i="33" s="1"/>
  <c r="O9" i="33"/>
  <c r="I9" i="33"/>
  <c r="O341" i="32"/>
  <c r="I341" i="32"/>
  <c r="O337" i="32"/>
  <c r="I337" i="32"/>
  <c r="I333" i="32"/>
  <c r="O333" i="32" s="1"/>
  <c r="O329" i="32"/>
  <c r="I329" i="32"/>
  <c r="O325" i="32"/>
  <c r="I325" i="32"/>
  <c r="I321" i="32"/>
  <c r="O321" i="32" s="1"/>
  <c r="I298" i="32"/>
  <c r="I297" i="32" s="1"/>
  <c r="I208" i="32"/>
  <c r="O208" i="32" s="1"/>
  <c r="O186" i="32"/>
  <c r="I186" i="32"/>
  <c r="O165" i="32"/>
  <c r="I165" i="32"/>
  <c r="I164" i="32" s="1"/>
  <c r="O142" i="32"/>
  <c r="I142" i="32"/>
  <c r="I120" i="32"/>
  <c r="O120" i="32" s="1"/>
  <c r="O98" i="32"/>
  <c r="I98" i="32"/>
  <c r="I76" i="32"/>
  <c r="I75" i="32" s="1"/>
  <c r="O70" i="32"/>
  <c r="I70" i="32"/>
  <c r="I48" i="32"/>
  <c r="I8" i="32" s="1"/>
  <c r="O9" i="32"/>
  <c r="I9" i="32"/>
  <c r="I386" i="31"/>
  <c r="O386" i="31" s="1"/>
  <c r="O382" i="31"/>
  <c r="I382" i="31"/>
  <c r="O378" i="31"/>
  <c r="I378" i="31"/>
  <c r="I374" i="31"/>
  <c r="O374" i="31" s="1"/>
  <c r="O370" i="31"/>
  <c r="I370" i="31"/>
  <c r="O366" i="31"/>
  <c r="I366" i="31"/>
  <c r="I365" i="31" s="1"/>
  <c r="I340" i="31"/>
  <c r="O340" i="31" s="1"/>
  <c r="I185" i="31"/>
  <c r="O235" i="31"/>
  <c r="I235" i="31"/>
  <c r="I210" i="31"/>
  <c r="O210" i="31" s="1"/>
  <c r="O186" i="31"/>
  <c r="I186" i="31"/>
  <c r="O160" i="31"/>
  <c r="I160" i="31"/>
  <c r="I135" i="31"/>
  <c r="I84" i="31" s="1"/>
  <c r="O110" i="31"/>
  <c r="I110" i="31"/>
  <c r="I85" i="31"/>
  <c r="O85" i="31" s="1"/>
  <c r="O79" i="31"/>
  <c r="I79" i="31"/>
  <c r="O54" i="31"/>
  <c r="I54" i="31"/>
  <c r="I9" i="31"/>
  <c r="I8" i="31" s="1"/>
  <c r="O208" i="30"/>
  <c r="I208" i="30"/>
  <c r="I177" i="30"/>
  <c r="O177" i="30" s="1"/>
  <c r="O171" i="30"/>
  <c r="I171" i="30"/>
  <c r="O158" i="30"/>
  <c r="I158" i="30"/>
  <c r="I153" i="30"/>
  <c r="O153" i="30" s="1"/>
  <c r="O146" i="30"/>
  <c r="I146" i="30"/>
  <c r="I145" i="30" s="1"/>
  <c r="I132" i="30"/>
  <c r="O132" i="30" s="1"/>
  <c r="O119" i="30"/>
  <c r="I119" i="30"/>
  <c r="I106" i="30"/>
  <c r="I105" i="30" s="1"/>
  <c r="I95" i="30"/>
  <c r="O95" i="30" s="1"/>
  <c r="O90" i="30"/>
  <c r="I90" i="30"/>
  <c r="I89" i="30" s="1"/>
  <c r="I83" i="30"/>
  <c r="O83" i="30" s="1"/>
  <c r="O77" i="30"/>
  <c r="I77" i="30"/>
  <c r="I55" i="30"/>
  <c r="O55" i="30" s="1"/>
  <c r="O50" i="30"/>
  <c r="I50" i="30"/>
  <c r="I35" i="30"/>
  <c r="O35" i="30" s="1"/>
  <c r="O27" i="30"/>
  <c r="I27" i="30"/>
  <c r="I20" i="30"/>
  <c r="O20" i="30" s="1"/>
  <c r="O15" i="30"/>
  <c r="I15" i="30"/>
  <c r="I9" i="30"/>
  <c r="I8" i="30" s="1"/>
  <c r="I48" i="29"/>
  <c r="O48" i="29" s="1"/>
  <c r="O43" i="29"/>
  <c r="I43" i="29"/>
  <c r="I42" i="29" s="1"/>
  <c r="I37" i="29"/>
  <c r="I29" i="29" s="1"/>
  <c r="O30" i="29"/>
  <c r="I30" i="29"/>
  <c r="O22" i="29"/>
  <c r="I22" i="29"/>
  <c r="I15" i="29"/>
  <c r="I8" i="29" s="1"/>
  <c r="O9" i="29"/>
  <c r="I9" i="29"/>
  <c r="O96" i="28"/>
  <c r="I96" i="28"/>
  <c r="I91" i="28"/>
  <c r="O91" i="28" s="1"/>
  <c r="O82" i="28"/>
  <c r="I82" i="28"/>
  <c r="I73" i="28"/>
  <c r="I72" i="28" s="1"/>
  <c r="I53" i="28"/>
  <c r="O63" i="28"/>
  <c r="I63" i="28"/>
  <c r="I54" i="28"/>
  <c r="O54" i="28" s="1"/>
  <c r="I42" i="28"/>
  <c r="O42" i="28" s="1"/>
  <c r="O33" i="28"/>
  <c r="I33" i="28"/>
  <c r="I24" i="28"/>
  <c r="O24" i="28" s="1"/>
  <c r="O15" i="28"/>
  <c r="I15" i="28"/>
  <c r="O10" i="28"/>
  <c r="I10" i="28"/>
  <c r="I9" i="28" s="1"/>
  <c r="I3" i="28" s="1"/>
  <c r="I187" i="27"/>
  <c r="O187" i="27" s="1"/>
  <c r="O170" i="27"/>
  <c r="I170" i="27"/>
  <c r="I165" i="27"/>
  <c r="O165" i="27" s="1"/>
  <c r="O147" i="27"/>
  <c r="I147" i="27"/>
  <c r="O130" i="27"/>
  <c r="I130" i="27"/>
  <c r="I129" i="27" s="1"/>
  <c r="I93" i="27"/>
  <c r="O111" i="27"/>
  <c r="I111" i="27"/>
  <c r="O94" i="27"/>
  <c r="I94" i="27"/>
  <c r="I71" i="27"/>
  <c r="O71" i="27" s="1"/>
  <c r="O62" i="27"/>
  <c r="I62" i="27"/>
  <c r="O44" i="27"/>
  <c r="I44" i="27"/>
  <c r="O32" i="27"/>
  <c r="I32" i="27"/>
  <c r="I15" i="27"/>
  <c r="O15" i="27" s="1"/>
  <c r="O10" i="27"/>
  <c r="I10" i="27"/>
  <c r="I9" i="27" s="1"/>
  <c r="I3" i="27" s="1"/>
  <c r="I8" i="26"/>
  <c r="I3" i="26" s="1"/>
  <c r="O1203" i="26"/>
  <c r="I1203" i="26"/>
  <c r="O1034" i="26"/>
  <c r="I1034" i="26"/>
  <c r="O845" i="26"/>
  <c r="I845" i="26"/>
  <c r="I375" i="26"/>
  <c r="O375" i="26" s="1"/>
  <c r="O356" i="26"/>
  <c r="I356" i="26"/>
  <c r="I321" i="26"/>
  <c r="O321" i="26" s="1"/>
  <c r="O273" i="26"/>
  <c r="I273" i="26"/>
  <c r="O253" i="26"/>
  <c r="I253" i="26"/>
  <c r="O248" i="26"/>
  <c r="I248" i="26"/>
  <c r="I232" i="26"/>
  <c r="O232" i="26" s="1"/>
  <c r="O139" i="26"/>
  <c r="I139" i="26"/>
  <c r="I134" i="26"/>
  <c r="O134" i="26" s="1"/>
  <c r="O118" i="26"/>
  <c r="I118" i="26"/>
  <c r="O102" i="26"/>
  <c r="I102" i="26"/>
  <c r="O9" i="26"/>
  <c r="I9" i="26"/>
  <c r="O108" i="25"/>
  <c r="I108" i="25"/>
  <c r="I102" i="25"/>
  <c r="O102" i="25" s="1"/>
  <c r="O96" i="25"/>
  <c r="I96" i="25"/>
  <c r="O91" i="25"/>
  <c r="I91" i="25"/>
  <c r="O86" i="25"/>
  <c r="I86" i="25"/>
  <c r="I81" i="25"/>
  <c r="O81" i="25" s="1"/>
  <c r="O76" i="25"/>
  <c r="I76" i="25"/>
  <c r="I71" i="25"/>
  <c r="O71" i="25" s="1"/>
  <c r="O66" i="25"/>
  <c r="I66" i="25"/>
  <c r="O61" i="25"/>
  <c r="I61" i="25"/>
  <c r="O56" i="25"/>
  <c r="I56" i="25"/>
  <c r="I51" i="25"/>
  <c r="O51" i="25" s="1"/>
  <c r="O47" i="25"/>
  <c r="I47" i="25"/>
  <c r="I28" i="25"/>
  <c r="I8" i="25" s="1"/>
  <c r="I3" i="25" s="1"/>
  <c r="O9" i="25"/>
  <c r="I9" i="25"/>
  <c r="O110" i="24"/>
  <c r="I110" i="24"/>
  <c r="I105" i="24"/>
  <c r="I81" i="24" s="1"/>
  <c r="O82" i="24"/>
  <c r="I82" i="24"/>
  <c r="I26" i="24"/>
  <c r="O68" i="24"/>
  <c r="I68" i="24"/>
  <c r="O62" i="24"/>
  <c r="I62" i="24"/>
  <c r="I45" i="24"/>
  <c r="O45" i="24" s="1"/>
  <c r="O27" i="24"/>
  <c r="I27" i="24"/>
  <c r="O18" i="24"/>
  <c r="I18" i="24"/>
  <c r="I10" i="24"/>
  <c r="I9" i="24" s="1"/>
  <c r="I3" i="24" s="1"/>
  <c r="I124" i="23"/>
  <c r="O124" i="23" s="1"/>
  <c r="O117" i="23"/>
  <c r="I117" i="23"/>
  <c r="I108" i="23"/>
  <c r="I107" i="23" s="1"/>
  <c r="I95" i="23"/>
  <c r="O95" i="23" s="1"/>
  <c r="O83" i="23"/>
  <c r="I83" i="23"/>
  <c r="O72" i="23"/>
  <c r="I72" i="23"/>
  <c r="I66" i="23"/>
  <c r="O66" i="23" s="1"/>
  <c r="O60" i="23"/>
  <c r="I60" i="23"/>
  <c r="O45" i="23"/>
  <c r="I45" i="23"/>
  <c r="I33" i="23"/>
  <c r="I32" i="23" s="1"/>
  <c r="I9" i="23"/>
  <c r="I3" i="23" s="1"/>
  <c r="O26" i="23"/>
  <c r="I26" i="23"/>
  <c r="I18" i="23"/>
  <c r="O18" i="23" s="1"/>
  <c r="O10" i="23"/>
  <c r="I10" i="23"/>
  <c r="O102" i="22"/>
  <c r="I102" i="22"/>
  <c r="I94" i="22"/>
  <c r="I85" i="22" s="1"/>
  <c r="O86" i="22"/>
  <c r="I86" i="22"/>
  <c r="I77" i="22"/>
  <c r="I76" i="22" s="1"/>
  <c r="I71" i="22"/>
  <c r="O71" i="22" s="1"/>
  <c r="O64" i="22"/>
  <c r="I64" i="22"/>
  <c r="I59" i="22"/>
  <c r="O59" i="22" s="1"/>
  <c r="O53" i="22"/>
  <c r="I53" i="22"/>
  <c r="I48" i="22"/>
  <c r="O48" i="22" s="1"/>
  <c r="O43" i="22"/>
  <c r="I43" i="22"/>
  <c r="I35" i="22"/>
  <c r="O35" i="22" s="1"/>
  <c r="O28" i="22"/>
  <c r="I28" i="22"/>
  <c r="I20" i="22"/>
  <c r="O20" i="22" s="1"/>
  <c r="O14" i="22"/>
  <c r="I14" i="22"/>
  <c r="I9" i="22"/>
  <c r="O9" i="22" s="1"/>
  <c r="I49" i="21"/>
  <c r="I41" i="21" s="1"/>
  <c r="O42" i="21"/>
  <c r="I42" i="21"/>
  <c r="I26" i="21"/>
  <c r="O37" i="21"/>
  <c r="I37" i="21"/>
  <c r="O32" i="21"/>
  <c r="I32" i="21"/>
  <c r="I27" i="21"/>
  <c r="O27" i="21" s="1"/>
  <c r="I21" i="21"/>
  <c r="O21" i="21" s="1"/>
  <c r="O15" i="21"/>
  <c r="I15" i="21"/>
  <c r="I9" i="21"/>
  <c r="I8" i="21" s="1"/>
  <c r="I3" i="21" s="1"/>
  <c r="I50" i="20"/>
  <c r="I51" i="20"/>
  <c r="O51" i="20" s="1"/>
  <c r="O45" i="20"/>
  <c r="I45" i="20"/>
  <c r="O35" i="20"/>
  <c r="I35" i="20"/>
  <c r="I30" i="20"/>
  <c r="O30" i="20" s="1"/>
  <c r="O25" i="20"/>
  <c r="I25" i="20"/>
  <c r="O15" i="20"/>
  <c r="I15" i="20"/>
  <c r="I10" i="20"/>
  <c r="O10" i="20" s="1"/>
  <c r="O84" i="19"/>
  <c r="I84" i="19"/>
  <c r="I76" i="19"/>
  <c r="O76" i="19" s="1"/>
  <c r="O68" i="19"/>
  <c r="I68" i="19"/>
  <c r="O62" i="19"/>
  <c r="I62" i="19"/>
  <c r="I57" i="19"/>
  <c r="O57" i="19" s="1"/>
  <c r="O52" i="19"/>
  <c r="I52" i="19"/>
  <c r="O46" i="19"/>
  <c r="I46" i="19"/>
  <c r="I36" i="19"/>
  <c r="O36" i="19" s="1"/>
  <c r="O28" i="19"/>
  <c r="I28" i="19"/>
  <c r="I27" i="19" s="1"/>
  <c r="I22" i="19"/>
  <c r="O22" i="19" s="1"/>
  <c r="O16" i="19"/>
  <c r="I16" i="19"/>
  <c r="I10" i="19"/>
  <c r="I9" i="19" s="1"/>
  <c r="I3" i="19" s="1"/>
  <c r="I52" i="18"/>
  <c r="O52" i="18" s="1"/>
  <c r="O42" i="18"/>
  <c r="I42" i="18"/>
  <c r="I41" i="18" s="1"/>
  <c r="I35" i="18"/>
  <c r="I34" i="18" s="1"/>
  <c r="I28" i="18"/>
  <c r="O28" i="18" s="1"/>
  <c r="O22" i="18"/>
  <c r="I22" i="18"/>
  <c r="I16" i="18"/>
  <c r="O16" i="18" s="1"/>
  <c r="O10" i="18"/>
  <c r="I10" i="18"/>
  <c r="I9" i="18" s="1"/>
  <c r="I133" i="17"/>
  <c r="O134" i="17"/>
  <c r="I134" i="17"/>
  <c r="O121" i="17"/>
  <c r="I121" i="17"/>
  <c r="I114" i="17"/>
  <c r="O114" i="17" s="1"/>
  <c r="O105" i="17"/>
  <c r="I105" i="17"/>
  <c r="O93" i="17"/>
  <c r="I93" i="17"/>
  <c r="I88" i="17"/>
  <c r="O88" i="17" s="1"/>
  <c r="I75" i="17"/>
  <c r="I62" i="17" s="1"/>
  <c r="O63" i="17"/>
  <c r="I63" i="17"/>
  <c r="I9" i="17"/>
  <c r="O52" i="17"/>
  <c r="I52" i="17"/>
  <c r="O43" i="17"/>
  <c r="I43" i="17"/>
  <c r="I31" i="17"/>
  <c r="O31" i="17" s="1"/>
  <c r="O22" i="17"/>
  <c r="I22" i="17"/>
  <c r="O10" i="17"/>
  <c r="I10" i="17"/>
  <c r="I172" i="16"/>
  <c r="O222" i="16"/>
  <c r="I222" i="16"/>
  <c r="O215" i="16"/>
  <c r="I215" i="16"/>
  <c r="I207" i="16"/>
  <c r="O207" i="16" s="1"/>
  <c r="O187" i="16"/>
  <c r="I187" i="16"/>
  <c r="O173" i="16"/>
  <c r="I173" i="16"/>
  <c r="I161" i="16"/>
  <c r="O161" i="16" s="1"/>
  <c r="O153" i="16"/>
  <c r="I153" i="16"/>
  <c r="O148" i="16"/>
  <c r="I148" i="16"/>
  <c r="O136" i="16"/>
  <c r="I136" i="16"/>
  <c r="I129" i="16"/>
  <c r="O129" i="16" s="1"/>
  <c r="O116" i="16"/>
  <c r="I116" i="16"/>
  <c r="I110" i="16"/>
  <c r="O110" i="16" s="1"/>
  <c r="O102" i="16"/>
  <c r="I102" i="16"/>
  <c r="I81" i="16"/>
  <c r="O81" i="16" s="1"/>
  <c r="O62" i="16"/>
  <c r="I62" i="16"/>
  <c r="I56" i="16"/>
  <c r="O56" i="16" s="1"/>
  <c r="I40" i="16"/>
  <c r="O40" i="16" s="1"/>
  <c r="O25" i="16"/>
  <c r="I25" i="16"/>
  <c r="O10" i="16"/>
  <c r="I10" i="16"/>
  <c r="I9" i="16" s="1"/>
  <c r="I438" i="15"/>
  <c r="O439" i="15"/>
  <c r="I439" i="15"/>
  <c r="I9" i="15"/>
  <c r="I3" i="15" s="1"/>
  <c r="O432" i="15"/>
  <c r="I432" i="15"/>
  <c r="I402" i="15"/>
  <c r="O402" i="15" s="1"/>
  <c r="O365" i="15"/>
  <c r="I365" i="15"/>
  <c r="I211" i="15"/>
  <c r="O211" i="15" s="1"/>
  <c r="O30" i="15"/>
  <c r="I30" i="15"/>
  <c r="I10" i="15"/>
  <c r="O10" i="15" s="1"/>
  <c r="I302" i="14"/>
  <c r="O302" i="14" s="1"/>
  <c r="O296" i="14"/>
  <c r="I296" i="14"/>
  <c r="I290" i="14"/>
  <c r="O290" i="14" s="1"/>
  <c r="O261" i="14"/>
  <c r="I261" i="14"/>
  <c r="I237" i="14"/>
  <c r="O237" i="14" s="1"/>
  <c r="I218" i="14"/>
  <c r="O218" i="14" s="1"/>
  <c r="O200" i="14"/>
  <c r="I200" i="14"/>
  <c r="O182" i="14"/>
  <c r="I182" i="14"/>
  <c r="I177" i="14"/>
  <c r="O177" i="14" s="1"/>
  <c r="O172" i="14"/>
  <c r="I172" i="14"/>
  <c r="O93" i="14"/>
  <c r="I93" i="14"/>
  <c r="I75" i="14"/>
  <c r="I74" i="14" s="1"/>
  <c r="I59" i="14"/>
  <c r="O67" i="14"/>
  <c r="I67" i="14"/>
  <c r="I60" i="14"/>
  <c r="O60" i="14" s="1"/>
  <c r="O54" i="14"/>
  <c r="I54" i="14"/>
  <c r="O32" i="14"/>
  <c r="I32" i="14"/>
  <c r="I10" i="14"/>
  <c r="I9" i="14" s="1"/>
  <c r="I36" i="13"/>
  <c r="O37" i="13"/>
  <c r="I37" i="13"/>
  <c r="I30" i="13"/>
  <c r="O31" i="13"/>
  <c r="I31" i="13"/>
  <c r="O25" i="13"/>
  <c r="I25" i="13"/>
  <c r="I20" i="13"/>
  <c r="O20" i="13" s="1"/>
  <c r="O15" i="13"/>
  <c r="I15" i="13"/>
  <c r="O10" i="13"/>
  <c r="I10" i="13"/>
  <c r="I9" i="13" s="1"/>
  <c r="I3" i="13" s="1"/>
  <c r="O667" i="12"/>
  <c r="I667" i="12"/>
  <c r="O635" i="12"/>
  <c r="I635" i="12"/>
  <c r="I628" i="12"/>
  <c r="O628" i="12" s="1"/>
  <c r="O620" i="12"/>
  <c r="I620" i="12"/>
  <c r="O612" i="12"/>
  <c r="I612" i="12"/>
  <c r="I603" i="12"/>
  <c r="O603" i="12" s="1"/>
  <c r="O593" i="12"/>
  <c r="I593" i="12"/>
  <c r="O587" i="12"/>
  <c r="I587" i="12"/>
  <c r="I579" i="12"/>
  <c r="O579" i="12" s="1"/>
  <c r="O574" i="12"/>
  <c r="I574" i="12"/>
  <c r="I527" i="12" s="1"/>
  <c r="O569" i="12"/>
  <c r="I569" i="12"/>
  <c r="I564" i="12"/>
  <c r="O564" i="12" s="1"/>
  <c r="O559" i="12"/>
  <c r="I559" i="12"/>
  <c r="O528" i="12"/>
  <c r="I528" i="12"/>
  <c r="I510" i="12"/>
  <c r="O510" i="12" s="1"/>
  <c r="O497" i="12"/>
  <c r="I497" i="12"/>
  <c r="I487" i="12"/>
  <c r="O487" i="12" s="1"/>
  <c r="O472" i="12"/>
  <c r="I472" i="12"/>
  <c r="I440" i="12"/>
  <c r="O440" i="12" s="1"/>
  <c r="O407" i="12"/>
  <c r="I407" i="12"/>
  <c r="I401" i="12"/>
  <c r="O401" i="12" s="1"/>
  <c r="O393" i="12"/>
  <c r="I393" i="12"/>
  <c r="I383" i="12"/>
  <c r="O383" i="12" s="1"/>
  <c r="O376" i="12"/>
  <c r="I376" i="12"/>
  <c r="I371" i="12"/>
  <c r="O371" i="12" s="1"/>
  <c r="O366" i="12"/>
  <c r="I366" i="12"/>
  <c r="I351" i="12"/>
  <c r="O351" i="12" s="1"/>
  <c r="O341" i="12"/>
  <c r="I341" i="12"/>
  <c r="I340" i="12" s="1"/>
  <c r="I333" i="12"/>
  <c r="I332" i="12" s="1"/>
  <c r="I294" i="12"/>
  <c r="O294" i="12" s="1"/>
  <c r="O256" i="12"/>
  <c r="I256" i="12"/>
  <c r="I240" i="12"/>
  <c r="O240" i="12" s="1"/>
  <c r="O208" i="12"/>
  <c r="I208" i="12"/>
  <c r="I193" i="12"/>
  <c r="O193" i="12" s="1"/>
  <c r="O174" i="12"/>
  <c r="I174" i="12"/>
  <c r="I113" i="12"/>
  <c r="O113" i="12" s="1"/>
  <c r="O80" i="12"/>
  <c r="I80" i="12"/>
  <c r="I48" i="12"/>
  <c r="O48" i="12" s="1"/>
  <c r="O10" i="12"/>
  <c r="I10" i="12"/>
  <c r="I9" i="12" s="1"/>
  <c r="I3" i="12" s="1"/>
  <c r="O428" i="11"/>
  <c r="I428" i="11"/>
  <c r="I421" i="11"/>
  <c r="I420" i="11" s="1"/>
  <c r="I388" i="11"/>
  <c r="O388" i="11" s="1"/>
  <c r="O379" i="11"/>
  <c r="I379" i="11"/>
  <c r="O348" i="11"/>
  <c r="I348" i="11"/>
  <c r="I299" i="11"/>
  <c r="O299" i="11" s="1"/>
  <c r="O294" i="11"/>
  <c r="I294" i="11"/>
  <c r="O247" i="11"/>
  <c r="I247" i="11"/>
  <c r="I242" i="11"/>
  <c r="I241" i="11" s="1"/>
  <c r="I211" i="11"/>
  <c r="O212" i="11"/>
  <c r="I212" i="11"/>
  <c r="I198" i="11"/>
  <c r="O198" i="11" s="1"/>
  <c r="O180" i="11"/>
  <c r="I180" i="11"/>
  <c r="O170" i="11"/>
  <c r="I170" i="11"/>
  <c r="I150" i="11"/>
  <c r="O150" i="11" s="1"/>
  <c r="O132" i="11"/>
  <c r="I132" i="11"/>
  <c r="I118" i="11"/>
  <c r="O118" i="11" s="1"/>
  <c r="I92" i="11"/>
  <c r="O92" i="11" s="1"/>
  <c r="O74" i="11"/>
  <c r="I74" i="11"/>
  <c r="O48" i="11"/>
  <c r="I48" i="11"/>
  <c r="I28" i="11"/>
  <c r="O28" i="11" s="1"/>
  <c r="O10" i="11"/>
  <c r="I10" i="11"/>
  <c r="I9" i="11" s="1"/>
  <c r="I824" i="10"/>
  <c r="I654" i="10" s="1"/>
  <c r="O664" i="10"/>
  <c r="I664" i="10"/>
  <c r="O655" i="10"/>
  <c r="I655" i="10"/>
  <c r="I642" i="10"/>
  <c r="O642" i="10" s="1"/>
  <c r="O503" i="10"/>
  <c r="I503" i="10"/>
  <c r="O473" i="10"/>
  <c r="I473" i="10"/>
  <c r="O431" i="10"/>
  <c r="I431" i="10"/>
  <c r="I305" i="10"/>
  <c r="O305" i="10" s="1"/>
  <c r="O166" i="10"/>
  <c r="I166" i="10"/>
  <c r="I40" i="10"/>
  <c r="O40" i="10" s="1"/>
  <c r="O10" i="10"/>
  <c r="I10" i="10"/>
  <c r="I9" i="10" s="1"/>
  <c r="I3" i="10" s="1"/>
  <c r="O905" i="9"/>
  <c r="I905" i="9"/>
  <c r="I882" i="9"/>
  <c r="O882" i="9" s="1"/>
  <c r="O857" i="9"/>
  <c r="I857" i="9"/>
  <c r="I833" i="9"/>
  <c r="O833" i="9" s="1"/>
  <c r="O809" i="9"/>
  <c r="I809" i="9"/>
  <c r="O799" i="9"/>
  <c r="I799" i="9"/>
  <c r="I791" i="9" s="1"/>
  <c r="O792" i="9"/>
  <c r="I792" i="9"/>
  <c r="O776" i="9"/>
  <c r="I776" i="9"/>
  <c r="I775" i="9" s="1"/>
  <c r="I770" i="9"/>
  <c r="O770" i="9" s="1"/>
  <c r="I296" i="9"/>
  <c r="I763" i="9"/>
  <c r="O763" i="9" s="1"/>
  <c r="I717" i="9"/>
  <c r="O717" i="9" s="1"/>
  <c r="O664" i="9"/>
  <c r="I664" i="9"/>
  <c r="O610" i="9"/>
  <c r="I610" i="9"/>
  <c r="I604" i="9"/>
  <c r="O604" i="9" s="1"/>
  <c r="I597" i="9"/>
  <c r="O597" i="9" s="1"/>
  <c r="I590" i="9"/>
  <c r="O590" i="9" s="1"/>
  <c r="I517" i="9"/>
  <c r="O517" i="9" s="1"/>
  <c r="O365" i="9"/>
  <c r="I365" i="9"/>
  <c r="O297" i="9"/>
  <c r="I297" i="9"/>
  <c r="I281" i="9"/>
  <c r="O281" i="9" s="1"/>
  <c r="O271" i="9"/>
  <c r="I271" i="9"/>
  <c r="I270" i="9" s="1"/>
  <c r="I230" i="9"/>
  <c r="I220" i="9" s="1"/>
  <c r="O221" i="9"/>
  <c r="I221" i="9"/>
  <c r="O213" i="9"/>
  <c r="I213" i="9"/>
  <c r="I198" i="9"/>
  <c r="O198" i="9" s="1"/>
  <c r="O119" i="9"/>
  <c r="I119" i="9"/>
  <c r="O104" i="9"/>
  <c r="I104" i="9"/>
  <c r="O89" i="9"/>
  <c r="I89" i="9"/>
  <c r="I10" i="9"/>
  <c r="O10" i="9" s="1"/>
  <c r="I24" i="8"/>
  <c r="O24" i="8" s="1"/>
  <c r="O19" i="8"/>
  <c r="I19" i="8"/>
  <c r="O14" i="8"/>
  <c r="I14" i="8"/>
  <c r="O9" i="8"/>
  <c r="I9" i="8"/>
  <c r="I8" i="8" s="1"/>
  <c r="I3" i="8" s="1"/>
  <c r="O24" i="7"/>
  <c r="I24" i="7"/>
  <c r="I19" i="7"/>
  <c r="I8" i="7" s="1"/>
  <c r="I3" i="7" s="1"/>
  <c r="O14" i="7"/>
  <c r="I14" i="7"/>
  <c r="O9" i="7"/>
  <c r="I9" i="7"/>
  <c r="I49" i="6"/>
  <c r="O49" i="6" s="1"/>
  <c r="O44" i="6"/>
  <c r="I44" i="6"/>
  <c r="I39" i="6"/>
  <c r="O39" i="6" s="1"/>
  <c r="O34" i="6"/>
  <c r="I34" i="6"/>
  <c r="O29" i="6"/>
  <c r="I29" i="6"/>
  <c r="O9" i="6"/>
  <c r="I9" i="6"/>
  <c r="I8" i="6" s="1"/>
  <c r="I3" i="6" s="1"/>
  <c r="O33" i="5"/>
  <c r="I33" i="5"/>
  <c r="I25" i="5"/>
  <c r="O25" i="5" s="1"/>
  <c r="O17" i="5"/>
  <c r="I17" i="5"/>
  <c r="O9" i="5"/>
  <c r="I9" i="5"/>
  <c r="I50" i="4"/>
  <c r="I49" i="4" s="1"/>
  <c r="I37" i="4"/>
  <c r="O37" i="4" s="1"/>
  <c r="I27" i="4"/>
  <c r="O27" i="4" s="1"/>
  <c r="I9" i="4"/>
  <c r="O9" i="4" s="1"/>
  <c r="O90" i="3"/>
  <c r="I90" i="3"/>
  <c r="O84" i="3"/>
  <c r="I84" i="3"/>
  <c r="I79" i="3"/>
  <c r="O79" i="3" s="1"/>
  <c r="I73" i="3"/>
  <c r="O73" i="3" s="1"/>
  <c r="I68" i="3"/>
  <c r="O68" i="3" s="1"/>
  <c r="O61" i="3"/>
  <c r="I61" i="3"/>
  <c r="I52" i="3"/>
  <c r="O52" i="3" s="1"/>
  <c r="O47" i="3"/>
  <c r="I47" i="3"/>
  <c r="I31" i="3"/>
  <c r="O31" i="3" s="1"/>
  <c r="O26" i="3"/>
  <c r="I26" i="3"/>
  <c r="O20" i="3"/>
  <c r="I20" i="3"/>
  <c r="O15" i="3"/>
  <c r="I15" i="3"/>
  <c r="I9" i="3"/>
  <c r="I8" i="3" s="1"/>
  <c r="I172" i="2"/>
  <c r="O172" i="2" s="1"/>
  <c r="O166" i="2"/>
  <c r="I166" i="2"/>
  <c r="O156" i="2"/>
  <c r="I156" i="2"/>
  <c r="I155" i="2" s="1"/>
  <c r="O151" i="2"/>
  <c r="I151" i="2"/>
  <c r="O146" i="2"/>
  <c r="I146" i="2"/>
  <c r="I142" i="2"/>
  <c r="I141" i="2" s="1"/>
  <c r="I136" i="2"/>
  <c r="O137" i="2"/>
  <c r="I137" i="2"/>
  <c r="I132" i="2"/>
  <c r="O132" i="2" s="1"/>
  <c r="O128" i="2"/>
  <c r="I128" i="2"/>
  <c r="O124" i="2"/>
  <c r="I124" i="2"/>
  <c r="I120" i="2"/>
  <c r="I119" i="2" s="1"/>
  <c r="I8" i="2"/>
  <c r="O115" i="2"/>
  <c r="I115" i="2"/>
  <c r="O111" i="2"/>
  <c r="I111" i="2"/>
  <c r="O107" i="2"/>
  <c r="I107" i="2"/>
  <c r="I103" i="2"/>
  <c r="O103" i="2" s="1"/>
  <c r="O99" i="2"/>
  <c r="I99" i="2"/>
  <c r="I95" i="2"/>
  <c r="O95" i="2" s="1"/>
  <c r="O91" i="2"/>
  <c r="I91" i="2"/>
  <c r="O87" i="2"/>
  <c r="I87" i="2"/>
  <c r="O83" i="2"/>
  <c r="I83" i="2"/>
  <c r="I79" i="2"/>
  <c r="O79" i="2" s="1"/>
  <c r="O75" i="2"/>
  <c r="I75" i="2"/>
  <c r="I71" i="2"/>
  <c r="O71" i="2" s="1"/>
  <c r="O67" i="2"/>
  <c r="I67" i="2"/>
  <c r="O63" i="2"/>
  <c r="I63" i="2"/>
  <c r="O59" i="2"/>
  <c r="I59" i="2"/>
  <c r="I55" i="2"/>
  <c r="O55" i="2" s="1"/>
  <c r="O51" i="2"/>
  <c r="I51" i="2"/>
  <c r="I47" i="2"/>
  <c r="O47" i="2" s="1"/>
  <c r="O43" i="2"/>
  <c r="I43" i="2"/>
  <c r="O39" i="2"/>
  <c r="I39" i="2"/>
  <c r="O35" i="2"/>
  <c r="I35" i="2"/>
  <c r="I31" i="2"/>
  <c r="O31" i="2" s="1"/>
  <c r="O27" i="2"/>
  <c r="I27" i="2"/>
  <c r="I23" i="2"/>
  <c r="O23" i="2" s="1"/>
  <c r="O13" i="2"/>
  <c r="I13" i="2"/>
  <c r="O9" i="2"/>
  <c r="I9" i="2"/>
  <c r="I3" i="18" l="1"/>
  <c r="I3" i="30"/>
  <c r="I3" i="11"/>
  <c r="I3" i="29"/>
  <c r="I3" i="2"/>
  <c r="O9" i="21"/>
  <c r="O94" i="22"/>
  <c r="O10" i="24"/>
  <c r="O73" i="28"/>
  <c r="O135" i="31"/>
  <c r="O76" i="32"/>
  <c r="O120" i="2"/>
  <c r="O142" i="2"/>
  <c r="I769" i="9"/>
  <c r="O242" i="11"/>
  <c r="O10" i="14"/>
  <c r="O75" i="14"/>
  <c r="I236" i="14"/>
  <c r="I3" i="14" s="1"/>
  <c r="I55" i="16"/>
  <c r="I3" i="16" s="1"/>
  <c r="O33" i="23"/>
  <c r="O9" i="31"/>
  <c r="I339" i="31"/>
  <c r="I3" i="31" s="1"/>
  <c r="O9" i="34"/>
  <c r="O9" i="35"/>
  <c r="O9" i="36"/>
  <c r="O19" i="7"/>
  <c r="O28" i="25"/>
  <c r="O15" i="29"/>
  <c r="I8" i="4"/>
  <c r="I3" i="4" s="1"/>
  <c r="I8" i="5"/>
  <c r="I3" i="5" s="1"/>
  <c r="O9" i="3"/>
  <c r="O50" i="4"/>
  <c r="O421" i="11"/>
  <c r="O75" i="17"/>
  <c r="I87" i="17"/>
  <c r="I3" i="17" s="1"/>
  <c r="O10" i="19"/>
  <c r="O49" i="21"/>
  <c r="O108" i="23"/>
  <c r="O105" i="24"/>
  <c r="O9" i="30"/>
  <c r="O106" i="30"/>
  <c r="O298" i="32"/>
  <c r="O75" i="36"/>
  <c r="I9" i="9"/>
  <c r="I3" i="9" s="1"/>
  <c r="I8" i="22"/>
  <c r="I3" i="22" s="1"/>
  <c r="I9" i="20"/>
  <c r="I3" i="20" s="1"/>
  <c r="I320" i="32"/>
  <c r="I3" i="32" s="1"/>
  <c r="O230" i="9"/>
  <c r="O824" i="10"/>
  <c r="O333" i="12"/>
  <c r="O35" i="18"/>
  <c r="O77" i="22"/>
  <c r="O37" i="29"/>
  <c r="O48" i="32"/>
  <c r="O81" i="36"/>
  <c r="I67" i="3"/>
  <c r="I3" i="3" s="1"/>
</calcChain>
</file>

<file path=xl/sharedStrings.xml><?xml version="1.0" encoding="utf-8"?>
<sst xmlns="http://schemas.openxmlformats.org/spreadsheetml/2006/main" count="19027" uniqueCount="6337">
  <si>
    <t>EstiCon</t>
  </si>
  <si>
    <t xml:space="preserve">Firma: </t>
  </si>
  <si>
    <t>Rekapitulace ceny</t>
  </si>
  <si>
    <t>Stavba: A088/23 - II/353 D1 – Rytířsko - Jamné, I.stavba, PD</t>
  </si>
  <si>
    <t>Celková cena bez DPH:</t>
  </si>
  <si>
    <t>Celková cena s DPH:</t>
  </si>
  <si>
    <t>Objekt</t>
  </si>
  <si>
    <t>Popis</t>
  </si>
  <si>
    <t>Cena bez DPH</t>
  </si>
  <si>
    <t>DPH</t>
  </si>
  <si>
    <t>Cena s DPH</t>
  </si>
  <si>
    <t>SO 000</t>
  </si>
  <si>
    <t>VŠEOBECNÉ A PŘEDBĚŽNÉ POLOŽKY</t>
  </si>
  <si>
    <t>SO001a</t>
  </si>
  <si>
    <t>Příprava území - demolice</t>
  </si>
  <si>
    <t>SO001b</t>
  </si>
  <si>
    <t>Příprava území - sejmutí</t>
  </si>
  <si>
    <t>SO002</t>
  </si>
  <si>
    <t>Náhradní rekultivace</t>
  </si>
  <si>
    <t>SO051</t>
  </si>
  <si>
    <t>Rekultivace úseků stávající silnice</t>
  </si>
  <si>
    <t>SO052</t>
  </si>
  <si>
    <t>Rekultivace ploch ZS</t>
  </si>
  <si>
    <t>SO053</t>
  </si>
  <si>
    <t>Rekultivace účelových a provizorních komunikací</t>
  </si>
  <si>
    <t>101.01</t>
  </si>
  <si>
    <t>vozovka</t>
  </si>
  <si>
    <t>101.02</t>
  </si>
  <si>
    <t>zemní těleso</t>
  </si>
  <si>
    <t>101.03</t>
  </si>
  <si>
    <t>sjezdy</t>
  </si>
  <si>
    <t>101.04</t>
  </si>
  <si>
    <t>odvodnění</t>
  </si>
  <si>
    <t>101.05</t>
  </si>
  <si>
    <t>chráničky</t>
  </si>
  <si>
    <t>102.01</t>
  </si>
  <si>
    <t>102.02</t>
  </si>
  <si>
    <t>102.03</t>
  </si>
  <si>
    <t>102.04</t>
  </si>
  <si>
    <t>102.05</t>
  </si>
  <si>
    <t>103.01</t>
  </si>
  <si>
    <t>103.02</t>
  </si>
  <si>
    <t>SO104</t>
  </si>
  <si>
    <t>Rekonstrukce stávající silnice II/353 v km 62,908 09 – 63,189 67 (OŽK)</t>
  </si>
  <si>
    <t>SO105</t>
  </si>
  <si>
    <t>Propojení lesních cest v km 0,460 – 0,680</t>
  </si>
  <si>
    <t>108.01</t>
  </si>
  <si>
    <t>vozovka a zemní těleso</t>
  </si>
  <si>
    <t>108.02</t>
  </si>
  <si>
    <t>nástupiště a chodníkové plochy</t>
  </si>
  <si>
    <t>SO141</t>
  </si>
  <si>
    <t>Dopravní značení provizorní</t>
  </si>
  <si>
    <t>SO142</t>
  </si>
  <si>
    <t>Dopravní značení definitivní</t>
  </si>
  <si>
    <t>301.01</t>
  </si>
  <si>
    <t>stoka A</t>
  </si>
  <si>
    <t>301.02</t>
  </si>
  <si>
    <t>stoka B</t>
  </si>
  <si>
    <t>SO402</t>
  </si>
  <si>
    <t>Přeložka kabelu NN v km 0,924</t>
  </si>
  <si>
    <t>SO413</t>
  </si>
  <si>
    <t>Chráničky pro síť ROWANET</t>
  </si>
  <si>
    <t>SO601</t>
  </si>
  <si>
    <t>Protihluková zeď km 0,700 – 0,775 vpravo</t>
  </si>
  <si>
    <t>SO701</t>
  </si>
  <si>
    <t>Protihluková zeď km 0,790 – 0,860 vpravo</t>
  </si>
  <si>
    <t>SO801a</t>
  </si>
  <si>
    <t>Vegetační úpravy - kácení</t>
  </si>
  <si>
    <t>SO801b</t>
  </si>
  <si>
    <t>Vegetační úpravy</t>
  </si>
  <si>
    <t>SO801c</t>
  </si>
  <si>
    <t>Vegetační úpravy - odstranění křovin a pařezů</t>
  </si>
  <si>
    <t>SO901</t>
  </si>
  <si>
    <t>Dočasná pomocná dopravní stavba</t>
  </si>
  <si>
    <t>Soupis prací objektu</t>
  </si>
  <si>
    <t>S</t>
  </si>
  <si>
    <t>Stavba:</t>
  </si>
  <si>
    <t>A088/23</t>
  </si>
  <si>
    <t>II/353 D1 – Rytířsko - Jamné, I.stavba, PD</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</si>
  <si>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</si>
  <si>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</si>
  <si>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</si>
  <si>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</si>
  <si>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</si>
  <si>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</si>
  <si>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</si>
  <si>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</si>
  <si>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</si>
  <si>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</si>
  <si>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</si>
  <si>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</si>
  <si>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</si>
  <si>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</si>
  <si>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</si>
  <si>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</si>
  <si>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</si>
  <si>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014101</t>
  </si>
  <si>
    <t>1</t>
  </si>
  <si>
    <t>POPLATKY ZA SKLÁDKU</t>
  </si>
  <si>
    <t>t</t>
  </si>
  <si>
    <t>OTSKP ~ 2024</t>
  </si>
  <si>
    <t>PP</t>
  </si>
  <si>
    <t>poplatky za skládku - přebytečná zemina/podkladní ŠD
2,0t/m3
Zhotovitel předloží protokol o uložení odpadu</t>
  </si>
  <si>
    <t>VV</t>
  </si>
  <si>
    <t xml:space="preserve"> 4754,6889*2,0 = 9509,378 [A]</t>
  </si>
  <si>
    <t>TS</t>
  </si>
  <si>
    <t>zahrnuje veškeré poplatky provozovateli skládky související s uložením odpadu na skládce.</t>
  </si>
  <si>
    <t>2</t>
  </si>
  <si>
    <t>vybouraný beton - propustek, šachty, tvárnice, žlaby curb, betonové patky sloupů DZ
2,3t/m3
Zhotovitel předloží protokol o uložení odpadu</t>
  </si>
  <si>
    <t xml:space="preserve"> propustek předpokládaný objem*2,3 1,09*2,3 = 2,507 [A]</t>
  </si>
  <si>
    <t xml:space="preserve"> šachta předpokládaný objem*2,3 1,07*2,3 = 2,461 [B]</t>
  </si>
  <si>
    <t xml:space="preserve"> UV předpokládaný (objem*2,3)*počet (0,2*2,3)*2 = 0,920 [C]</t>
  </si>
  <si>
    <t xml:space="preserve"> tvárnice předpokládaný objem*2,3 0,3*2,3 = 0,690 [D]</t>
  </si>
  <si>
    <t xml:space="preserve"> žalby curb předpokládaný objem*2,3 0,804*2,3 = 1,849 [E]</t>
  </si>
  <si>
    <t xml:space="preserve"> patky sloupků DZ 
(množství z položky č.914913 * předpokládaný objem*2,3) 15*(0,5*0,5*0,7)*2,3 = 6,038 [F]</t>
  </si>
  <si>
    <t xml:space="preserve"> Celkové množství 14.465000 = 14,465 [G]</t>
  </si>
  <si>
    <t>3</t>
  </si>
  <si>
    <t>KUS</t>
  </si>
  <si>
    <t>OTSKP 2024</t>
  </si>
  <si>
    <t>poplatek za uložení stávajících pařezů v úsecích na lesních pozemcích 
Položka bude fakturována na základě skutečného množství odstraňovaných pařezů, kácených stromů a smýcených ploch keřů. Odvoz a likvidaci pařezů a smýcených křovin a náletů zajistí zhotovitel stavby.
Zhotovitel předloží protokol o uložení odpadu</t>
  </si>
  <si>
    <t xml:space="preserve"> součet hodnot z položek č. 112227 a č. 112237 450+50 = 500,000 [A]</t>
  </si>
  <si>
    <t>4</t>
  </si>
  <si>
    <t>uložení PM (kamenivo s asf. pojivem) z demolovaných úseků silnic
2,4t/m3
Zhotovitel předloží protokol o uložení odpadu</t>
  </si>
  <si>
    <t xml:space="preserve"> 645,717*2,4 = 1549,721 [A]</t>
  </si>
  <si>
    <t>5</t>
  </si>
  <si>
    <t>uložení přebytečné lesní hrabanky a travního drnu na skládku
1,5t/m3
Zhotovitel předloží protokol o uložení odpadu</t>
  </si>
  <si>
    <t xml:space="preserve"> (objem drnu+objem hrabanky)*1,5 (304,9+1311,8)*1,5 = 2425,050 [A]</t>
  </si>
  <si>
    <t>Položka zahrnuje:
- veškeré poplatky provozovateli skládky související s uložením odpadu na skládce.
Položka nezahrnuje:
- x</t>
  </si>
  <si>
    <t>014212</t>
  </si>
  <si>
    <t/>
  </si>
  <si>
    <t>POPLATKY ZA ZEMNÍK - ORNICE</t>
  </si>
  <si>
    <t>T</t>
  </si>
  <si>
    <t>Nákup chybějící ornice pro ohumusování svahů
objem převzat z bilance zemních prací - vystupní výměry do bilance jsou z DIMS
1,9t/m3</t>
  </si>
  <si>
    <t xml:space="preserve"> nedostatek ornice 532,9*1,9 = 1012,510 [A]</t>
  </si>
  <si>
    <t>Položka zahrnuje:
- veškeré poplatky majiteli zemníku související s nákupem zeminy (nikoliv s otvírkou zemníku)
Položka nezahrnuje:
- x</t>
  </si>
  <si>
    <t>02510</t>
  </si>
  <si>
    <t>ZKOUŠENÍ MATERIÁLŮ ZKUŠEBNOU ZHOTOVITELE</t>
  </si>
  <si>
    <t>KPL</t>
  </si>
  <si>
    <t>Zkoušky včetně vypracování kontrolního plánu
Doplňující ověření vlastností materiálů - např. obsah PAU v kčních vrstvách demolovaných vozovek. V průběhu realizace stavby je nutné ověřit obsah PAU v jednotlivých konstrukčních vrstvách v souladu s vyhláškou 283/2023 Sb.</t>
  </si>
  <si>
    <t xml:space="preserve"> 1 = 1,000 [A]</t>
  </si>
  <si>
    <t>Položka zahrnuje:
- veškeré náklady spojené s objednatelem požadovanými zkouškami
Položka nezahrnuje:
- x</t>
  </si>
  <si>
    <t>02710</t>
  </si>
  <si>
    <t>POMOC PRÁCE ZŘÍZ NEBO ZAJIŠŤ OBJÍŽĎKY A PŘÍSTUP CESTY</t>
  </si>
  <si>
    <t>Zajištění vydání všech potřebných rozhodnutí a stanovení pro přechodnou úpravu provozu na pozemních komunikacích. Zajištění povolení uzavírky.</t>
  </si>
  <si>
    <t>zahrnuje veškeré náklady spojené s objednatelem požadovanými zařízeními</t>
  </si>
  <si>
    <t>027121</t>
  </si>
  <si>
    <t>R</t>
  </si>
  <si>
    <t>PROVIZORNÍ PŘÍSTUPOVÉ CESTY - ZŘÍZENÍ</t>
  </si>
  <si>
    <t>Práce spojené se zajištěním přístupu do objetů a nemovitostí podél stavby</t>
  </si>
  <si>
    <t>02720</t>
  </si>
  <si>
    <t>POMOC PRÁCE ZŘÍZ NEBO ZAJIŠŤ REGULACI A OCHRANU DOPRAVY</t>
  </si>
  <si>
    <t>Úhrnná částka obsahující veškeré náklady na realizaci plné uzavírky a opatření vyplývající z požadavků BOZP na staveništi.</t>
  </si>
  <si>
    <t>02730</t>
  </si>
  <si>
    <t>POMOC PRÁCE ZŘÍZ NEBO ZAJIŠŤ OCHRANU INŽENÝRSKÝCH SÍTÍ</t>
  </si>
  <si>
    <t>sdělovací kabely, silová vedení, vodovod, kanalizace, vytýčení všech sítí, manipulace, ochrana.
V případě zjištění kolize se stávajícími IS budou tyto sítě (pokud to bude možné) stranově či výškově přemístěny a dochráněny chráničkami.
Položka bude čerpána pouze se souhlasem TDI a investora</t>
  </si>
  <si>
    <t>02811</t>
  </si>
  <si>
    <t>PRŮZKUMNÉ PRÁCE GEOTECHNICKÉ NA POVRCHU</t>
  </si>
  <si>
    <t>podrobný IGP pro určení přesné receptury zlepšení zemin</t>
  </si>
  <si>
    <t>zahrnuje veškeré náklady spojené s objednatelem požadovanými pracemi</t>
  </si>
  <si>
    <t>02910</t>
  </si>
  <si>
    <t>OSTATNÍ POŽADAVKY - ZEMĚMĚŘIČSKÁ MĚŘENÍ</t>
  </si>
  <si>
    <t>Položka zahrnuje potřebné zaměření pro zhotovení dokumentace skutečného 
provedení stavby.</t>
  </si>
  <si>
    <t>zahrnuje veškeré náklady spojené s objednatelem požadovanými pracemi, 
- pro stanovení orientační investorské ceny určete jednotkovou cenu jako 1% odhadované ceny stavby</t>
  </si>
  <si>
    <t>02911</t>
  </si>
  <si>
    <t>OSTATNÍ POŽADAVKY - GEODETICKÉ ZAMĚŘENÍ</t>
  </si>
  <si>
    <t>Geodetická činnost v průběhu provádění stavebních prací (geodet zhotovitele 
stavby) včetně vytyčení stavby a skutečného zjištění průběhu inženýrských sítí.  
Součástí je vybudování potřebné vytyčovací sítě. 
Zajištění inženýrských sítí během realizace stavby dle požadavku správců. Nutné 
vytyčení všech podzemních sítí s protokolárním zápisem příslušných správců. 
Přesnou polohu podzemních vedení ověřit ručně kopanými sondami. Sdělovací 
kabely, elektrické vedení včetně vrchního vedení, vodovod, v trase příčné 
přechody. Přechody nutno ochránit. Zajištění stavby proti škodě na okolních 
pozemcích a objektech, včetně dočasného statického zajištění sloupů nadzemního 
vedení po dobu realizace rekonstrukce komunikace.</t>
  </si>
  <si>
    <t>02943</t>
  </si>
  <si>
    <t>OSTATNÍ POŽADAVKY - VYPRACOVÁNÍ RDS</t>
  </si>
  <si>
    <t>Realizační dokumentace stavby v rozsahu dle požadavků objednatele včetně zapracování všech podmínek a požadavků stavebního povolení a podmínek stanovených zadávací dokumentací.  
Dokumentace bude zpracována pro všechny objekty dle čl. 6.1.2 (TKP D kap. 6, příl. 5); zejména objekty řady 100, SO 301, SO 601, SO 701;
jejím předmětem je dokumentace všech zhotovovaných a pomocných konstrukcí a prací nutných ke stavbě objektu.  
Součástí bude stanovení finální receptury zlepšení zemin v násypu, podloží násypu a v aktivní zóně.
Součástí je předání dokumentace v tištěné podoběa předání v elektonické podobě (rozsah a uspořádání odpovídající podobě tištěné) v uzavřeném (PDF) a otevřeném formátu (DWG, XLS, DOC, apod.) - dle podmínek smlouvy o dílo.
Zahrnuje havarijní plán, protipovodňový plán a projekt dopravně inženýrských opatření
Kvůli zpracování DSP a PDPS metodou BIM bude součástí zpracování DIMS.</t>
  </si>
  <si>
    <t>02944</t>
  </si>
  <si>
    <t>OSTAT POŽADAVKY - DOKUMENTACE SKUTEČ PROVEDENÍ V DIGIT FORMĚ</t>
  </si>
  <si>
    <t>dle smlouvy o dílo</t>
  </si>
  <si>
    <t>02945</t>
  </si>
  <si>
    <t>OSTAT POŽADAVKY - GEOMETRICKÝ PLÁN</t>
  </si>
  <si>
    <t>HM</t>
  </si>
  <si>
    <t>Geometrický plán po dokončení stavby.
Zajištění geometrických plánů skutečného provedení objektů a inženýrských sítí  a geometrických plánů věcných břemen v požadovaném formátu s hranicemi pozemků jako podklad pro vklad do katastrální mapy pro evidenci změn na katastrálním úřadu. Tato dokumentace bude potvrzena příslušným katastrálním úřadem a předána dle smlouvy o dílo</t>
  </si>
  <si>
    <t xml:space="preserve"> 2 = 2,000 [A]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</si>
  <si>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</si>
  <si>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02946</t>
  </si>
  <si>
    <t>OSTAT POŽADAVKY - FOTODOKUMENTACE</t>
  </si>
  <si>
    <t>Pasportizace okolních objektů, nemovitostí podél trasy stavby a objízdných tras před stavbou a po stavbě.
Položka obsahuje:
- pasport stávajících objektů a nemovistostí podél trasy stavby (před stavbou a po 
stavbě)
- fotodokumentace
- projekční práce (zhotovení pasportu)
- kompletační práce ( počet výtisků dle zadání objednatele)
předání dle smlouvy o dílo</t>
  </si>
  <si>
    <t>položka zahrnuje:
- fotodokumentaci zadavatelem požadovaného děje a konstrukcí v požadovaných časových intervalech
- zadavatelem specifikované výstupy (fotografie v papírovém a digitálním formátu) v požadovaném počtu</t>
  </si>
  <si>
    <t>Zpráva o postupu výstavby s fotodokumentací. Bude součástí elektronického stavebního deníku. Podmínky dle smlouvy o dílo.</t>
  </si>
  <si>
    <t>02960</t>
  </si>
  <si>
    <t>OSTATNÍ POŽADAVKY - ODBORNÝ DOZOR</t>
  </si>
  <si>
    <t>Odborný dozor dendrologa - autorizovaného (certifikovaného) arboristy - konzultanta.
Stavba zasahuje v úseku km 0,970 – 1,144 do kořenového prostoru blíže než 2,5m od paty kmene. V kořenových prostorech je nařízeno provádět veškeré výkopové práce ručně a pod dohledem autorizovaného (certifikovaného) arboristy - konzultanta. Úkolem arboristy - konzultanta bude dohlížet na výskyt větších kořenů, jejichž přerušení by mohlo mít vliv na celkovou stabilitu stromů. Bude – li zjištěna v průběhu stavby kolize některého z důležitých kořenů s prvky dle návrhu (např. drenáž nebo konstrukční vrstvy vozovky), bude navrženo dodatečné kácení takto postižených stromů. Více viz D.17.1 TZ SO 801.</t>
  </si>
  <si>
    <t>zahrnuje veškeré náklady spojené s objednatelem požadovaným dozorem</t>
  </si>
  <si>
    <t>Odborný dozor geologa
účast geologa a geotechnika při stanovení konečné receptury zlepšení zemin v násypu, podloží násypu a v aktivní zóně</t>
  </si>
  <si>
    <t>02971</t>
  </si>
  <si>
    <t>OSTAT POŽADAVKY - GEOTECHNICKÝ MONITORING NA POVRCHU</t>
  </si>
  <si>
    <t>monitoring sedání násypů - uvažováno po dobu realizace stavby</t>
  </si>
  <si>
    <t>02991</t>
  </si>
  <si>
    <t>OSTATNÍ POŽADAVKY - INFORMAČNÍ TABULE</t>
  </si>
  <si>
    <t>publicita EU, místo realizace projektu bude po dobu realizace stavby osazeno 1 ks velkoplošného billboardu o rozměrech 5,1x2,4 m dle pravidel publicity IROP (jedná se o pronájem).
Zahrnuje projednání  umístění, konstrukci a polep vč. dodávky, montáže a demontáže.
Formát, rozměr a popis vč. grafického zpracování bude před zhotovením a osazením odsouhlasen objednatelem.</t>
  </si>
  <si>
    <t xml:space="preserve"> Dočasná publicita – billboard EU 1 = 1,000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</si>
  <si>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
Položka nezahrnuje:
- x</t>
  </si>
  <si>
    <t>publicita Kraj Vysočina, místo realizace bude po dobu realizace stavby osazeno 2 ks velkoplošného billboardu o rozměrech 5,1x2,4 m dle pravidel objednatele (jedná se o pronájem),
zahrnuje projednání umístění, konstrukci a polep vč. dodávky, montáže a demontáže.
Formát, rozměr a popis vč. grafického zpracování bude před zhotovením a osazením odsouhlasen objednatelem.</t>
  </si>
  <si>
    <t xml:space="preserve"> Dočasná publicita – billboard Kraj Vysočina 2 = 2,000 [A]</t>
  </si>
  <si>
    <t>publicita EU, místo realizace stavby bude nejpozději k datu převzetí dokončené stavby objednatelem osazeno 1 ks pamětní desky o rozměrech 0,3*0,4 m dle pravidel IROP, z materiálů odolných vůči povětrnostním podmínkám, životnost desky a písma min. 5 let. Jedná se o dodávku, osazení a montáž pamětní desky včetně sloupku a ukotvení.
Formát, rozměr a popis vč. grafického zpracování bude před zhotovením a osazením odsouhlasen objednatelem.</t>
  </si>
  <si>
    <t xml:space="preserve"> Trvalá publicita – stálá pamětní deska 1 = 1,000 [A]</t>
  </si>
  <si>
    <t>03100</t>
  </si>
  <si>
    <t>ZAŘÍZENÍ STAVENIŠTĚ - ZŘÍZENÍ, PROVOZ, DEMONTÁŽ</t>
  </si>
  <si>
    <t>Kompletní zařízení staveniště pro celou stavbu  včetně zajištění potřebných povolení a rozhodnutí. Řeší si zhotovitel.</t>
  </si>
  <si>
    <t>zahrnuje objednatelem povolené náklady na pořízení (event. pronájem), provozování, udržování a likvidaci zhotovitelova zařízení</t>
  </si>
  <si>
    <t>Zemní práce</t>
  </si>
  <si>
    <t>11313B</t>
  </si>
  <si>
    <t>ODSTRANĚNÍ KRYTU ZPEVNĚNÝCH PLOCH S ASFALTOVÝM POJIVEM - DOPRAVA</t>
  </si>
  <si>
    <t>tkm</t>
  </si>
  <si>
    <t>doprava vybouraného PM na skládku 
uvažováno 2 km nad rámec položky č.113136</t>
  </si>
  <si>
    <t xml:space="preserve"> hmotnost z položky č. 014101.4 1549,721*2 = 3099,442 [A]</t>
  </si>
  <si>
    <t>Položka zahrnuje samostatnou dopravu suti a vybouraných hmot. Množství se určí jako součin hmotnosti [t] a požadované vzdálenosti [km].</t>
  </si>
  <si>
    <t>12110B</t>
  </si>
  <si>
    <t>SEJMUTÍ ORNICE NEBO LESNÍ PŮDY - DOPRAVA</t>
  </si>
  <si>
    <t>M3KM</t>
  </si>
  <si>
    <t>doprava přebytečné hrabanky a travního drnu
uvažováno 12km</t>
  </si>
  <si>
    <t xml:space="preserve"> (objem drnu+objem hrabanky)*1,5 (304,9+1311,8)*12 = 19400,400 [A]</t>
  </si>
  <si>
    <t>Položka zahrnuje:
- samostatnou dopravu zeminy
Položka nezahrnuje:
- x
Způsob měření:
- množství se určí jako součin kubatutry [m3] a požadované vzdálenosti [km].</t>
  </si>
  <si>
    <t>12273B</t>
  </si>
  <si>
    <t>ODKOPÁVKY A PROKOPÁVKY OBECNÉ TŘ. I - DOPRAVA</t>
  </si>
  <si>
    <t>doprava přebytečné zeminy/podkladních štěrků na skládku
uvažováno 15km</t>
  </si>
  <si>
    <t xml:space="preserve"> objem z položky č. 014101.1 4754,6889*15 = 71320,334 [A]</t>
  </si>
  <si>
    <t>Položka zahrnuje samostatnou dopravu zeminy. Množství se určí jako součin kubatutry [m3] a požadované vzdálenosti [km].</t>
  </si>
  <si>
    <t>12573B</t>
  </si>
  <si>
    <t>VYKOPÁVKY ZE ZEMNÍKŮ A SKLÁDEK TŘ. I - DOPRAVA</t>
  </si>
  <si>
    <t>doprava pro nedostatek ornice pro ohumusování svahů
objem převzat z bilance zemních prací - vystupní výměry do bilance jsou z DIMS</t>
  </si>
  <si>
    <t xml:space="preserve"> objem z bilance zemních prací*30km 532,9*30 = 15987,000 [A]</t>
  </si>
  <si>
    <t>Komunikace</t>
  </si>
  <si>
    <t>57790A</t>
  </si>
  <si>
    <t>VÝSPRAVA VÝTLUKŮ SMĚSÍ ACO (KUBATURA)</t>
  </si>
  <si>
    <t>M3</t>
  </si>
  <si>
    <t>Výsprava výtluků nebo souvislá oprava vybraných úseků vozovky s ohledem na vedení objízdných tras, rozsah položky dle technické specifikace, bude zahrnovat frézování, čištění, tl. oprav v průměru 50mm, včetně případné vyrovnávky. 
POZN.: Položka bude čerpána pouze se souhlasem a v rozsahu dle pokynů objednatele.</t>
  </si>
  <si>
    <t xml:space="preserve"> 300 = 300,000 [A]</t>
  </si>
  <si>
    <t>- odfrézování nebo jiné odstranění poškozených vozovkových vrstev
- zaříznutí hran
- vyčištění
- nátěr
- dodání a výplň předepsanou zhutněnou balenou asfaltovou směsí
- asfaltová zálivka</t>
  </si>
  <si>
    <t>7</t>
  </si>
  <si>
    <t>Přidružená stavební výroba</t>
  </si>
  <si>
    <t>75I12Y</t>
  </si>
  <si>
    <t>KABEL ZEMNÍ JEDNOPLÁŠŤOVÝ BEZ PANCÍŘE PRŮMĚRU ŽÍLY 0,8 MM - DEMONTÁŽ</t>
  </si>
  <si>
    <t>M</t>
  </si>
  <si>
    <t>odstranění stávajícího kabelu NN (napájení vrtů obce Jamné), který je překládán v rámci SO 402</t>
  </si>
  <si>
    <t xml:space="preserve"> přeložka kabelu NN v km 0,900 - 0,920 31 = 31,000 [A]</t>
  </si>
  <si>
    <t>1. Položka obsahuje:
 – demontáž (pro další využití/do šrotu) specifikované kabelizace včetně potřebného drobného pomocného materiálu
 – veškeré potřebné mechanizmy, včetně obsluhy, náklady na mzdy a přibližné (průměrné) náklady na pořízení potřebných materiálů včetně všech ostatních vedlejších nákladů
 – odvoz demontované kabelizace a skladování, případně ekologické likvidace bloku/zařízení/kabelizace
2. Položka neobsahuje:
 X
3. Způsob měření:
 –  Udává se počet metrů kompletní konstrukce nebo práce.</t>
  </si>
  <si>
    <t>75I42Y</t>
  </si>
  <si>
    <t>KABEL ZEMNÍ DATOVÝ PRŮMĚRU ŽÍLY 0,8 MM - DEMONTÁŽ</t>
  </si>
  <si>
    <t>rušení neprovozovaných sděl. vedení Cetin, nutná účast správce IS při rušení vedení.
včetně vykopání, odvozu na skládku a poplatku za skládku
bude čerpáno na základě skutečnosti po odsouhlasení TDI.</t>
  </si>
  <si>
    <t xml:space="preserve"> neprovozované sděl. vedení napříč SO 102 v km 0,022 13,5 = 13,500 [A]</t>
  </si>
  <si>
    <t xml:space="preserve"> neprovozované sděl. vedení napříč SO 101 km 0,870 - 0,920 52 = 52,000 [B]</t>
  </si>
  <si>
    <t>76792</t>
  </si>
  <si>
    <t>OPLOCENÍ Z DRÁTĚNÉHO PLETIVA POTAŽENÉHO PLASTEM</t>
  </si>
  <si>
    <t>M2</t>
  </si>
  <si>
    <t>Výstražné oplocení obvodu zařízení staveniště. Bezpečnostní síť plastová oranžové nebo červené barvy, výšky min. 1,1 m. Včetně ukotvení pomocí ocelových či dřevněných sloupků, údržbu po celou dobu provádění stavby, demontáže.
Příslušné oplocení pro zabezpečení výkopů započítá zhotovitel
Výměra byla stanovena odhadem projektanta.
Čerpáno se souhlasem objednatele.</t>
  </si>
  <si>
    <t xml:space="preserve"> délka oplocení x výška 1,1m 500*1,1 = 550,000 [A]</t>
  </si>
  <si>
    <t>- položka zahrnuje vedle vlastního pletiva i rámy, rošty, lišty, kování, podpěrné, závěsné, upevňovací prvky, spojovací a těsnící materiál, pomocný materiál, kompletní povrchovou úpravu.
- není zahrnuta podezdívka (272**)
- součástí položky je  případně i ostnatý drát, uvažovaná plocha se pak vypočítává po horní hranu drátu.</t>
  </si>
  <si>
    <t>9</t>
  </si>
  <si>
    <t>Ostatní konstrukce a práce</t>
  </si>
  <si>
    <t>93808</t>
  </si>
  <si>
    <t>101</t>
  </si>
  <si>
    <t>OČIŠTĚNÍ VOZOVEK ZAMETENÍM</t>
  </si>
  <si>
    <t>SO 101 +SO 108 - způsobilé hlavní výdaje
očištění vozovek po pokládce obrusné vrstvy - před nástřikem VDZ
pro výpočet byly převzaty objemy 3D těles ACO / tloušťka vrstvy
očištění vozovek po pokládce ložné vrstvy - před aplikací spojovacího postřiku
pro výpočet byly převzaty objemy 3D těles ACL / tloušťka vrstvy
očištění vozovek po pokládce podkladní vrstvy - před aplikací spojovacího postřiku
pro výpočet byly převzaty objemy 3D těles ACP / tloušťka vrstvy</t>
  </si>
  <si>
    <t xml:space="preserve"> SO 101 - ACO (0.047+237.024+156.306)/0.04 = 9834,425 [A]</t>
  </si>
  <si>
    <t xml:space="preserve"> SO 101 - ACL (0.407+361.262+229.017)/0.06 = 9844,767 [B]</t>
  </si>
  <si>
    <t xml:space="preserve"> SO 101 - ACP (1.05+551.914+343.779)/0.09 = 9963,811 [C]</t>
  </si>
  <si>
    <t xml:space="preserve"> SO108 - ACO 15.187/0.04 = 379,675 [D]</t>
  </si>
  <si>
    <t xml:space="preserve"> SO108 - ACL 28.327/0.06 = 472,117 [E]</t>
  </si>
  <si>
    <t xml:space="preserve"> SO108 - ACP 42.49/0.09 = 472,111 [F]</t>
  </si>
  <si>
    <t xml:space="preserve"> Celkové množství 30966.906000 = 30966,906 [G]</t>
  </si>
  <si>
    <t>Položka zahrnuje:
- očištění předepsaným způsobem
- odklizení vzniklého odpadu
Položka nezahrnuje:
- x</t>
  </si>
  <si>
    <t>104</t>
  </si>
  <si>
    <t>očištění vozovek po pokládce obrusné vrstvy - před nástřikem VDZ
pro výpočet byly převzaty objemy 3D těles ACO / tloušťka vrstvy
očištění vozovek po pokládce ložné vrstvy - před aplikací spojovacího postřiku
pro výpočet byly převzaty objemy 3D těles ACL / tloušťka vrstvy</t>
  </si>
  <si>
    <t xml:space="preserve"> SO104 - ACO 142.95/0.05 = 2859,000 [D]</t>
  </si>
  <si>
    <t xml:space="preserve"> SO 104 - ACL 142.95/0.05 = 2859,000 [A]</t>
  </si>
  <si>
    <t xml:space="preserve"> Celkové množství 5718.000000 = 5718,000 [B]</t>
  </si>
  <si>
    <t>položka zahrnuje očištění předepsaným způsobem včetně odklizení vzniklého odpadu</t>
  </si>
  <si>
    <t>Způsobilé doprovodné (SO 103+102+sjezdy)
očištění vozovek po pokládce obrusné vrstvy - před nástřikem VDZ
pro výpočet byly převzaty objemy 3D těles ACO / tloušťka vrstvy
očištění vozovek po pokládce ložné vrstvy - před aplikací spojovacího postřiku
pro výpočet byly převzaty objemy 3D těles ACL / tloušťka vrstvy
očištění vozovek po pokládce podkladní vrstvy - před aplikací spojovacího postřiku
pro výpočet byly převzaty objemy 3D těles ACP / tloušťka vrstvy</t>
  </si>
  <si>
    <t xml:space="preserve"> SO103 - ACO 50.068/0.04 = 1251,700 [C]</t>
  </si>
  <si>
    <t xml:space="preserve"> sjezdy SO 101+102 - ACO (32.839+3.403)/0.05 = 724,840 [F]</t>
  </si>
  <si>
    <t xml:space="preserve"> SO102 - ACO 37.325/0.04 = 933,125 [A]</t>
  </si>
  <si>
    <t xml:space="preserve"> SO102 - ACL 55.987/0.06 = 933,117 [B]</t>
  </si>
  <si>
    <t xml:space="preserve"> SO103 - ACL 76.43/0.06 = 1273,833 [D]</t>
  </si>
  <si>
    <t xml:space="preserve"> SO102 - ACP 46.655/0.05 = 933,100 [H]</t>
  </si>
  <si>
    <t xml:space="preserve"> SO103 - ACP 116.574/0.09 = 1295,267 [I]</t>
  </si>
  <si>
    <t xml:space="preserve"> Celkové množství 7344.982000 = 7344,982 [E]</t>
  </si>
  <si>
    <t>113136</t>
  </si>
  <si>
    <t>ODSTRANENÍ KRYTU ZPEVNENÝCH PLOCH S ASFALT POJIVEM, ODVOZ DO 12KM</t>
  </si>
  <si>
    <t>Klasifikace podrobnosti zaměření:
geodetické zaměření pomocí  totální stanice TRIMBLE S5 DR PLUS z bodového pole vybudovaného :
Materiál:
penetrační makadam:
podrobná specifikace:
třída ZAS-T1:
Reference:
F.6 průzkum vozovky, technická zpráva, situace demolic:
specifikace:
PM:</t>
  </si>
  <si>
    <t xml:space="preserve"> 334,03009381263 (2BdM60E3ekKG0000000WCr) = 334,030 [A]</t>
  </si>
  <si>
    <t xml:space="preserve"> 311,6871 (2BdM60E3ekKG0000000WD7) = 311,687 [B]</t>
  </si>
  <si>
    <t xml:space="preserve"> Celkové množství 645.717000 = 645,717 [C]</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</si>
  <si>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</si>
  <si>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11318A</t>
  </si>
  <si>
    <t>ODSTRANENÍ KRYTU ZPEVNENÝCH PLOCH Z DLAŽDIC - BEZ DOPRAVY</t>
  </si>
  <si>
    <t>Klasifikace podrobnosti zaměření:
geodetické zaměření pomocí  totální stanice TRIMBLE S5 DR PLUS z bodového pole vybudovaného :
Materiál:
kámen:
podrobná specifikace:
předláždění vstupu:
Reference:
technická zpráva, situace demolic:
specifikace:
stávající kamenná dlažba k předláždění:</t>
  </si>
  <si>
    <t xml:space="preserve"> 1,28031314545632 (2BdM60E3ekKG0000000WC$) = 1,280 [A]</t>
  </si>
  <si>
    <t xml:space="preserve"> Celkové množství 1.280000 = 1,280 [B]</t>
  </si>
  <si>
    <t>Položka zahrnuje veškerou manipulaci s vybouranou sutí a s vybouranými hmotami, krome vodorovné dopravy,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</si>
  <si>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113256</t>
  </si>
  <si>
    <t>ODSTRANENÍ PRÍKOPU A RIGOLU Z MONOLIT BETONU, ODVOZ DO 12KM</t>
  </si>
  <si>
    <t>Klasifikace podrobnosti zaměření:
geodetické zaměření pomocí  totální stanice TRIMBLE S5 DR PLUS z bodového pole vybudovaného :
Materiál:
beton:
podrobná specifikace:
odvoz na skládku:
Reference:
technická zpráva, situace demolic:
specifikace:
monolitický žlab k odstranění:</t>
  </si>
  <si>
    <t xml:space="preserve"> 0,412726553791092 (2BdM60E3ekKG0000000WDE) = 0,413 [A]</t>
  </si>
  <si>
    <t xml:space="preserve"> 0,391464626006403 (2BdM60E3ekKG0000000WDK) = 0,391 [B]</t>
  </si>
  <si>
    <t xml:space="preserve"> Celkové množství 0.804000 = 0,804 [C]</t>
  </si>
  <si>
    <t>Položka zahrnuje odstranení betonové konstrukce,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 Nezpevnené podkladní konstrukce je treba vykázat v pol.11332.</t>
  </si>
  <si>
    <t>11328</t>
  </si>
  <si>
    <t>ODSTRANENÍ PRÍKOPU, ŽLABU A RIGOLU Z PRÍKOPOVÝCH TVÁRNIC</t>
  </si>
  <si>
    <t>Klasifikace podrobnosti zaměření:
geodetické zaměření pomocí  totální stanice TRIMBLE S5 DR PLUS z bodového pole vybudovaného :
Materiál:
beton:
podrobná specifikace:
odvoz na skládku/možné případné využití po konzultaci s objednatelem:
Reference:
technická zpráva, situace demolic:
specifikace:
odstranění stávající žlabovky v příkopě:</t>
  </si>
  <si>
    <t xml:space="preserve"> 2,982 (2BdM60E3ekKG0000000WDB) = 2,982 [A]</t>
  </si>
  <si>
    <t xml:space="preserve"> Celkové množství 2.982000 = 2,982 [B]</t>
  </si>
  <si>
    <t>Položka zahrnuje odstranení tvárnic vcetne podkladu,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</si>
  <si>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113322</t>
  </si>
  <si>
    <t>ODSTRAN PODKL ZPEVNENÝCH PLOCH Z KAMENIVA NESTMEL, ODVOZ DO 2KM</t>
  </si>
  <si>
    <t>Klasifikace podrobnosti zaměření:
geodetické zaměření pomocí  totální stanice TRIMBLE S5 DR PLUS z bodového pole vybudovaného :
Materiál:
ŠD:
podrobná specifikace:
zpětné využití do násypů/aktivní zóny:
Reference:
F.6 průzkum vozovky, technická zpráva, situace demolic:
specifikace:
ŠDA fr. 0/63:</t>
  </si>
  <si>
    <t xml:space="preserve"> 238,968501088602 (2BdM60E3ekKG0000000WCy) = 238,969 [A]</t>
  </si>
  <si>
    <t xml:space="preserve"> 4,76507991334827 (2BdM60E3ekKG0000000WCp) = 4,765 [B]</t>
  </si>
  <si>
    <t xml:space="preserve"> 119,319955331755 (2BdM60E3ekKG0000000WCv) = 119,320 [C]</t>
  </si>
  <si>
    <t xml:space="preserve"> 0,814780554324424 (2BdM60E3ekKG0000000WDQ) = 0,815 [D]</t>
  </si>
  <si>
    <t xml:space="preserve"> 0,777552424429917 (2BdM60E3ekKG0000000WDW) = 0,778 [E]</t>
  </si>
  <si>
    <t xml:space="preserve"> 141,77479989961 (2BdM60E3ekKG0000000WCo) = 141,775 [F]</t>
  </si>
  <si>
    <t xml:space="preserve"> 139,6281 (2BdM60E3ekKG0000000WD9) = 139,628 [G]</t>
  </si>
  <si>
    <t xml:space="preserve"> 224,171069216766 (2BdM60E3ekKG0000000WCx) = 224,171 [H]</t>
  </si>
  <si>
    <t xml:space="preserve"> 120,2240 (2BdM60E3ekKG0000000WDA) = 120,224 [I]</t>
  </si>
  <si>
    <t xml:space="preserve"> 1387,29680513506 (2BdM60E3ekKG0000000WCs) = 1387,297 [J]</t>
  </si>
  <si>
    <t xml:space="preserve"> 7,22489162450974 (2BdM60E3ekKG0000000WCu) = 7,225 [K]</t>
  </si>
  <si>
    <t xml:space="preserve"> 997,3971 (2BdM60E3ekKG0000000WD8) = 997,397 [L]</t>
  </si>
  <si>
    <t xml:space="preserve"> Celkové množství 3382.364000 = 3382,364 [M]</t>
  </si>
  <si>
    <t>113534</t>
  </si>
  <si>
    <t>ODSTRANENÍ CHODNÍKOVÝCH KAMENNÝCH OBRUBNÍKU, ODVOZ DO 5KM</t>
  </si>
  <si>
    <t>Klasifikace podrobnosti zaměření:
geodetické zaměření pomocí  totální stanice TRIMBLE S5 DR PLUS z bodového pole vybudovaného :
Materiál:
kámen:
podrobná specifikace:
odvoz na skládku:
Reference:
technická zpráva, situace demolic:
specifikace:
odstranění stávajících kamenných obrub:</t>
  </si>
  <si>
    <t xml:space="preserve"> 99,3447 (2BdM60E3ekKG0000000WD0) = 99,345 [A]</t>
  </si>
  <si>
    <t xml:space="preserve"> Celkové množství 99.345000 = 99,345 [B]</t>
  </si>
  <si>
    <t>113726</t>
  </si>
  <si>
    <t>FRÉZOVÁNÍ ZPEVNENÝCH PLOCH ASFALTOVÝCH, ODVOZ DO 12KM</t>
  </si>
  <si>
    <t>Klasifikace podrobnosti zaměření:
geodetické zaměření pomocí  totální stanice TRIMBLE S5 DR PLUS z bodového pole vybudovaného :
Materiál:
asfaltový beton pro obrusnou vrstvu:
podrobná specifikace:
třída ZAS-T1, zpětné využítí pro R-Mat:
Reference:
F.6 průzkum vozovky, technická zpráva, situace demolic:
specifikace:
ACO:</t>
  </si>
  <si>
    <t xml:space="preserve"> 208,8208 (2BdM60E3ekKG0000000WD5) = 208,821 [A]</t>
  </si>
  <si>
    <t xml:space="preserve"> 103,331498967632 (2BdM60E3ekKG0000000WCt) = 103,331 [B]</t>
  </si>
  <si>
    <t xml:space="preserve"> 41,1604257775314 (2BdM60E3ekKG0000000WCn) = 41,160 [C]</t>
  </si>
  <si>
    <t xml:space="preserve"> 1,58835997101178 (2BdM60E3ekKG0000000WCw) = 1,588 [D]</t>
  </si>
  <si>
    <t xml:space="preserve"> 105,745514926745 (2BdM60E3ekKG0000000WC_) = 105,746 [E]</t>
  </si>
  <si>
    <t xml:space="preserve"> Celkové množství 460.646000 = 460,646 [F]</t>
  </si>
  <si>
    <t>Klasifikace podrobnosti zaměření:
geodetické zaměření pomocí  totální stanice TRIMBLE S5 DR PLUS z bodového pole vybudovaného :
Materiál:
asfaltový beton pro podkladní vrstvu:
podrobná specifikace:
třída ZAS-T1, zpětné využítí pro R-Mat:
Reference:
F.6 průzkum vozovky, technická zpráva, situace demolic:
specifikace:
ACP:</t>
  </si>
  <si>
    <t xml:space="preserve"> 249,7871 (2BdM60E3ekKG0000000WD6) = 249,787 [A]</t>
  </si>
  <si>
    <t xml:space="preserve"> 387,101748090986 (2BdM60E3ekKG0000000WCq) = 387,102 [B]</t>
  </si>
  <si>
    <t xml:space="preserve"> Celkové množství 636.889000 = 636,889 [C]</t>
  </si>
  <si>
    <t>9113B3</t>
  </si>
  <si>
    <t>SVODIDLO OCEL SILNIC JEDNOSTR, ÚROVEN ZADRŽ H1 - DEMONTÁŽ S PRESUNEM</t>
  </si>
  <si>
    <t>Klasifikace podrobnosti zaměření:
geodetické zaměření pomocí  totální stanice TRIMBLE S5 DR PLUS z bodového pole vybudovaného :
Materiál:
ocel:
podrobná specifikace:
odvoz na skládku :
Reference:
technická zpráva, situace demolic:
specifikace:
svodidlo k odstranění:</t>
  </si>
  <si>
    <t xml:space="preserve"> 3,24000000000001 (2BdM60E3ekKG0000000WD1) = 3,240 [A]</t>
  </si>
  <si>
    <t xml:space="preserve"> Celkové množství 3.240000 = 3,240 [B]</t>
  </si>
  <si>
    <t>položka zahrnuje:
- demontáž a odstranení zarízení
- jeho odvoz na predepsané místo</t>
  </si>
  <si>
    <t>96687</t>
  </si>
  <si>
    <t>VYBOURÁNÍ ULICNÍCH VPUSTÍ KOMPLETNÍCH</t>
  </si>
  <si>
    <t>Klasifikace podrobnosti zaměření:
geodetické zaměření pomocí  totální stanice TRIMBLE S5 DR PLUS z bodového pole vybudovaného :
Materiál:
beton+železo:
podrobná specifikace:
odvoz na skládku:
Reference:
situace demolic:
specifikace:
odstranění stávající UV:</t>
  </si>
  <si>
    <t xml:space="preserve"> 1 (2BdM60E3ekKG0000000WDc) = 1,000 [A]</t>
  </si>
  <si>
    <t xml:space="preserve"> 1 (2BdM60E3ekKG0000000WDg) = 1,000 [B]</t>
  </si>
  <si>
    <t xml:space="preserve"> Celkové množství 2.000000 = 2,000 [C]</t>
  </si>
  <si>
    <t>položka zahrnuje:
- kompletní bourací práce vcetne nezbytného rozsahu zemních prací,
- veškerou manipulaci s vybouranou sutí a hmotami vcetne uložení na skládku,
- veškeré další práce plynoucí z technologického predpisu a z platných predpisu,
nezahrnuje poplatek za skládku, který se vykazuje v položce 0141** (s výjimkou malého množství bouraného materiálu, kde je možné poplatek zahrnout do jednotkové ceny bourání – tento fakt musí být uveden v doplnujícím textu k položce)</t>
  </si>
  <si>
    <t>96688</t>
  </si>
  <si>
    <t>VYBOURÁNÍ KANALIZAC ŠACHET KOMPLETNÍCH</t>
  </si>
  <si>
    <t>Klasifikace podrobnosti zaměření:
geodetické zaměření pomocí  totální stanice TRIMBLE S5 DR PLUS z bodového pole vybudovaného :
Materiál:
železobeton:
podrobná specifikace:
odvoz na skládku:
Reference:
technická zpráva, situace demolic:
specifikace:
odstranění stávající šachty:</t>
  </si>
  <si>
    <t xml:space="preserve"> 1 (2BdM60E3ekKG0000000WDD) = 1,000 [A]</t>
  </si>
  <si>
    <t xml:space="preserve"> Celkové množství 1.000000 = 1,000 [B]</t>
  </si>
  <si>
    <t>969234</t>
  </si>
  <si>
    <t>VYBOURÁNÍ POTRUBÍ DN DO 200MM KANALIZAC</t>
  </si>
  <si>
    <t>Klasifikace podrobnosti zaměření:
geodetické zaměření pomocí  totální stanice TRIMBLE S5 DR PLUS z bodového pole vybudovaného :
Materiál:
plast:
podrobná specifikace:
odvoz na skládku:
Reference:
technická zpráva, situace demolic:
specifikace:
stávající přípojka UV k odstranění:</t>
  </si>
  <si>
    <t xml:space="preserve"> 9,952 (2BdM60E3ekKG0000000XNl) = 9,952 [A]</t>
  </si>
  <si>
    <t xml:space="preserve"> 2,95999999999998 (2BdM60E3ekKG0000000WDC) = 2,960 [B]</t>
  </si>
  <si>
    <t xml:space="preserve"> Celkové množství 12.912000 = 12,912 [C]</t>
  </si>
  <si>
    <t>- položka zahrnuje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položka zahrnuje veškeré další práce plynoucí z technologického predpisu a z platných predpisu</t>
  </si>
  <si>
    <t>969257</t>
  </si>
  <si>
    <t>VYBOURÁNÍ POTRUBÍ DN DO 500MM KANALIZAČ</t>
  </si>
  <si>
    <t>Klasifikace podrobnosti zaměření:
geodetické zaměření pomocí  totální stanice TRIMBLE S5 DR PLUS z bodového pole vybudovaného :
Materiál:
beton:
podrobná specifikace:
odvoz na skládku:
Reference:
technická zpráva, situace demolic:
specifikace:
stávající propustek k odstranění:</t>
  </si>
  <si>
    <t xml:space="preserve"> 12,531995 = 12,532 [A]</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</si>
  <si>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</si>
  <si>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11130</t>
  </si>
  <si>
    <t>SEJMUTÍ DRNU</t>
  </si>
  <si>
    <t>Další specifikace:
travní drn,  tl. 0,1m, odvoz na skládku
Klasifikace zemin / hornin:
humózní vrstva:
Třída těžitelnosti:
1:</t>
  </si>
  <si>
    <t xml:space="preserve"> Staničení: 0,73695 - 0,74483: 9,42115635038887 (2BdM60E3ekKG0000000X$H) = 9,421 [A]</t>
  </si>
  <si>
    <t xml:space="preserve"> Staničení: 0,75467 - 0,75828: 28,8319402465399 (2BdM60E3ekKG0000000X$f) = 28,832 [B]</t>
  </si>
  <si>
    <t xml:space="preserve"> Staničení: 0,02085 - 0,09978: 157,603590980271 (2BdM60E3ekKG0000000Y19) = 157,604 [C]</t>
  </si>
  <si>
    <t xml:space="preserve"> Staničení: 0,09477 - 0,18588: 174,066146909223 (2BdM60E3ekKG0000000Y1j) = 174,066 [D]</t>
  </si>
  <si>
    <t xml:space="preserve"> Staničení: 0,75537 - 0,76063: 30,16479445946 (2BdM60E3ekKG0000000X$T) = 30,165 [E]</t>
  </si>
  <si>
    <t xml:space="preserve"> Staničení: 0,11209 - 0,20789: 256,69927628222 (2BdM60E3ekKG0000000Y1L) = 256,699 [F]</t>
  </si>
  <si>
    <t xml:space="preserve"> Staničení: -0,14691 - 0,09212: 689,748127315115 (2BdM60E3ekKG0000000Y1X) = 689,748 [G]</t>
  </si>
  <si>
    <t xml:space="preserve"> Staničení: 0,74256 - 0,74552: 5,99409332461712 (2BdM60E3ekKG0000000X$5) = 5,994 [H]</t>
  </si>
  <si>
    <t xml:space="preserve"> Staničení: 0,85309 - 0,91353: 150,536 (2BdM60E3ekKG0000000X_L) = 150,536 [I]</t>
  </si>
  <si>
    <t xml:space="preserve"> Staničení: 0,75522 - 0,75837: 4,90070619909032 (2BdM60E3ekKG0000000X_v) = 4,901 [J]</t>
  </si>
  <si>
    <t xml:space="preserve"> Staničení: 0,73156 - 0,74362: 5,57906709757277 (2BdM60E3ekKG0000000X_j) = 5,579 [K]</t>
  </si>
  <si>
    <t xml:space="preserve"> Staničení: 0,7461 - 0,79127: 872,435294103998 (2BdM60E3ekKG0000000Y0D) = 872,435 [L]</t>
  </si>
  <si>
    <t xml:space="preserve"> Staničení: -0,14691 - 0,01901: 612,697498405575 (2BdM60E3ekKG0000000Y0z) = 612,697 [M]</t>
  </si>
  <si>
    <t xml:space="preserve"> Staničení: 1,12566 - 1,1445: 50,5355843233106 (2BdM60E3ekKG0000000Y0P) = 50,536 [N]</t>
  </si>
  <si>
    <t xml:space="preserve"> Celkové množství 3049.213000 = 3049,213 [O]</t>
  </si>
  <si>
    <t>vcetne vodorovné dopravy  a uložení na skládku</t>
  </si>
  <si>
    <t>121102</t>
  </si>
  <si>
    <t>SEJMUTÍ ORNICE NEBO LESNÍ PUDY S ODVOZEM DO 2KM</t>
  </si>
  <si>
    <t>Další specifikace:
I. třída ochrany ZPF, odvoz na deponii, následné využití k rekultivacím a ohumusování svahů:
Klasifikace zemin / hornin:
ornice:
Třída těžitelnosti:
1:</t>
  </si>
  <si>
    <t xml:space="preserve"> Staničení: 0,77885 - 0,78061: 0,470066292346159 (2BdM60E3ekKG0000000Y1v) = 0,470 [A]</t>
  </si>
  <si>
    <t xml:space="preserve"> Staničení: 0,84553 - 0,93961: 54.8494 (2BdM60E3ekKG0000000X_9) = 54,849 [B]</t>
  </si>
  <si>
    <t xml:space="preserve"> Staničení: 0,95414 - 1,1445: 208,004826226194 (2BdM60E3ekKG0000000Y25) = 208,005 [C]</t>
  </si>
  <si>
    <t xml:space="preserve"> Staničení: 0,69312 - 0,78122: 319,03436362414 (2BdM60E3ekKG0000000Y0b) = 319,034 [D]</t>
  </si>
  <si>
    <t xml:space="preserve"> Staničení: 0,89323 - 0,95675: 27,6342993955785 (2BdM60E3ekKG0000000X_X) = 27,634 [E]</t>
  </si>
  <si>
    <t xml:space="preserve"> Staničení: 0,78602 - 1,12595: 788,256983163518 (2BdM60E3ekKG0000000Y0n) = 788,257 [F]</t>
  </si>
  <si>
    <t xml:space="preserve"> Celkové množství 1398.249000 = 1398,249 [G]</t>
  </si>
  <si>
    <t>položka zahrnuje sejmutí ornice bez ohledu na tlouštku vrstvy a její vodorovnou dopravu
nezahrnuje uložení na trvalou skládku</t>
  </si>
  <si>
    <t>121105</t>
  </si>
  <si>
    <t>SEJMUTÍ ORNICE NEBO LESNÍ PUDY S ODVOZEM DO 8KM</t>
  </si>
  <si>
    <t>Další specifikace:
lesní hrabanka, tl. 0,1m, odvoz na skládku
Klasifikace zemin / hornin:
humózní vrstva:
Třída těžitelnosti:
1:</t>
  </si>
  <si>
    <t xml:space="preserve"> Staničení: 0,66964 - 0,67527: 1,63822638440614 (2BdM60E3ekKG0000000X$r) = 1,638 [A]</t>
  </si>
  <si>
    <t xml:space="preserve"> Staničení: 0,085 - 0,09199: 2,95929647552306 (2BdM60E3ekKG0000000Y2f) = 2,959 [B]</t>
  </si>
  <si>
    <t xml:space="preserve"> Staničení: 0,09141 - 0,098: 2,37236901750926 (2BdM60E3ekKG0000000Y2r) = 2,372 [C]</t>
  </si>
  <si>
    <t xml:space="preserve"> Staničení: 0,14656 - 0,16041: 0,578285576686673 (2BdM60E3ekKG0000000Y31) = 0,578 [D]</t>
  </si>
  <si>
    <t xml:space="preserve"> Staničení: 0,67672 - 0,69358: 25,9812798580444 (2BdM60E3ekKG0000000Y01) = 25,981 [E]</t>
  </si>
  <si>
    <t xml:space="preserve"> Staničení: -0,0006 - 0,11878: 50,7264158271626 (2BdM60E3ekKG0000000Y2H) = 50,726 [F]</t>
  </si>
  <si>
    <t xml:space="preserve"> Staničení: 0,11195 - 0,51327: 696,635307020307 (2BdM60E3ekKG0000000Y2T) = 696,635 [G]</t>
  </si>
  <si>
    <t xml:space="preserve"> Staničení: 0,46416 - 0,678: 530,910020569703 (2BdM60E3ekKG0000000Y3D) = 530,910 [H]</t>
  </si>
  <si>
    <t xml:space="preserve"> Celkové množství 1311.799000 = 1311,799 [I]</t>
  </si>
  <si>
    <t>919115</t>
  </si>
  <si>
    <t>REZÁNÍ ASFALTOVÉHO KRYTU VOZOVEK TL DO 250MM</t>
  </si>
  <si>
    <t>Materiál:
řez spáry živičnou pilou:
podrobná specifikace:
hloubka dle zastižené kce:
Reference:
D.19.1 technická zpráva, D.19.2 situace demolic:
specifikace:
proříznutí asfaltového krytu na styku se stávající vozovkou:</t>
  </si>
  <si>
    <t xml:space="preserve"> Staničení: 0,74241 - 0,74251: 3,7344 (2BdM60E3ekKG0000000Xp$) = 3,734 [A]</t>
  </si>
  <si>
    <t xml:space="preserve"> Staničení: 0,18918 - 0,18919: 6,07 (2BdM60E3ekKG0000000Xb7) = 6,070 [B]</t>
  </si>
  <si>
    <t xml:space="preserve"> Staničení: 0,73216 - 0,76046: 20,36 (2BdM60E3ekKG0000000XbE) = 20,360 [C]</t>
  </si>
  <si>
    <t xml:space="preserve"> Staničení: -0,42858 - -0,42842: 13,41 (2BdM60E3ekKG0000000Xah) = 13,410 [D]</t>
  </si>
  <si>
    <t xml:space="preserve"> Staničení: 0,84741 - 0,85283: 7,56 (2BdM60E3ekKG0000000XbL) = 7,560 [E]</t>
  </si>
  <si>
    <t xml:space="preserve"> Staničení: -0,39768 - -0,35581: 45,93 (2BdM60E3ekKG0000000Xav) = 45,930 [F]</t>
  </si>
  <si>
    <t xml:space="preserve"> Staničení: -0,42313 - -0,40757: 16,39 (2BdM60E3ekKG0000000Xao) = 16,390 [G]</t>
  </si>
  <si>
    <t xml:space="preserve"> Staničení: -0,14701 - -0,14699: 9,04 (2BdM60E3ekKG0000000Xb0) = 9,040 [H]</t>
  </si>
  <si>
    <t xml:space="preserve"> Celkové množství 122.494000 = 122,494 [I]</t>
  </si>
  <si>
    <t>položka zahrnuje rezání vozovkové vrstvy v predepsané tlouštce, vcetne spotreby vody</t>
  </si>
  <si>
    <t>125732</t>
  </si>
  <si>
    <t>VYKOPÁVKY ZE ZEMNÍKŮ A SKLÁDEK TŘ. I, ODVOZ DO 2KM</t>
  </si>
  <si>
    <t>Materiál:
ornice:
podrobná specifikace:
následné rozrytí a prokypření:
Reference:
D.20.3 vzorové řezy, D.20.1 technická zpráva:
specifikace:
ornice získaná skrývkou ornice z pozemků s ochranou ZPF, případně nakupovaná, tl. 200 mm:</t>
  </si>
  <si>
    <t xml:space="preserve"> Staničení: 0,89662 - 0,93066: 17,7303402868032 (2IZ$c5UOrFgm0000000Wi0) = 17,730 [A]</t>
  </si>
  <si>
    <t xml:space="preserve"> Staničení: 0,92442 - 0,92827: 4,49015606601376 (2IZ$c5UOrFgm0000000Whp) = 4,490 [B]</t>
  </si>
  <si>
    <t xml:space="preserve"> Staničení: 0,68579 - 0,69336: 3,1667381626393 (2IZ$c5UOrFgm0000000Whc) = 3,167 [C]</t>
  </si>
  <si>
    <t xml:space="preserve"> Staničení: 61,90251 - 61,95761: 317,725522046164 (2IZ$c5UOrFgm0000000Wd8) = 317,726 [D]</t>
  </si>
  <si>
    <t xml:space="preserve"> Celkové množství 343.113000 = 343,113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</si>
  <si>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</si>
  <si>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18220</t>
  </si>
  <si>
    <t>ROZPROSTŘENÍ ORNICE VE SVAHU</t>
  </si>
  <si>
    <t>Materiál:
ornice:
podrobná specifikace:
následné rozrytí a prokypření:
Reference:
D.20.3 vzorové řezy, D.20.1 technická zpráva:
specifikace:
ornice získaná skrývkou ornice z pozemků s ochranou ZPF, případně nakupovaná, tl. 200 mm</t>
  </si>
  <si>
    <t>položka zahrnuje:
nutné přemístění ornice z dočasných skládek vzdálených do 50m
rozprostření ornice v předepsané tloušťce ve svahu přes 1:5</t>
  </si>
  <si>
    <t>18242</t>
  </si>
  <si>
    <t>ZALOŽENÍ TRÁVNÍKU HYDROOSEVEM NA ORNICI</t>
  </si>
  <si>
    <t>Materiál:
luční směs 0.042t/ha:
podrobná specifikace:
Založení porostů musí být provedeno ihned po provedení jemných terénních úprav, tak aby nový porost redukoval výskyt plevelů.:
Reference:
D.20.3 vzorové řezy, D.20.1 technická zpráva, ČSN 83 9031:
specifikace:
založení lučního porostu osevem, organická hnojiva 47.250 t/ha, NPK 0.042 t/ha, LAV 0.320 t/ha:</t>
  </si>
  <si>
    <t xml:space="preserve"> Staničení: 0,92442 - 0,92827: 22,4884306213087 (2IZ$c5UOrFgm0000000Wid) = 22,488 [A]</t>
  </si>
  <si>
    <t xml:space="preserve"> Staničení: 0,68579 - 0,69336: 15,8442657250691 (2IZ$c5UOrFgm0000000WiQ) = 15,844 [B]</t>
  </si>
  <si>
    <t xml:space="preserve"> Staničení: 61,90251 - 61,95567: 1592,38123036875 (2IZ$c5UOrFgm0000000WdY) = 1592,381 [C]</t>
  </si>
  <si>
    <t xml:space="preserve"> Staničení: 0,90004 - 0,92458: 88,7302601456856 (2IZ$c5UOrFgm0000000Wiq) = 88,730 [D]</t>
  </si>
  <si>
    <t xml:space="preserve"> Celkové množství 1719.443000 = 1719,443 [E]</t>
  </si>
  <si>
    <t>Zahrnuje dodání předepsané travní směsi, hydroosev na ornici, zalévání, první pokosení, to vše bez ohledu na sklon terénu</t>
  </si>
  <si>
    <t>18247</t>
  </si>
  <si>
    <t>OŠETŘOVÁNÍ TRÁVNÍKU</t>
  </si>
  <si>
    <t>Materiál:
luční směs 0.042t/ha:
podrobná specifikace:
Založení porostů musí být provedeno ihned po provedení jemných terénních úprav, tak aby nový porost redukoval výskyt plevelů.:
Reference:
D.20.3 vzorové řezy, D.20.1 technická zpráva, ČSN 83 9031:
specifikace:
založení lučního porostu osevem, organická hnojiva 47.250 t/ha, NPK 0.042 t/ha, LAV 0.320 t/ha:
Pouze po dobu realizace stavby do jejího převzetí objednatelem.</t>
  </si>
  <si>
    <t>Zahrnuje pokosení se shrabáním, naložení shrabků na dopravní prostředek, s odvozem a se složením, to vše bez ohledu na sklon terénu
zahrnuje nutné zalití a hnojení</t>
  </si>
  <si>
    <t>123732</t>
  </si>
  <si>
    <t>ODKOP PRO SPOD STAVBU SILNIC A ŽELEZNIC TŘ. I, ODVOZ DO 2KM</t>
  </si>
  <si>
    <t>Další specifikace:
zpětné použití do násypů a aktivní zóny:
Klasifikace zemin / hornin:
F4 CS, S5 SC, F5ML/MI, F6 CI, S4 SM, S3 S-F, G3 G-F:
Třída těžitelnosti:
1:</t>
  </si>
  <si>
    <t xml:space="preserve"> Staničení: 61,96951 - 61,97106: 0,0743491046424691 (2IZ$c5UOrFgm0000000WcC) = 0,074 [A]</t>
  </si>
  <si>
    <t xml:space="preserve"> Staničení: 61,90999 - 61,91107: 0,00407402860890391 (2IZ$c5UOrFgm0000000Wc0) = 0,004 [B]</t>
  </si>
  <si>
    <t xml:space="preserve"> Staničení: 61,9595 - 61,96753: 0,42750384502971 (2IZ$c5UOrFgm0000000WbS) = 0,428 [C]</t>
  </si>
  <si>
    <t xml:space="preserve"> Staničení: 61,8526 - 61,87808: 5,0998961973536 (2IZ$c5UOrFgm0000000Wcm) = 5,100 [D]</t>
  </si>
  <si>
    <t xml:space="preserve"> Staničení: 61,90092 - 61,90149: 0 (2IZ$c5UOrFgm0000000WcO) = 0,000 [E]</t>
  </si>
  <si>
    <t xml:space="preserve"> Staničení: 61,94592 - 61,94719: 0,0143708725777118 (2IZ$c5UOrFgm0000000Wai) = 0,014 [F]</t>
  </si>
  <si>
    <t xml:space="preserve"> Staničení: 61,83738 - 61,85846: 3,22377893859567 (2IZ$c5UOrFgm0000000Wcy) = 3,224 [G]</t>
  </si>
  <si>
    <t xml:space="preserve"> Staničení: 61,91505 - 61,92367: 0,249666650576991 (2IZ$c5UOrFgm0000000Wbe) = 0,250 [H]</t>
  </si>
  <si>
    <t xml:space="preserve"> Staničení: 61,97199 - 61,97238: 0,00151048349225371 (2IZ$c5UOrFgm0000000WaK) = 0,002 [I]</t>
  </si>
  <si>
    <t xml:space="preserve"> Staničení: 61,93348 - 61,93382: 0,00015523730083049 (2IZ$c5UOrFgm0000000Wau) = 0,000 [J]</t>
  </si>
  <si>
    <t xml:space="preserve"> Staničení: 61,88008 - 61,99567: 89.9332 (2IZ$c5UOrFgm0000000Wa8) = 89,933 [K]</t>
  </si>
  <si>
    <t xml:space="preserve"> Staničení: 61,97023 - 61,97067: 0,00284664163658404 (2IZ$c5UOrFgm0000000Wca) = 0,003 [L]</t>
  </si>
  <si>
    <t xml:space="preserve"> Staničení: 61,92763 - 61,93073: 0,0141416084697787 (2IZ$c5UOrFgm0000000WbG) = 0,014 [M]</t>
  </si>
  <si>
    <t xml:space="preserve"> Staničení: 61,95792 - 61,9593: 0,00107777480360619 (2IZ$c5UOrFgm0000000Wb4) = 0,001 [N]</t>
  </si>
  <si>
    <t xml:space="preserve"> Staničení: 61,86361 - 61,87912: 3,12272712651032 (2IZ$c5UOrFgm0000000WaW) = 3,123 [O]</t>
  </si>
  <si>
    <t xml:space="preserve"> Staničení: 61,96785 - 61,96892: 0,00582513330481347 (2IZ$c5UOrFgm0000000Wbq) = 0,006 [P]</t>
  </si>
  <si>
    <t xml:space="preserve"> Celkové množství 102.176000 = 102,176 [Q]</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</si>
  <si>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</si>
  <si>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Materiál:
ornice:
podrobná specifikace:
následné rozrytí a prokypření:
Reference:
vzorové řezy, technická zpráva:
specifikace:
ornice získaná skrývkou ornice z pozemků s ochranou ZPF, případně nakupovaná, tl. 200 mm</t>
  </si>
  <si>
    <t xml:space="preserve"> Staničení: 61,83734 - 61,99567: 309.2386 (2IZ$c5UOrFgm0000000WdL) = 309,239 [A]</t>
  </si>
  <si>
    <t xml:space="preserve"> Celkové množství 309.2386 = 309,239 [B]</t>
  </si>
  <si>
    <t>17120</t>
  </si>
  <si>
    <t>ULOŽENÍ SYPANINY DO NÁSYPŮ A NA SKLÁDKY BEZ ZHUTNĚNÍ</t>
  </si>
  <si>
    <t>Materiál:
zemina:
podrobná specifikace:
doplnění zeminy pro úrovnánírekultivované plochy, zemina bude použita z výkopů stavby:
Reference:
ČSN 736133, vzorové řezy, technická zpráva:
specifikace:
zemina třídy F4 CS, S5 SC, F5ML/MI, F6 CI, S4 SM, S3 S-F, G3 G-F:</t>
  </si>
  <si>
    <t xml:space="preserve"> Staničení: 61,83734 - 61,99561: 308.0671 (2IZ$c5UOrFgm0000000WZy) = 308,067 [A]</t>
  </si>
  <si>
    <t xml:space="preserve"> Celkové množství 308.0671 = 308,067 [B]</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</si>
  <si>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</si>
  <si>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 xml:space="preserve"> Staničení: 61,84077 - 61,99567: 1566.09 (2IZ$c5UOrFgm0000000Wdl) = 1566,090 [A]</t>
  </si>
  <si>
    <t xml:space="preserve"> Celkové množství 1566.09 = 1566,090 [B]</t>
  </si>
  <si>
    <t xml:space="preserve"> Staničení: 0,67687 - 0,69591: 43,3144462855395 (2IZ$c5UOrFgm0000000WhP) = 43,314 [A]</t>
  </si>
  <si>
    <t xml:space="preserve"> Celkové množství 43.314000 = 43,314 [B]</t>
  </si>
  <si>
    <t xml:space="preserve"> Staničení: 0,67745 - 0,6917: 216,718087892715 (2IZ$c5UOrFgm0000000Wj1) = 216,718 [A]</t>
  </si>
  <si>
    <t xml:space="preserve"> Celkové množství 216.718000 = 216,718 [B]</t>
  </si>
  <si>
    <t xml:space="preserve"> Staničení: 0,93914 - 1,1445: 391,945407438702 (2IZ$c5UOrFgm0000000WiD) = 391,945 [A]</t>
  </si>
  <si>
    <t xml:space="preserve"> Celkové množství 391.945000 = 391,945 [B]</t>
  </si>
  <si>
    <t xml:space="preserve"> Staničení: 0,96382 - 1,1445: 1972,42262977326 (2IZ$c5UOrFgm0000000WjE) = 1972,423 [A]</t>
  </si>
  <si>
    <t xml:space="preserve"> Celkové množství 1972.423000 = 1972,423 [B]</t>
  </si>
  <si>
    <t>Objekt:</t>
  </si>
  <si>
    <t>SO101</t>
  </si>
  <si>
    <t>Přeložka silnice II/353</t>
  </si>
  <si>
    <t>O1</t>
  </si>
  <si>
    <t>12573</t>
  </si>
  <si>
    <t>VYKOPÁVKY ZE ZEMNÍKŮ A SKLÁDEK TŘ. I</t>
  </si>
  <si>
    <t>Materiál:
vhodný nenamrzavý materiál:
podrobná specifikace:
dosypávka zhutněným nenamrzavým materiálem pod  nezpevněnou krajnicí:
Reference:
ČSN 736133, D.1.4 vzorové řezy, D.1.1 technická zpráva:
specifikace:
dosypávka zhutněným nenamrzavým materiálem :</t>
  </si>
  <si>
    <t xml:space="preserve"> Staničení: 0,77632 - 0,77797: 0,169926192602275 (2WqkYr7d0dfG0000000r62) = 0,170 [A]</t>
  </si>
  <si>
    <t xml:space="preserve"> Staničení: 0,68367 - 0,69563: 1,24690822542008 (2WqkYr7d0dfG0000000r7A) = 1,247 [B]</t>
  </si>
  <si>
    <t xml:space="preserve"> Staničení: 1,11811 - 1,12211: 0,00455070535173164 (2WqkYr7d0dfG0000000qnL) = 0,005 [C]</t>
  </si>
  <si>
    <t xml:space="preserve"> Staničení: 0,668 - 0,67248: 0,48546002344907 (2WqkYr7d0dfG0000000r6y) = 0,485 [D]</t>
  </si>
  <si>
    <t xml:space="preserve"> Staničení: 0,77956 - 0,78141: 0,0301928018481335 (2WqkYr7d0dfG0000000r7y) = 0,030 [E]</t>
  </si>
  <si>
    <t xml:space="preserve"> Staničení: 1,11011 - 1,11711: 0,360450611368407 (2WqkYr7d0dfG0000000qqI) = 0,360 [F]</t>
  </si>
  <si>
    <t xml:space="preserve"> Staničení: 1,10511 - 1,10881: 0,00420865866818543 (2WqkYr7d0dfG0000000qmz) = 0,004 [G]</t>
  </si>
  <si>
    <t xml:space="preserve"> Staničení: 1,11811 - 1,12211: 1,10894310526436 (2WqkYr7d0dfG0000000qnX) = 1,109 [H]</t>
  </si>
  <si>
    <t xml:space="preserve"> Staničení: 1,10511 - 1,10881: 1,02560229083269 (2WqkYr7d0dfG0000000qn9) = 1,026 [I]</t>
  </si>
  <si>
    <t xml:space="preserve"> Staničení: 0,7909 - 0,79309: 0,0457917152259593 (2WqkYr7d0dfG0000000r8D) = 0,046 [J]</t>
  </si>
  <si>
    <t xml:space="preserve"> Celkové množství 4.482000 = 4,482 [K]</t>
  </si>
  <si>
    <t xml:space="preserve"> Staničení: 0,86205 - 0,864: 3,56275528749585 (2TQ7FGLHHma000000054l6) = 3,563 [A]</t>
  </si>
  <si>
    <t xml:space="preserve"> Staničení: 0,847 - 0,862: 0,303291308099099 (2TQ7FGLHHma00000005436) = 0,303 [B]</t>
  </si>
  <si>
    <t xml:space="preserve"> Staničení: 0,862 - 0,86205: 0,000874429311762269 (2TQ7FGLHHma000000054uT) = 0,001 [C]</t>
  </si>
  <si>
    <t xml:space="preserve"> Staničení: 0,798 - 0,847: 1,9675463481061 (2TQ7FGLHHma000000053pN) = 1,968 [D]</t>
  </si>
  <si>
    <t xml:space="preserve"> Staničení: 0,95974 - 0,96764: 0,745462172059763 (2TQ7FGLHHma000000054d9) = 0,745 [E]</t>
  </si>
  <si>
    <t xml:space="preserve"> Staničení: 0,96765 - 1,10511: 23,7527489555851 (2TQ7FGLHHma000000054h9) = 23,753 [F]</t>
  </si>
  <si>
    <t xml:space="preserve"> Staničení: 0,798 - 0,847: 0,839191364156289 (2TQ7FGLHHma000000054Um) = 0,839 [G]</t>
  </si>
  <si>
    <t xml:space="preserve"> Staničení: 0,862 - 0,86205: 0,0008870507105943 (2TQ7FGLHHma000000054Q7) = 0,001 [H]</t>
  </si>
  <si>
    <t xml:space="preserve"> Staničení: 0,862 - 0,86205: 0,0016656211898365 (2TQ7FGLHHma000000054vW) = 0,002 [I]</t>
  </si>
  <si>
    <t xml:space="preserve"> Staničení: 0,79314 - 0,79713: 0,194629599144824 (2TQ7FGLHHma0000000540M) = 0,195 [J]</t>
  </si>
  <si>
    <t xml:space="preserve"> Staničení: 0,79314 - 0,79713: 0,0330187499479071 (2TQ7FGLHHma000000054lu) = 0,033 [K]</t>
  </si>
  <si>
    <t xml:space="preserve"> Staničení: 1,12211 - 1,1445: 6,09009019965746 (2TQ7FGLHHma0000000558e) = 6,090 [L]</t>
  </si>
  <si>
    <t xml:space="preserve"> Staničení: 0,79713 - 0,847: 1,00149264469784 (2TQ7FGLHHma000000053xI) = 1,001 [M]</t>
  </si>
  <si>
    <t xml:space="preserve"> Staničení: 0,864 - 0,91334: 9,71979174625384 (2TQ7FGLHHma000000055Dm) = 9,720 [N]</t>
  </si>
  <si>
    <t xml:space="preserve"> Staničení: 0,79314 - 0,79713: 0,0353199327919666 (2TQ7FGLHHma0000000550A) = 0,035 [O]</t>
  </si>
  <si>
    <t xml:space="preserve"> Staničení: 0,86205 - 0,864: 1,47152857336105 (2TQ7FGLHHma000000054fF) = 1,472 [P]</t>
  </si>
  <si>
    <t xml:space="preserve"> Staničení: 0,912 - 0,935: 2,45935245195107 (2TQ7FGLHHma0000000547p) = 2,459 [Q]</t>
  </si>
  <si>
    <t xml:space="preserve"> Staničení: 0,847 - 0,862: 0,362811040087768 (2TQ7FGLHHma000000054qK) = 0,363 [R]</t>
  </si>
  <si>
    <t xml:space="preserve"> Staničení: 0,862 - 0,86205: 0,00306232317505859 (2TQ7FGLHHma000000054Ri) = 0,003 [S]</t>
  </si>
  <si>
    <t xml:space="preserve"> Staničení: 0,91334 - 0,96764: 5,70679033385451 (2TQ7FGLHHma0000000542U) = 5,707 [T]</t>
  </si>
  <si>
    <t xml:space="preserve"> Staničení: 0,79713 - 0,798: 0,0429661622797862 (2TQ7FGLHHma000000054YS) = 0,043 [U]</t>
  </si>
  <si>
    <t xml:space="preserve"> Staničení: 0,79314 - 0,79713: 0,0818872570160141 (2TQ7FGLHHma000000053zq) = 0,082 [V]</t>
  </si>
  <si>
    <t xml:space="preserve"> Staničení: 0,96765 - 1,10511: 0,155019297285913 (2TQ7FGLHHma000000054gg) = 0,155 [W]</t>
  </si>
  <si>
    <t xml:space="preserve"> Staničení: 1,12211 - 1,1445: 0,025113956922298 (2TQ7FGLHHma000000054hg) = 0,025 [X]</t>
  </si>
  <si>
    <t xml:space="preserve"> Staničení: 0,847 - 0,862: 0,619931309337967 (2TQ7FGLHHma000000053oM) = 0,620 [Y]</t>
  </si>
  <si>
    <t xml:space="preserve"> Staničení: 0,86205 - 0,864: 0,396425594733066 (2TQ7FGLHHma000000054e$) = 0,396 [Z]</t>
  </si>
  <si>
    <t xml:space="preserve"> Staničení: 0,935 - 0,958: 2,45293345790152 (2TQ7FGLHHma000000054OB) = 2,453 [AA]</t>
  </si>
  <si>
    <t xml:space="preserve"> Staničení: 0,69563 - 0,76001: 10,1736902484201 (2TQ7FGLHHma0000000548b) = 10,174 [AB]</t>
  </si>
  <si>
    <t xml:space="preserve"> Staničení: 0,79713 - 0,847: 0,842072817128769 (2TQ7FGLHHma000000053wH) = 0,842 [AC]</t>
  </si>
  <si>
    <t xml:space="preserve"> Staničení: 0,958 - 1,139: 12,5282109307201 (2TQ7FGLHHma0000000559n) = 12,528 [AD]</t>
  </si>
  <si>
    <t xml:space="preserve"> Staničení: 0,864 - 0,912: 14,0244742898037 (2TQ7FGLHHma000000054Tt) = 14,024 [AE]</t>
  </si>
  <si>
    <t xml:space="preserve"> Staničení: 0,79713 - 0,798: 0,0111110836155173 (2TQ7FGLHHma000000054Wt) = 0,011 [AF]</t>
  </si>
  <si>
    <t xml:space="preserve"> Staničení: 0,69563 - 0,77632: 8,2392751251581 (2TQ7FGLHHma0000000554L) = 8,239 [AG]</t>
  </si>
  <si>
    <t xml:space="preserve"> Staničení: 0,79309 - 0,79313: 0,000224326962223722 (2TQ7FGLHHma000000054jG) = 0,000 [AH]</t>
  </si>
  <si>
    <t xml:space="preserve"> Staničení: 1,139 - 1,1445: 0,560377892513146 (2TQ7FGLHHma00000004Nqx) = 0,560 [AI]</t>
  </si>
  <si>
    <t xml:space="preserve"> Staničení: 0,847 - 0,862: 0,362485854773978 (2TQ7FGLHHma000000054ZE) = 0,362 [AJ]</t>
  </si>
  <si>
    <t xml:space="preserve"> Staničení: 0,864 - 0,91334: 3,58514126158105 (2TQ7FGLHHma0000000549c) = 3,585 [AK]</t>
  </si>
  <si>
    <t xml:space="preserve"> Staničení: 1,139 - 1,143: 0,0501329114722912 (2TQ7FGLHHma00000004Nq3) = 0,050 [AL]</t>
  </si>
  <si>
    <t xml:space="preserve"> Celkové množství 112.402000 = 112,402 [AM]</t>
  </si>
  <si>
    <t xml:space="preserve"> Staničení: 0,176 - 0,2006: 5,29756017185476 (2ATl_MlSUNQm0000001udq) = 5,298 [A]</t>
  </si>
  <si>
    <t xml:space="preserve"> Staničení: 0,05411 - 0,07593: 1,45139420730768 (2ATl_MlSUNQm0000001u_q) = 1,451 [B]</t>
  </si>
  <si>
    <t xml:space="preserve"> Staničení: 0,07593 - 0,085: 0,527417551251761 (2ATl_MlSUNQm0000001udB) = 0,527 [C]</t>
  </si>
  <si>
    <t xml:space="preserve"> Staničení: 0,02 - 0,05411: 4,26350599367427 (2ATl_MlSUNQm0000001ugB) = 4,264 [D]</t>
  </si>
  <si>
    <t xml:space="preserve"> Staničení: 0,21033 - 0,21048: 0,0153940876321043 (2ATl_MlSUNQm0000001w74) = 0,015 [E]</t>
  </si>
  <si>
    <t xml:space="preserve"> Staničení: 0,362 - 0,65: 43,9411855872377 (2ATl_MlSUNQm0000001uhE) = 43,941 [F]</t>
  </si>
  <si>
    <t xml:space="preserve"> Staničení: 0,25 - 0,252: 0,2165269722868 (2ATl_MlSUNQm0000001ude) = 0,217 [G]</t>
  </si>
  <si>
    <t xml:space="preserve"> Staničení: 0,174 - 0,176: 0,383123294112324 (2ATl_MlSUNQm0000001ueO) = 0,383 [H]</t>
  </si>
  <si>
    <t xml:space="preserve"> Staničení: 0,45 - 0,47525: 2,4962747201847 (2ATl_MlSUNQm0000001uey) = 2,496 [I]</t>
  </si>
  <si>
    <t xml:space="preserve"> Staničení: 0,134 - 0,174: 7,12332275162159 (2ATl_MlSUNQm0000001ueC) = 7,123 [J]</t>
  </si>
  <si>
    <t xml:space="preserve"> Staničení: 0,2481 - 0,349: 8,6564220344759 (2ATl_MlSUNQm0000001uh2) = 8,656 [K]</t>
  </si>
  <si>
    <t xml:space="preserve"> Staničení: 0 - 0,02: 1,97398065794158 (2ATl_MlSUNQm0000001ufR) = 1,974 [L]</t>
  </si>
  <si>
    <t xml:space="preserve"> Staničení: 0,14656 - 0,18266: 3,70464683143164 (2ATl_MlSUNQm0000001ue0) = 3,705 [M]</t>
  </si>
  <si>
    <t xml:space="preserve"> Staničení: 0,349 - 0,351: 0,176419081517505 (2ATl_MlSUNQm0000001uem) = 0,176 [N]</t>
  </si>
  <si>
    <t xml:space="preserve"> Staničení: 0,2006 - 0,2036: 0,366213149451204 (2ATl_MlSUNQm0000001uea) = 0,366 [O]</t>
  </si>
  <si>
    <t xml:space="preserve"> Staničení: 0 - 0,101: 9,8466412742541 (2ATl_MlSUNQm0000001ufp) = 9,847 [P]</t>
  </si>
  <si>
    <t xml:space="preserve"> Staničení: 0,351 - 0,45: 13,047199852112 (2ATl_MlSUNQm0000001ugZ) = 13,047 [Q]</t>
  </si>
  <si>
    <t xml:space="preserve"> Staničení: 0,2036 - 0,2481: 3,86673317748805 (2ATl_MlSUNQm0000001uf$) = 3,867 [R]</t>
  </si>
  <si>
    <t xml:space="preserve"> Staničení: 0,21048 - 0,25: 4,05597114197393 (2ATl_MlSUNQm0000001ufd) = 4,056 [S]</t>
  </si>
  <si>
    <t xml:space="preserve"> Staničení: 0,47525 - 0,68: 20,3282479742776 (2ATl_MlSUNQm0000001uf8) = 20,328 [T]</t>
  </si>
  <si>
    <t xml:space="preserve"> Staničení: 0,252 - 0,362: 12,6782555054102 (2ATl_MlSUNQm0000001udN) = 12,678 [U]</t>
  </si>
  <si>
    <t xml:space="preserve"> Staničení: 0,098 - 0,14656: 4,91985001119893 (2ATl_MlSUNQm0000001ugN) = 4,920 [V]</t>
  </si>
  <si>
    <t xml:space="preserve"> Staničení: 0,18266 - 0,18281: 0,0149231177088997 (2ATl_MlSUNQm0000001wAl) = 0,015 [W]</t>
  </si>
  <si>
    <t xml:space="preserve"> Staničení: 0,65 - 0,668: 1,98968389221363 (2ATl_MlSUNQm0000001urS) = 1,990 [X]</t>
  </si>
  <si>
    <t xml:space="preserve"> Staničení: 0,68 - 0,69563: 1,55339730815805 (2ATl_MlSUNQm0000001ugs) = 1,553 [Y]</t>
  </si>
  <si>
    <t xml:space="preserve"> Celkové množství 152.893000 = 152,893 [Z]</t>
  </si>
  <si>
    <t>131832</t>
  </si>
  <si>
    <t>HLOUBENÍ JAM ZAPAŽ I NEPAŽ TŘ. II, ODVOZ DO 2KM</t>
  </si>
  <si>
    <t>Další specifikace:
zpětné použití do násypů a aktivní zóny za podmínky úpravy:
Klasifikace zemin / hornin:
F4 CS, S5 SC, F5ML/MI, F6 CI, S4 SM, S3 S-F, G3 G-F, R6-R4, (upravené vápnem):
Třída těžitelnosti:
2:</t>
  </si>
  <si>
    <t xml:space="preserve"> Staničení: 0,35178 - 0,35322: 0,980002972825967 (2ATl_MlSUNQm0000001uoT) = 0,980 [A]</t>
  </si>
  <si>
    <t xml:space="preserve"> Staničení: 0,47925 - 0,48066: 1,00096306945654 (2ATl_MlSUNQm0000001uoH) = 1,001 [B]</t>
  </si>
  <si>
    <t xml:space="preserve"> Staničení: 0,58929 - 0,59071: 1,14805978380176 (2ATl_MlSUNQm0000001uyh) = 1,148 [C]</t>
  </si>
  <si>
    <t xml:space="preserve"> Staničení: 0,47926 - 0,48065: 0,979990412688492 (2ATl_MlSUNQm0000001uor) = 0,980 [D]</t>
  </si>
  <si>
    <t xml:space="preserve"> Staničení: 0,57925 - 0,58064: 1,86199764348115 (2ATl_MlSUNQm0000001uzU) = 1,862 [E]</t>
  </si>
  <si>
    <t xml:space="preserve"> Staničení: 0,36129 - 0,3627: 0,983681362683379 (2ATl_MlSUNQm0000001uof) = 0,984 [F]</t>
  </si>
  <si>
    <t xml:space="preserve"> Staničení: 0,3613 - 0,3627: 1,00510342579611 (2ATl_MlSUNQm0000001ukf) = 1,005 [G]</t>
  </si>
  <si>
    <t xml:space="preserve"> Celkové množství 7.960000 = 7,960 [H]</t>
  </si>
  <si>
    <t xml:space="preserve"> Staničení: 0,9113 - 0,91272: 1,3428128751181 (2TQ7FGLHHma00000004Zcc) = 1,343 [A]</t>
  </si>
  <si>
    <t xml:space="preserve"> Staničení: 1,00931 - 1,01072: 1,22883402375963 (2TQ7FGLHHma00000004Zch) = 1,229 [B]</t>
  </si>
  <si>
    <t xml:space="preserve"> Staničení: 0,77705 - 0,77853: 1,24563917859995 (2TQ7FGLHHma00000004ZcX) = 1,246 [C]</t>
  </si>
  <si>
    <t xml:space="preserve"> Celkové množství 3.818000 = 3,818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</si>
  <si>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</si>
  <si>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17310</t>
  </si>
  <si>
    <t>ZEMNÍ KRAJNICE A DOSYPÁVKY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</si>
  <si>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</si>
  <si>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</si>
  <si>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</si>
  <si>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Materiál:
ŠDA:
podrobná specifikace:
GE, zásyp hutněný po vrstvách:
Reference:
ČSN 73 6126-1, ČSN EN 1401-1, ČSN 75 6909, ČSN EN 1610, D.1.1 technická zpráva, D.1.8 vzorová uliční vpusť:
specifikace:
ŠDA fr. 0/63:</t>
  </si>
  <si>
    <t xml:space="preserve"> Staničení: 0,36129 - 0,3627: 0,737415876602065 (2ATl_MlSUNQm0000001vXW) = 0,737 [A]</t>
  </si>
  <si>
    <t xml:space="preserve"> Staničení: 0,35178 - 0,35322: 0,725005433780266 (2ATl_MlSUNQm0000001vXE) = 0,725 [B]</t>
  </si>
  <si>
    <t xml:space="preserve"> Staničení: 0,3613 - 0,3627: 0,757143103132963 (2ATl_MlSUNQm0000001vWy) = 0,757 [C]</t>
  </si>
  <si>
    <t xml:space="preserve"> Staničení: 0,47925 - 0,48066: 0,754697595860998 (2ATl_MlSUNQm0000001vY4) = 0,755 [D]</t>
  </si>
  <si>
    <t xml:space="preserve"> Staničení: 0,58929 - 0,59071: 0,952059783865493 (2ATl_MlSUNQm0000001vYm) = 0,952 [E]</t>
  </si>
  <si>
    <t xml:space="preserve"> Staničení: 0,57925 - 0,58064: 0,651249930712142 (2ATl_MlSUNQm0000001vYM) = 0,651 [F]</t>
  </si>
  <si>
    <t xml:space="preserve"> Staničení: 0,47926 - 0,48065: 0,73372495259192 (2ATl_MlSUNQm0000001vXo) = 0,734 [G]</t>
  </si>
  <si>
    <t xml:space="preserve"> Celkové množství 5.311000 = 5,311 [H]</t>
  </si>
  <si>
    <t xml:space="preserve"> Staničení: 1,00931 - 1,01071: 0,0268555619129236 (2TQ7FGLHHma00000004Zcm) = 0,027 [A]</t>
  </si>
  <si>
    <t xml:space="preserve"> Staničení: 0,9113 - 0,91271: 0,0674167026080216 (2TQ7FGLHHma00000004Zcp) = 0,067 [B]</t>
  </si>
  <si>
    <t xml:space="preserve"> Staničení: 0,77705 - 0,77847: 0,0754916144309846 (2TQ7FGLHHma00000004Zcv) = 0,075 [C]</t>
  </si>
  <si>
    <t xml:space="preserve"> Celkové množství 0.169000 = 0,169 [D]</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</si>
  <si>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</si>
  <si>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</si>
  <si>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</si>
  <si>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Materiál:
úprava pláně se zhutněním v zemině I.třídy:
podrobná specifikace:
zhutněná zemní pláň tvořená na zlepšené zemině upravené vápněním, Edef,2=45MPa:
Reference:
ČSN 736133, ČSN EN 72 1006, D.1.4 vzorové řezy, D.1.1 technická zpráva:
specifikace:
úprava zemní pláně se zhutněním dle ČSN 736133, sklony pláně v souladu s ČSN 736101:</t>
  </si>
  <si>
    <t xml:space="preserve"> Staničení: 0,69563 - 1,14276: 4773,63682187775 (2TQ7FGLHHma00000004PIB) = 4773,637 [A]</t>
  </si>
  <si>
    <t xml:space="preserve"> Celkové množství 4773.637000 = 4773,637 [B]</t>
  </si>
  <si>
    <t xml:space="preserve"> Staničení: 0 - 0,691: 7631,00067423975 (2ATl_MlSUNQm0000000gMJ) = 7631,001 [A]</t>
  </si>
  <si>
    <t xml:space="preserve"> Celkové množství 7631.001000 = 7631,001 [B]</t>
  </si>
  <si>
    <t>položka zahrnuje úpravu pláně včetně vyrovnání výškových rozdílů. Míru zhutnění určuje projekt.</t>
  </si>
  <si>
    <t>Základy</t>
  </si>
  <si>
    <t>21197</t>
  </si>
  <si>
    <t>OPLÁŠTĚNÍ ODVODŇOVACÍCH ŽEBER Z GEOTEXTILIE</t>
  </si>
  <si>
    <t>Kategorie stavebního výrobku:
Klasifikace dle CCI:
Podrobná specifikace:
usazení do drážky v betonovém loži tl. 100 mm, obsyp hrubý štěrkopísek fr. 8/32, dle ČSN 73 6126-1, netkaná filtrační geotextilie 300g/m2, odolnost proti protržení min 2kN, pevnost v tahu 5kN, propustnost 10 l/m2.s, délka v průřezu 2.15m:
Reference:
VL 2, D.1.1 technická zpráva, D.1.4 vzorové řezy:
Specifikace:
drenáž PE, DN 150, perforace ze 2/3:
Stavební výrobek:
drenážní potrubí včetně rýhy, lože, obsypu a opláštění z geotextilie:
Typ stavebního výrobku:
trativod komplet z trub z plast hmot:
Výrobce:
Nd:</t>
  </si>
  <si>
    <t xml:space="preserve"> délka z položky č. 212636 * průměrná délka v průřezu 2,5m Staničení: 0,3525 - 0,69563: 347,19*2,5 (2ATl_MlSUNQm0000001uzg) = 867,975 [A]</t>
  </si>
  <si>
    <t xml:space="preserve"> délka z položky č. 212636 * průměrná délka v průřezu 2,5m Staničení: 0,362 - 0,69563: 330,69*2,5 (2ATl_MlSUNQm0000001uyt) = 826,725 [B]</t>
  </si>
  <si>
    <t xml:space="preserve"> délka z položky č. 212636 * průměrná délka v průřezu 2,1m Staničení: 0,36175 - 0,36225: 9*2,1 (2ATl_MlSUNQm0000001uqF) = 18,900 [C]</t>
  </si>
  <si>
    <t xml:space="preserve"> Celkové množství 1713.600000 = 1713,600 [D]</t>
  </si>
  <si>
    <t xml:space="preserve"> délka z položky č. 212636 * průměrná délka v průřezu 2,1m 905,950*2,1 = 1902,495 [A]</t>
  </si>
  <si>
    <t xml:space="preserve"> Celkové množství 1902.495000 = 1902,495 [B]</t>
  </si>
  <si>
    <t>položka zahrnuje dodávku předepsané geotextilie, mimostaveništní a vnitrostaveništní dopravu a její uložení včetně potřebných přesahů (nezapočítávají se do výměry)</t>
  </si>
  <si>
    <t>212636</t>
  </si>
  <si>
    <t>TRATIVODY KOMPL Z TRUB Z PLAST HM DN DO 150MM, RÝHA TŘ II</t>
  </si>
  <si>
    <t xml:space="preserve"> Staničení: 0,3525 - 0,69563: 347,19 (2ATl_MlSUNQm0000001uzg) = 347,190 [A]</t>
  </si>
  <si>
    <t xml:space="preserve"> Staničení: 0,362 - 0,69563: 330,69 (2ATl_MlSUNQm0000001uyt) = 330,690 [B]</t>
  </si>
  <si>
    <t xml:space="preserve"> Staničení: 0,36175 - 0,36225: 9 (2ATl_MlSUNQm0000001uqF) = 9,000 [C]</t>
  </si>
  <si>
    <t xml:space="preserve"> Staničení: 0,36192 - 0,36207: 1,5 (2ATl_MlSUNQm0000001uia) = 1,500 [D]</t>
  </si>
  <si>
    <t xml:space="preserve"> Staničení: 0,35242 - 0,35258: 1,25 (2ATl_MlSUNQm0000001um8) = 1,250 [E]</t>
  </si>
  <si>
    <t xml:space="preserve"> Celkové množství 689.630000 = 689,630 [F]</t>
  </si>
  <si>
    <t xml:space="preserve"> Staničení: 1,09403 - 1,1411: 47,06 (2TQ7FGLHHma00000003y9a) = 47,060 [A]</t>
  </si>
  <si>
    <t xml:space="preserve"> Staničení: 0,81866 - 0,87346: 54,85 (2TQ7FGLHHma00000003y9M) = 54,850 [B]</t>
  </si>
  <si>
    <t xml:space="preserve"> Staničení: 0,7577 - 0,78244: 25,09 (2TQ7FGLHHma00000003y9Y) = 25,090 [C]</t>
  </si>
  <si>
    <t xml:space="preserve"> Staničení: 0,8177 - 0,90112: 83,37 (2TQ7FGLHHma00000003y9g) = 83,370 [D]</t>
  </si>
  <si>
    <t xml:space="preserve"> Staničení: 0,70376 - 0,70828: 4,58 (2TQ7FGLHHma00000003y9S) = 4,580 [E]</t>
  </si>
  <si>
    <t xml:space="preserve"> Staničení: 0,762 - 0,78741: 25,23 (2TQ7FGLHHma00000003y9h) = 25,230 [F]</t>
  </si>
  <si>
    <t xml:space="preserve"> Staničení: 0,71853 - 0,72438: 5,93 (2TQ7FGLHHma00000003y9T) = 5,930 [G]</t>
  </si>
  <si>
    <t xml:space="preserve"> Staničení: 1,04461 - 1,08676: 42,15 (2TQ7FGLHHma00000003y9b) = 42,150 [H]</t>
  </si>
  <si>
    <t xml:space="preserve"> Staničení: 0,87346 - 0,98978: 116,69 (2TQ7FGLHHma00000003y9N) = 116,690 [I]</t>
  </si>
  <si>
    <t xml:space="preserve"> Staničení: 1,08676 - 1,09403: 7,38 (2TQ7FGLHHma00000003y9Z) = 7,380 [J]</t>
  </si>
  <si>
    <t xml:space="preserve"> Staničení: 0,73476 - 0,7577: 23,23 (2TQ7FGLHHma00000003y9L) = 23,230 [K]</t>
  </si>
  <si>
    <t xml:space="preserve"> Staničení: 0,92113 - 0,98617: 65,11 (2TQ7FGLHHma00000003y9e) = 65,110 [L]</t>
  </si>
  <si>
    <t xml:space="preserve"> Staničení: 0,79949 - 0,81866: 19,25 (2TQ7FGLHHma00000003y9Q) = 19,250 [M]</t>
  </si>
  <si>
    <t xml:space="preserve"> Staničení: 0,72438 - 0,73476: 10,52 (2TQ7FGLHHma00000003y9K) = 10,520 [N]</t>
  </si>
  <si>
    <t xml:space="preserve"> Staničení: 0,69563 - 0,76246: 65,95 (2TQ7FGLHHma00000003y9k) = 65,950 [O]</t>
  </si>
  <si>
    <t xml:space="preserve"> Staničení: 0,70828 - 0,71329: 5,08 (2TQ7FGLHHma00000003y9W) = 5,080 [P]</t>
  </si>
  <si>
    <t xml:space="preserve"> Staničení: 0,79533 - 0,79949: 4,18 (2TQ7FGLHHma00000003y9X) = 4,180 [Q]</t>
  </si>
  <si>
    <t xml:space="preserve"> Staničení: 0,90112 - 0,92113: 20,76 (2TQ7FGLHHma00000003y9f) = 20,760 [R]</t>
  </si>
  <si>
    <t xml:space="preserve"> Staničení: 0,78244 - 0,79175: 9,37 (2TQ7FGLHHma00000003y9R) = 9,370 [S]</t>
  </si>
  <si>
    <t xml:space="preserve"> Staničení: 0,82975 - 0,83025: 13,12 (2TQ7FGLHHma00000004P4x) = 13,120 [T]</t>
  </si>
  <si>
    <t xml:space="preserve"> Staničení: 0,79174 - 0,79533: 3,61 (2TQ7FGLHHma00000003y9I) = 3,610 [U]</t>
  </si>
  <si>
    <t xml:space="preserve"> Staničení: 0,80184 - 0,8177: 15,8 (2TQ7FGLHHma00000003y9i) = 15,800 [V]</t>
  </si>
  <si>
    <t xml:space="preserve"> Staničení: 0,69563 - 0,69978: 4,21 (2TQ7FGLHHma00000003y9U) = 4,210 [W]</t>
  </si>
  <si>
    <t xml:space="preserve"> Staničení: 1,03701 - 1,04461: 7,69 (2TQ7FGLHHma00000003y9c) = 7,690 [X]</t>
  </si>
  <si>
    <t xml:space="preserve"> Staničení: 0,98978 - 1,01542: 26,28 (2TQ7FGLHHma00000003y9O) = 26,280 [Y]</t>
  </si>
  <si>
    <t xml:space="preserve"> Staničení: 0,98617 - 1,03701: 50,94 (2TQ7FGLHHma00000003y9d) = 50,940 [Z]</t>
  </si>
  <si>
    <t xml:space="preserve"> Staničení: 1,01542 - 1,14028: 124,86 (2TQ7FGLHHma00000003y9P) = 124,860 [AA]</t>
  </si>
  <si>
    <t xml:space="preserve"> Staničení: 0,69979 - 0,70376: 4,03 (2TQ7FGLHHma00000003y9J) = 4,030 [AB]</t>
  </si>
  <si>
    <t xml:space="preserve"> Staničení: 0,78742 - 0,80183: 14,33 (2TQ7FGLHHma00000003y9j) = 14,330 [AC]</t>
  </si>
  <si>
    <t xml:space="preserve"> Staničení: 0,71329 - 0,71853: 5,3 (2TQ7FGLHHma00000003y9V) = 5,300 [AD]</t>
  </si>
  <si>
    <t xml:space="preserve"> Celkové množství 905.950000 = 905,950 [AE]</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</si>
  <si>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</si>
  <si>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Vodorovné konstrukce</t>
  </si>
  <si>
    <t>451315</t>
  </si>
  <si>
    <t>PODKLADNÍ A VÝPLŇOVÉ VRSTVY Z PROSTÉHO BETONU C30/37</t>
  </si>
  <si>
    <t>Materiál:
prostý beton:
podrobná specifikace:
tl. Min 0.1 m:
Reference:
TKP 18, D.1.1 technická zpráva, D.1.11 vzorové vyústění drenáže:
specifikace:
podkladní beton/betonové lože, C30/37, XF3:</t>
  </si>
  <si>
    <t xml:space="preserve"> Staničení: 0,35212 - 0,35288: 0,0607348625751536 (2ATl_MlSUNQm0000001ulJ) = 0,061 [A]</t>
  </si>
  <si>
    <t xml:space="preserve"> Staničení: 0,36163 - 0,36237: 0,0300000011298162 (2ATl_MlSUNQm0000001uiO) = 0,030 [B]</t>
  </si>
  <si>
    <t xml:space="preserve"> Staničení: 0,36163 - 0,36237: 0,0464742077467118 (2ATl_MlSUNQm0000001uht) = 0,046 [C]</t>
  </si>
  <si>
    <t xml:space="preserve"> Staničení: 0,35212 - 0,35289: 0,111975822029379 (2ATl_MlSUNQm0000001ukr) = 0,112 [D]</t>
  </si>
  <si>
    <t xml:space="preserve"> Staničení: 0,35212 - 0,35288: 0,0299999999975964 (2ATl_MlSUNQm0000001ulm) = 0,030 [E]</t>
  </si>
  <si>
    <t xml:space="preserve"> Staničení: 0,36163 - 0,36237: 0,158754587930455 (2ATl_MlSUNQm0000001ui3) = 0,159 [F]</t>
  </si>
  <si>
    <t xml:space="preserve"> Celkové množství 0.438000 = 0,438 [G]</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</si>
  <si>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</si>
  <si>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45157</t>
  </si>
  <si>
    <t>PODKLADNÍ A VÝPLŇOVÉ VRSTVY Z KAMENIVA TĚŽENÉHO</t>
  </si>
  <si>
    <t>Materiál:
štěrkopísek:
podrobná specifikace:
štěrkopísek fr. 0/16:
Reference:
GE, tl. 0.1 m:
specifikace:
ČSN 73 6126-1, D.1.1 technická zpráva, D.1.12 vzorová drenážní šachta:</t>
  </si>
  <si>
    <t xml:space="preserve"> Staničení: 0,35178 - 0,35322: 0,195999999994808 (2ATl_MlSUNQm0000001umn) = 0,196 [A]</t>
  </si>
  <si>
    <t xml:space="preserve"> Staničení: 0,3613 - 0,3627: 0,19599999998745 (2ATl_MlSUNQm0000001ukB) = 0,196 [B]</t>
  </si>
  <si>
    <t xml:space="preserve"> Staničení: 0,47925 - 0,48066: 0,195999999996173 (2ATl_MlSUNQm0000001umb) = 0,196 [C]</t>
  </si>
  <si>
    <t xml:space="preserve"> Staničení: 0,47926 - 0,48065: 0,19600000002134 (2ATl_MlSUNQm0000001umP) = 0,196 [D]</t>
  </si>
  <si>
    <t xml:space="preserve"> Staničení: 0,36129 - 0,3627: 0,195999999998227 (2ATl_MlSUNQm0000001umz) = 0,196 [E]</t>
  </si>
  <si>
    <t xml:space="preserve"> Staničení: 0,57925 - 0,58064: 0,195999999967673 (2ATl_MlSUNQm0000001uzI) = 0,196 [F]</t>
  </si>
  <si>
    <t xml:space="preserve"> Staničení: 0,58929 - 0,59071: 0,195999999966458 (2ATl_MlSUNQm0000001uyG) = 0,196 [G]</t>
  </si>
  <si>
    <t xml:space="preserve"> Celkové množství 1.372000 = 1,372 [H]</t>
  </si>
  <si>
    <t xml:space="preserve"> Staničení: 0,9113 - 0,91272: 0,210262350853793 (2TQ7FGLHHma00000004ZcY) = 0,210 [A]</t>
  </si>
  <si>
    <t xml:space="preserve"> Staničení: 1,00931 - 1,01072: 0,210262350853793 (2TQ7FGLHHma00000004Zcd) = 0,210 [B]</t>
  </si>
  <si>
    <t xml:space="preserve"> Staničení: 0,77705 - 0,77853: 0,210262350853793 (2TQ7FGLHHma00000004ZcT) = 0,210 [C]</t>
  </si>
  <si>
    <t xml:space="preserve"> Celkové množství 0.630000 = 0,630 [D]</t>
  </si>
  <si>
    <t>položka zahrnuje dodávku předepsaného kameniva, mimostaveništní a vnitrostaveništní dopravu a jeho uložení
není-li v zadávací dokumentaci uvedeno jinak, jedná se o nakupovaný materiál</t>
  </si>
  <si>
    <t>56330</t>
  </si>
  <si>
    <t>VOZOVKOVÉ VRSTVY ZE ŠTĚRKODRTI</t>
  </si>
  <si>
    <t>Materiál:
ŠDA :
podrobná specifikace:
GE:
Reference:
ČSN 73 6126-1, D.1.4 vzorové řezy, D.1.1 technická zpráva:
specifikace:
ŠDA fr. 0/63, tl. 200 mm:</t>
  </si>
  <si>
    <t xml:space="preserve"> Staničení: 0,77632 - 0,77926: 0,233090442929208 (2WqkYr7d0dfG0000000r4p) = 0,233 [A]</t>
  </si>
  <si>
    <t xml:space="preserve"> Staničení: 0,08763 - 0,0955: 0,121945905401534 (2WqkYr7d0dfG0000000qXT) = 0,122 [B]</t>
  </si>
  <si>
    <t xml:space="preserve"> Staničení: 0,085 - 0,08763: 0,0406549755638716 (2WqkYr7d0dfG0000000qVT) = 0,041 [C]</t>
  </si>
  <si>
    <t xml:space="preserve"> Staničení: 0,78141 - 0,7909: 0,148052252595655 (2WqkYr7d0dfG0000000r1U) = 0,148 [D]</t>
  </si>
  <si>
    <t xml:space="preserve"> Staničení: 0,085 - 0,08763: 0,230399509389527 (2WqkYr7d0dfG0000000qVt) = 0,230 [E]</t>
  </si>
  <si>
    <t xml:space="preserve"> Staničení: 0,10419 - 0,12786: 2,12912417568596 (2WqkYr7d0dfG0000000qRt) = 2,129 [F]</t>
  </si>
  <si>
    <t xml:space="preserve"> Staničení: 0,68367 - 0,69563: 1,03380195685904 (2WqkYr7d0dfG0000000qgQ) = 1,034 [G]</t>
  </si>
  <si>
    <t xml:space="preserve"> Staničení: 0,67352 - 0,68367: 0,928705571026991 (2WqkYr7d0dfG0000000qj2) = 0,929 [H]</t>
  </si>
  <si>
    <t xml:space="preserve"> Staničení: 0,67299 - 0,67351: 0,0456213715849938 (2WqkYr7d0dfG0000000qhr) = 0,046 [I]</t>
  </si>
  <si>
    <t xml:space="preserve"> Staničení: 0,77926 - 0,78141: 0,190248893349644 (2WqkYr7d0dfG0000000r3J) = 0,190 [J]</t>
  </si>
  <si>
    <t xml:space="preserve"> Staničení: 0,668 - 0,67248: 0,347119256167055 (2WqkYr7d0dfG0000000qg6) = 0,347 [K]</t>
  </si>
  <si>
    <t xml:space="preserve"> Staničení: 0,0955 - 0,098: 0,219047511011201 (2WqkYr7d0dfG0000000qW4) = 0,219 [L]</t>
  </si>
  <si>
    <t xml:space="preserve"> Staničení: 0,12786 - 0,134: 0,552925808377647 (2WqkYr7d0dfG0000000qT4) = 0,553 [M]</t>
  </si>
  <si>
    <t xml:space="preserve"> Staničení: 0,08763 - 0,0955: 0,691098555279102 (2WqkYr7d0dfG0000000qXg) = 0,691 [N]</t>
  </si>
  <si>
    <t xml:space="preserve"> Staničení: 0,0955 - 0,098: 0,0386510069086363 (2WqkYr7d0dfG0000000qVg) = 0,039 [O]</t>
  </si>
  <si>
    <t xml:space="preserve"> Staničení: 0,101 - 0,10418: 0,287298954077619 (2WqkYr7d0dfG0000000qR3) = 0,287 [P]</t>
  </si>
  <si>
    <t xml:space="preserve"> Staničení: 0,67248 - 0,67299: 0,0436844943013139 (2WqkYr7d0dfG0000000qc3) = 0,044 [Q]</t>
  </si>
  <si>
    <t xml:space="preserve"> Celkové množství 7.282000 = 7,282 [R]</t>
  </si>
  <si>
    <t xml:space="preserve"> Staničení: 0,2481 - 0,349: 9,08822680231666 (2ATl_MlSUNQm0000001YoV) = 9,088 [A]</t>
  </si>
  <si>
    <t xml:space="preserve"> Staničení: 0,134 - 0,174: 3,60000878979545 (2ATl_MlSUNQm0000001YMv) = 3,600 [B]</t>
  </si>
  <si>
    <t xml:space="preserve"> Staničení: 0,21033 - 0,21048: 0,0132679338116084 (2ATl_MlSUNQm0000001w6g) = 0,013 [C]</t>
  </si>
  <si>
    <t xml:space="preserve"> Staničení: 0,252 - 0,362: 9,67334847873907 (2ATl_MlSUNQm0000001Y8t) = 9,673 [D]</t>
  </si>
  <si>
    <t xml:space="preserve"> Staničení: 0,176 - 0,2006: 2,21309035190632 (2ATl_MlSUNQm0000001YC_) = 2,213 [E]</t>
  </si>
  <si>
    <t xml:space="preserve"> Staničení: 0,362 - 0,65: 26,1398349677919 (2ATl_MlSUNQm0000001Yql) = 26,140 [F]</t>
  </si>
  <si>
    <t xml:space="preserve"> Staničení: 0,2006 - 0,2036: 0,23716640513088 (2ATl_MlSUNQm0000001YGz) = 0,237 [G]</t>
  </si>
  <si>
    <t xml:space="preserve"> Staničení: 0,68 - 0,69563: 1,35951655991407 (2ATl_MlSUNQm0000001YhZ) = 1,360 [H]</t>
  </si>
  <si>
    <t xml:space="preserve"> Staničení: 0 - 0,02: 1,80791552182408 (2ATl_MlSUNQm0000001YVi) = 1,808 [I]</t>
  </si>
  <si>
    <t xml:space="preserve"> Staničení: 0,2036 - 0,2481: 4,00338241707589 (2ATl_MlSUNQm0000001YZi) = 4,003 [J]</t>
  </si>
  <si>
    <t xml:space="preserve"> Staničení: 0,098 - 0,14656: 4,27052947966941 (2ATl_MlSUNQm0000001YeC) = 4,271 [K]</t>
  </si>
  <si>
    <t xml:space="preserve"> Staničení: 0,351 - 0,45: 8,77498419040149 (2ATl_MlSUNQm0000001YhC) = 8,775 [L]</t>
  </si>
  <si>
    <t xml:space="preserve"> Staničení: 0,25 - 0,252: 0,175748936872909 (2ATl_MlSUNQm0000001YBF) = 0,176 [M]</t>
  </si>
  <si>
    <t xml:space="preserve"> Staničení: 0 - 0,69563: 590,940658062311 (2ATl_MlSUNQm0000001Y7d) = 590,941 [N]</t>
  </si>
  <si>
    <t xml:space="preserve"> Staničení: 0,349 - 0,351: 0,158753294606763 (2ATl_MlSUNQm0000001YHD) = 0,159 [O]</t>
  </si>
  <si>
    <t xml:space="preserve"> Staničení: 0,65 - 0,668: 1,55630955411118 (2ATl_MlSUNQm0000001Ylp) = 1,556 [P]</t>
  </si>
  <si>
    <t xml:space="preserve"> Staničení: 0,14656 - 0,18266: 3,18155795357034 (2ATl_MlSUNQm0000001YLP) = 3,182 [Q]</t>
  </si>
  <si>
    <t xml:space="preserve"> Staničení: 0,174 - 0,176: 0,158045792282791 (2ATl_MlSUNQm0000001YGj) = 0,158 [R]</t>
  </si>
  <si>
    <t xml:space="preserve"> Staničení: 0 - 0,69563: 591,629991934417 (2ATl_MlSUNQm0000001Yl4) = 591,630 [S]</t>
  </si>
  <si>
    <t xml:space="preserve"> Staničení: 0,18266 - 0,18281: 0,0128565824712477 (2ATl_MlSUNQm0000001wA8) = 0,013 [T]</t>
  </si>
  <si>
    <t xml:space="preserve"> Staničení: 0,47525 - 0,68: 17,783147722861 (2ATl_MlSUNQm0000001YRm) = 17,783 [U]</t>
  </si>
  <si>
    <t xml:space="preserve"> Staničení: 0,02 - 0,085: 5,79567260855795 (2ATl_MlSUNQm0000001Ydy) = 5,796 [V]</t>
  </si>
  <si>
    <t xml:space="preserve"> Staničení: 0,21048 - 0,25: 3,48347661066605 (2ATl_MlSUNQm0000001YVy) = 3,483 [W]</t>
  </si>
  <si>
    <t xml:space="preserve"> Staničení: 0,45 - 0,47525: 2,18597968872412 (2ATl_MlSUNQm0000001YPY) = 2,186 [X]</t>
  </si>
  <si>
    <t xml:space="preserve"> Staničení: 0 - 0,101: 9,12619450609444 (2ATl_MlSUNQm0000001YZS) = 9,126 [Y]</t>
  </si>
  <si>
    <t xml:space="preserve"> Celkové množství 1297.370000 = 1297,370 [Z]</t>
  </si>
  <si>
    <t xml:space="preserve"> Staničení: 0,935 - 0,958: 0,285973168328272 (2TQ7FGLHHma000000054N4) = 0,286 [A]</t>
  </si>
  <si>
    <t xml:space="preserve"> Staničení: 0,69563 - 0,77632: 7,0389624656879 (2TQ7FGLHHma0000000553H) = 7,039 [B]</t>
  </si>
  <si>
    <t xml:space="preserve"> Staničení: 0,69563 - 0,76001: 5,47513184588817 (2TQ7FGLHHma000000053u7) = 5,475 [C]</t>
  </si>
  <si>
    <t xml:space="preserve"> Staničení: 0,958 - 1,139: 2,25958277752581 (2TQ7FGLHHma000000055CC) = 2,260 [D]</t>
  </si>
  <si>
    <t xml:space="preserve"> Staničení: 0,69563 - 0,76001: 1,7089493211441 (2TQ7FGLHHma000000055E5) = 1,709 [E]</t>
  </si>
  <si>
    <t xml:space="preserve"> Staničení: 0,912 - 0,935: 0,288210586586411 (2TQ7FGLHHma00000005557) = 0,288 [F]</t>
  </si>
  <si>
    <t xml:space="preserve"> Staničení: 0,91334 - 0,96764: 4,47504008278883 (2TQ7FGLHHma000000054mP) = 4,475 [G]</t>
  </si>
  <si>
    <t xml:space="preserve"> Staničení: 1,12211 - 1,143: 1,6984052336438 (2TQ7FGLHHma000000054Dx) = 1,698 [H]</t>
  </si>
  <si>
    <t xml:space="preserve"> Staničení: 0,958 - 1,143: 15,1854917463937 (2TQ7FGLHHma000000054Ex) = 15,185 [I]</t>
  </si>
  <si>
    <t xml:space="preserve"> Staničení: 0,862 - 0,86205: 0,0337807375265379 (2TQ7FGLHHma000000054tx) = 0,034 [J]</t>
  </si>
  <si>
    <t xml:space="preserve"> Staničení: 0,935 - 0,958: 1,87278024604421 (2TQ7FGLHHma000000054MK) = 1,873 [K]</t>
  </si>
  <si>
    <t xml:space="preserve"> Staničení: 0,69563 - 1,143: 380,654583708314 (2TQ7FGLHHma000000054G5) = 380,655 [L]</t>
  </si>
  <si>
    <t xml:space="preserve"> Staničení: 0,96765 - 1,10511: 11,3102475159939 (2TQ7FGLHHma0000000551U) = 11,310 [M]</t>
  </si>
  <si>
    <t xml:space="preserve"> Staničení: 0,69563 - 1,143: 379,609476322918 (2TQ7FGLHHma000000054JN) = 379,609 [N]</t>
  </si>
  <si>
    <t xml:space="preserve"> Staničení: 1,12211 - 1,143: 0,662654049347245 (2TQ7FGLHHma000000054DX) = 0,663 [O]</t>
  </si>
  <si>
    <t xml:space="preserve"> Staničení: 0,862 - 0,86205: 0,0339618895691049 (2TQ7FGLHHma000000054Pb) = 0,034 [P]</t>
  </si>
  <si>
    <t xml:space="preserve"> Staničení: 0,91334 - 0,96764: 0,678383026845156 (2TQ7FGLHHma000000054c8) = 0,678 [Q]</t>
  </si>
  <si>
    <t xml:space="preserve"> Staničení: 0,96765 - 1,10511: 4,36743546991365 (2TQ7FGLHHma000000054fV) = 4,367 [R]</t>
  </si>
  <si>
    <t xml:space="preserve"> Staničení: 0,912 - 0,935: 1,91151914427601 (2TQ7FGLHHma0000000554b) = 1,912 [S]</t>
  </si>
  <si>
    <t xml:space="preserve"> Staničení: 0,79314 - 0,79713: 0,00273626438415835 (2TQ7FGLHHma000000054ny) = 0,003 [T]</t>
  </si>
  <si>
    <t xml:space="preserve"> Celkové množství 819.553000 = 819,553 [U]</t>
  </si>
  <si>
    <t>- dodání kameniva předepsané kvality a zrnitosti
- rozprostření a zhutnění vrstvy v předepsané tloušťce
- zřízení vrstvy bez rozlišení šířky, pokládání vrstvy po etapách
- nezahrnuje postřiky, nátěry</t>
  </si>
  <si>
    <t>Materiál:
ŠDA :
podrobná specifikace:
GE:
Reference:
ČSN 73 6126-1, D.1.4 vzorové řezy, D.1.1 technická zpráva:
specifikace:
ŠDA fr. 0/63, tl. 150 mm:</t>
  </si>
  <si>
    <t xml:space="preserve"> Staničení: 0,958 - 1,143: 15,7605296841548 (2TQ7FGLHHma000000054CT) = 15,761 [A]</t>
  </si>
  <si>
    <t xml:space="preserve"> Staničení: 0,912 - 0,935: 1,39583943502614 (2TQ7FGLHHma0000000555O) = 1,396 [B]</t>
  </si>
  <si>
    <t xml:space="preserve"> Staničení: 1,139 - 1,143: 0,235432806120811 (2TQ7FGLHHma00000004NqA) = 0,235 [C]</t>
  </si>
  <si>
    <t xml:space="preserve"> Staničení: 0,862 - 0,86205: 0,00358920336131331 (2TQ7FGLHHma000000054uj) = 0,004 [D]</t>
  </si>
  <si>
    <t xml:space="preserve"> Staničení: 0,69563 - 0,77632: 9,45617541769221 (2TQ7FGLHHma0000000553Y) = 9,456 [E]</t>
  </si>
  <si>
    <t xml:space="preserve"> Staničení: 0,864 - 0,91334: 1,10687154404715 (2TQ7FGLHHma000000054b4) = 1,107 [F]</t>
  </si>
  <si>
    <t xml:space="preserve"> Staničení: 0,798 - 0,847: 0,136954140822197 (2TQ7FGLHHma000000054VH) = 0,137 [G]</t>
  </si>
  <si>
    <t xml:space="preserve"> Staničení: 0,79713 - 0,847: 1,85399617104477 (2TQ7FGLHHma000000053vl) = 1,854 [H]</t>
  </si>
  <si>
    <t xml:space="preserve"> Staničení: 0,79713 - 0,847: 0,138162043539847 (2TQ7FGLHHma000000053wX) = 0,138 [I]</t>
  </si>
  <si>
    <t xml:space="preserve"> Staničení: 0,79713 - 0,798: 0,00257958058128912 (2TQ7FGLHHma000000054XO) = 0,003 [J]</t>
  </si>
  <si>
    <t xml:space="preserve"> Staničení: 0,862 - 0,86205: 0,0268134604128648 (2TQ7FGLHHma000000054uC) = 0,027 [K]</t>
  </si>
  <si>
    <t xml:space="preserve"> Staničení: 1,12211 - 1,143: 1,6374026553482 (2TQ7FGLHHma000000054D7) = 1,637 [L]</t>
  </si>
  <si>
    <t xml:space="preserve"> Staničení: 0,91334 - 0,96764: 3,26110467982305 (2TQ7FGLHHma000000054cW) = 3,261 [M]</t>
  </si>
  <si>
    <t xml:space="preserve"> Staničení: 0,79309 - 0,79313: 0,0018187712097309 (2TQ7FGLHHma000000054jW) = 0,002 [N]</t>
  </si>
  <si>
    <t xml:space="preserve"> Staničení: 0,79713 - 0,798: 0,0335937180175705 (2TQ7FGLHHma000000054X7) = 0,034 [O]</t>
  </si>
  <si>
    <t xml:space="preserve"> Staničení: 0,847 - 0,862: 0,0410943506499169 (2TQ7FGLHHma000000054qa) = 0,041 [P]</t>
  </si>
  <si>
    <t xml:space="preserve"> Staničení: 1,139 - 1,143: 0,339817742319611 (2TQ7FGLHHma00000004NqH) = 0,340 [Q]</t>
  </si>
  <si>
    <t xml:space="preserve"> Staničení: 0,79314 - 0,79713: 0,150349783107177 (2TQ7FGLHHma0000000543M) = 0,150 [R]</t>
  </si>
  <si>
    <t xml:space="preserve"> Staničení: 0,91334 - 0,95973: 4,76490575856557 (2TQ7FGLHHma000000054cu) = 4,765 [S]</t>
  </si>
  <si>
    <t xml:space="preserve"> Staničení: 0,79314 - 0,79713: 0,148213952714153 (2TQ7FGLHHma000000053zI) = 0,148 [T]</t>
  </si>
  <si>
    <t xml:space="preserve"> Staničení: 0,86205 - 0,864: 0,114752163459838 (2TQ7FGLHHma000000054k2) = 0,115 [U]</t>
  </si>
  <si>
    <t xml:space="preserve"> Staničení: 0,86205 - 0,864: 0,0799891751023147 (2TQ7FGLHHma000000054ap) = 0,080 [V]</t>
  </si>
  <si>
    <t xml:space="preserve"> Staničení: 0,69563 - 1,143: 305,288578671493 (2TQ7FGLHHma000000054Jz) = 305,289 [W]</t>
  </si>
  <si>
    <t xml:space="preserve"> Staničení: 0,69563 - 1,143: 304,080886500265 (2TQ7FGLHHma000000054Gd) = 304,081 [X]</t>
  </si>
  <si>
    <t xml:space="preserve"> Staničení: 0,958 - 1,139: 11,0171254424148 (2TQ7FGLHHma000000055Ap) = 11,017 [Y]</t>
  </si>
  <si>
    <t xml:space="preserve"> Staničení: 0,69563 - 0,76001: 4,70393018437357 (2TQ7FGLHHma000000053uZ) = 4,704 [Z]</t>
  </si>
  <si>
    <t xml:space="preserve"> Staničení: 0,79314 - 0,79713: 0,00205273534368752 (2TQ7FGLHHma000000053zZ) = 0,002 [AA]</t>
  </si>
  <si>
    <t xml:space="preserve"> Staničení: 0,69563 - 0,76001: 5,39461783310166 (2TQ7FGLHHma00000005490) = 5,395 [AB]</t>
  </si>
  <si>
    <t xml:space="preserve"> Staničení: 0,79309 - 0,79313: 0,000134238824950092 (2TQ7FGLHHma000000054jn) = 0,000 [AC]</t>
  </si>
  <si>
    <t xml:space="preserve"> Staničení: 0,91334 - 0,96764: 4,64423123905347 (2TQ7FGLHHma000000054mn) = 4,644 [AD]</t>
  </si>
  <si>
    <t xml:space="preserve"> Staničení: 0,86205 - 0,864: 0,115502966085568 (2TQ7FGLHHma000000054dx) = 0,116 [AE]</t>
  </si>
  <si>
    <t xml:space="preserve"> Staničení: 0,912 - 0,935: 2,28347251615532 (2TQ7FGLHHma0000000555f) = 2,283 [AF]</t>
  </si>
  <si>
    <t xml:space="preserve"> Staničení: 0,958 - 1,139: 18,2568879410803 (2TQ7FGLHHma0000000549x) = 18,257 [AG]</t>
  </si>
  <si>
    <t xml:space="preserve"> Staničení: 0,935 - 0,958: 1,94408843680419 (2TQ7FGLHHma000000054Mi) = 1,944 [AH]</t>
  </si>
  <si>
    <t xml:space="preserve"> Staničení: 0,862 - 0,86205: 0,00013206507942163 (2TQ7FGLHHma000000054u_) = 0,000 [AI]</t>
  </si>
  <si>
    <t xml:space="preserve"> Staničení: 0,862 - 0,86205: 0,026957249841464 (2TQ7FGLHHma000000054Ps) = 0,027 [AJ]</t>
  </si>
  <si>
    <t xml:space="preserve"> Staničení: 0,935 - 0,958: 2,27342945459869 (2TQ7FGLHHma0000000548K) = 2,273 [AK]</t>
  </si>
  <si>
    <t xml:space="preserve"> Staničení: 0,935 - 0,958: 1,39387908497615 (2TQ7FGLHHma000000054NS) = 1,394 [AL]</t>
  </si>
  <si>
    <t xml:space="preserve"> Staničení: 0,864 - 0,912: 2,63329582709254 (2TQ7FGLHHma000000054SS) = 2,633 [AM]</t>
  </si>
  <si>
    <t xml:space="preserve"> Staničení: 1,12211 - 1,143: 1,7623156111958 (2TQ7FGLHHma000000054C3) = 1,762 [AN]</t>
  </si>
  <si>
    <t xml:space="preserve"> Staničení: 0,847 - 0,862: 1,0786163583522 (2TQ7FGLHHma00000005405) = 1,079 [AO]</t>
  </si>
  <si>
    <t xml:space="preserve"> Staničení: 0,86205 - 0,864: 0,0798813093640385 (2TQ7FGLHHma000000053$K) = 0,080 [AP]</t>
  </si>
  <si>
    <t xml:space="preserve"> Staničení: 0,96765 - 1,10511: 10,7783505781899 (2TQ7FGLHHma000000055Cu) = 10,778 [AQ]</t>
  </si>
  <si>
    <t xml:space="preserve"> Staničení: 0,96765 - 1,10511: 11,7387684608024 (2TQ7FGLHHma0000000551_) = 11,739 [AR]</t>
  </si>
  <si>
    <t xml:space="preserve"> Staničení: 0,862 - 0,86205: 0,00363877389556783 (2TQ7FGLHHma000000054QN) = 0,004 [AS]</t>
  </si>
  <si>
    <t xml:space="preserve"> Staničení: 0,912 - 0,935: 1,98338076624086 (2TQ7FGLHHma0000000554s) = 1,983 [AT]</t>
  </si>
  <si>
    <t xml:space="preserve"> Staničení: 0,79314 - 0,79713: 0,0110440888043781 (2TQ7FGLHHma000000054m8) = 0,011 [AU]</t>
  </si>
  <si>
    <t xml:space="preserve"> Staničení: 0,79314 - 0,79713: 0,00015176126847152 (2TQ7FGLHHma000000054$N) = 0,000 [AV]</t>
  </si>
  <si>
    <t xml:space="preserve"> Staničení: 0,847 - 0,862: 0,0410121410916859 (2TQ7FGLHHma000000054Zl) = 0,041 [AW]</t>
  </si>
  <si>
    <t xml:space="preserve"> Staničení: 0,862 - 0,86205: 0,000137312222206913 (2TQ7FGLHHma000000054Qe) = 0,000 [AX]</t>
  </si>
  <si>
    <t xml:space="preserve"> Staničení: 0,864 - 0,91334: 2,78477003642655 (2TQ7FGLHHma000000055DQ) = 2,785 [AY]</t>
  </si>
  <si>
    <t xml:space="preserve"> Staničení: 0,79314 - 0,79713: 0,0111933594832881 (2TQ7FGLHHma0000000550Q) = 0,011 [AZ]</t>
  </si>
  <si>
    <t xml:space="preserve"> Celkové množství 735.023000 = 735,023 [BA]</t>
  </si>
  <si>
    <t xml:space="preserve"> Staničení: 0,668 - 0,67248: 0,267991516791378 (2WqkYr7d0dfG0000000qdE) = 0,268 [A]</t>
  </si>
  <si>
    <t xml:space="preserve"> Staničení: 1,11711 - 1,11811: 0,0830759752454041 (2WqkYr7d0dfG0000000qtv) = 0,083 [B]</t>
  </si>
  <si>
    <t xml:space="preserve"> Staničení: 0,101 - 0,10418: 0,393509408127823 (2WqkYr7d0dfG0000000r8U) = 0,394 [C]</t>
  </si>
  <si>
    <t xml:space="preserve"> Staničení: 1,10931 - 1,11011: 0,029232501264404 (2WqkYr7d0dfG0000000qtb) = 0,029 [D]</t>
  </si>
  <si>
    <t xml:space="preserve"> Staničení: 0,08763 - 0,0955: 0,934880144516467 (2WqkYr7d0dfG0000000qXt) = 0,935 [E]</t>
  </si>
  <si>
    <t xml:space="preserve"> Staničení: 0,67299 - 0,67351: 0,0315526940539593 (2WqkYr7d0dfG0000000qaT) = 0,032 [F]</t>
  </si>
  <si>
    <t xml:space="preserve"> Staničení: 0,7909 - 0,79309: 0,256562960816266 (2WqkYr7d0dfG0000000r3w) = 0,257 [G]</t>
  </si>
  <si>
    <t xml:space="preserve"> Staničení: 0,10419 - 0,12786: 2,96543786305548 (2WqkYr7d0dfG0000000r7M) = 2,965 [H]</t>
  </si>
  <si>
    <t xml:space="preserve"> Staničení: 1,10881 - 1,10931: 0,0414173162324097 (2WqkYr7d0dfG0000000qqs) = 0,041 [I]</t>
  </si>
  <si>
    <t xml:space="preserve"> Staničení: 1,10881 - 1,10931: 0,0344788831424698 (2WqkYr7d0dfG0000000qre) = 0,034 [J]</t>
  </si>
  <si>
    <t xml:space="preserve"> Staničení: 0,668 - 0,67248: 0,230359929184631 (2WqkYr7d0dfG0000000qd1) = 0,230 [K]</t>
  </si>
  <si>
    <t xml:space="preserve"> Staničení: 1,11711 - 1,11811: 0,0861991322100119 (2WqkYr7d0dfG0000000quQ) = 0,086 [L]</t>
  </si>
  <si>
    <t xml:space="preserve"> Staničení: 1,11811 - 1,12211: 0,332399841753916 (2WqkYr7d0dfG0000000qkQ) = 0,332 [M]</t>
  </si>
  <si>
    <t xml:space="preserve"> Staničení: 1,11811 - 1,12211: 0,344896076406247 (2WqkYr7d0dfG0000000qkq) = 0,345 [N]</t>
  </si>
  <si>
    <t xml:space="preserve"> Staničení: 0,77797 - 0,77847: 0,0542593293403081 (2WqkYr7d0dfG0000000q$1) = 0,054 [O]</t>
  </si>
  <si>
    <t xml:space="preserve"> Staničení: 0,101 - 0,10418: 0,158787563125006 (2WqkYr7d0dfG0000000r8h) = 0,159 [P]</t>
  </si>
  <si>
    <t xml:space="preserve"> Staničení: 0,78141 - 0,7909: 0,844544079631056 (2WqkYr7d0dfG0000000r1h) = 0,845 [Q]</t>
  </si>
  <si>
    <t xml:space="preserve"> Staničení: 0,77632 - 0,77797: 0,156052699774658 (2WqkYr7d0dfG0000000r5H) = 0,156 [R]</t>
  </si>
  <si>
    <t xml:space="preserve"> Staničení: 0,77926 - 0,78141: 0,249380806906855 (2WqkYr7d0dfG0000000r3j) = 0,249 [S]</t>
  </si>
  <si>
    <t xml:space="preserve"> Staničení: 0,7909 - 0,79309: 0,0340291552812405 (2WqkYr7d0dfG0000000r36) = 0,034 [T]</t>
  </si>
  <si>
    <t xml:space="preserve"> Staničení: 0,67352 - 0,68367: 1,2805704992047 (2WqkYr7d0dfG0000000qjF) = 1,281 [U]</t>
  </si>
  <si>
    <t xml:space="preserve"> Staničení: 0,67299 - 0,67351: 0,0391047824215208 (2WqkYr7d0dfG0000000qi2) = 0,039 [V]</t>
  </si>
  <si>
    <t xml:space="preserve"> Staničení: 0,68367 - 0,69563: 0,88613301523807 (2WqkYr7d0dfG0000000qgx) = 0,886 [W]</t>
  </si>
  <si>
    <t xml:space="preserve"> Staničení: 0,68367 - 0,69563: 0,591077795661603 (2WqkYr7d0dfG0000000qdR) = 0,591 [X]</t>
  </si>
  <si>
    <t xml:space="preserve"> Staničení: 1,10511 - 1,10881: 0,307415525105905 (2WqkYr7d0dfG0000000qkD) = 0,307 [Y]</t>
  </si>
  <si>
    <t xml:space="preserve"> Staničení: 1,10511 - 1,10881: 0,318972499742579 (2WqkYr7d0dfG0000000qkd) = 0,319 [Z]</t>
  </si>
  <si>
    <t xml:space="preserve"> Staničení: 0,668 - 0,67248: 0,297611715545598 (2WqkYr7d0dfG0000000qgd) = 0,298 [AA]</t>
  </si>
  <si>
    <t xml:space="preserve"> Staničení: 1,11811 - 1,12211: 0,313821766798754 (2WqkYr7d0dfG0000000qm0) = 0,314 [AB]</t>
  </si>
  <si>
    <t xml:space="preserve"> Staničení: 0,67248 - 0,67299: 0,0302312179627221 (2WqkYr7d0dfG0000000qYU) = 0,030 [AC]</t>
  </si>
  <si>
    <t xml:space="preserve"> Staničení: 0,0955 - 0,098: 0,296319314031029 (2WqkYr7d0dfG0000000qWU) = 0,296 [AD]</t>
  </si>
  <si>
    <t xml:space="preserve"> Staničení: 1,11011 - 1,11711: 1,01624786671746 (2WqkYr7d0dfG0000000qq5) = 1,016 [AE]</t>
  </si>
  <si>
    <t xml:space="preserve"> Staničení: 1,11811 - 1,12211: 0,12720842303741 (2WqkYr7d0dfG0000000qlc) = 0,127 [AF]</t>
  </si>
  <si>
    <t xml:space="preserve"> Staničení: 1,10931 - 1,11011: 0,0560068268414756 (2WqkYr7d0dfG0000000qvU) = 0,056 [AG]</t>
  </si>
  <si>
    <t xml:space="preserve"> Staničení: 1,11011 - 1,11711: 0,632572497746001 (2WqkYr7d0dfG0000000qpu) = 0,633 [AH]</t>
  </si>
  <si>
    <t xml:space="preserve"> Staničení: 1,11711 - 1,11811: 0,0724749574610445 (2WqkYr7d0dfG0000000qvo) = 0,072 [AI]</t>
  </si>
  <si>
    <t xml:space="preserve"> Staničení: 0,68367 - 0,69563: 0,8926 (2WqkYr7d0dfG0000000r7l) = 0,893 [AJ]</t>
  </si>
  <si>
    <t xml:space="preserve"> Staničení: 1,10511 - 1,10881: 0,1176469999505 (2WqkYr7d0dfG0000000qlP) = 0,118 [AK]</t>
  </si>
  <si>
    <t xml:space="preserve"> Staničení: 1,10511 - 1,10881: 0,29023384224012 (2WqkYr7d0dfG0000000qlp) = 0,290 [AL]</t>
  </si>
  <si>
    <t xml:space="preserve"> Staničení: 1,10931 - 1,11011: 0,029709667119272 (2WqkYr7d0dfG0000000qu6) = 0,030 [AM]</t>
  </si>
  <si>
    <t xml:space="preserve"> Staničení: 0,67248 - 0,67299: 0,0259820076614261 (2WqkYr7d0dfG0000000qYH) = 0,026 [AN]</t>
  </si>
  <si>
    <t xml:space="preserve"> Staničení: 0,085 - 0,08763: 0,311667418906095 (2WqkYr7d0dfG0000000qWH) = 0,312 [AO]</t>
  </si>
  <si>
    <t xml:space="preserve"> Staničení: 0,77797 - 0,77847: 0,0316349872271708 (2WqkYr7d0dfG0000000q$J) = 0,032 [AP]</t>
  </si>
  <si>
    <t xml:space="preserve"> Staničení: 0,12786 - 0,134: 0,401975351376732 (2WqkYr7d0dfG0000000r95) = 0,402 [AQ]</t>
  </si>
  <si>
    <t xml:space="preserve"> Staničení: 0,12786 - 0,134: 0,757274813561426 (2WqkYr7d0dfG0000000r8u) = 0,757 [AR]</t>
  </si>
  <si>
    <t xml:space="preserve"> Staničení: 0,78141 - 0,7909: 1,09068572206776 (2WqkYr7d0dfG0000000r1u) = 1,091 [AS]</t>
  </si>
  <si>
    <t xml:space="preserve"> Staničení: 0,67248 - 0,67299: 0,0374445689870966 (2WqkYr7d0dfG0000000qcG) = 0,037 [AT]</t>
  </si>
  <si>
    <t xml:space="preserve"> Staničení: 0,67299 - 0,67351: 0,0271339954466404 (2WqkYr7d0dfG0000000qaG) = 0,027 [AU]</t>
  </si>
  <si>
    <t xml:space="preserve"> Staničení: 0,77847 - 0,77926: 0,0817909130041155 (2WqkYr7d0dfG0000000qz3) = 0,082 [AV]</t>
  </si>
  <si>
    <t xml:space="preserve"> Staničení: 1,10881 - 1,10931: 0,042974358186068 (2WqkYr7d0dfG0000000qr3) = 0,043 [AW]</t>
  </si>
  <si>
    <t xml:space="preserve"> Staničení: 0,67352 - 0,68367: 0,191284609459321 (2WqkYr7d0dfG0000000qjS) = 0,191 [AX]</t>
  </si>
  <si>
    <t xml:space="preserve"> Celkové množství 18.124000 = 18,124 [AY]</t>
  </si>
  <si>
    <t xml:space="preserve"> Staničení: 0,18266 - 0,18281: 0,0179268349356873 (2ATl_MlSUNQm0000001wAY) = 0,018 [A]</t>
  </si>
  <si>
    <t xml:space="preserve"> Staničení: 0,14656 - 0,18266: 4,62650268611204 (2ATl_MlSUNQm0000001YLv) = 4,627 [B]</t>
  </si>
  <si>
    <t xml:space="preserve"> Staničení: 0,25 - 0,252: 0,237782315121399 (2ATl_MlSUNQm0000001YBV) = 0,238 [C]</t>
  </si>
  <si>
    <t xml:space="preserve"> Staničení: 0 - 0,69563: 455,157069909265 (2ATl_MlSUNQm0000001Y7t) = 455,157 [D]</t>
  </si>
  <si>
    <t xml:space="preserve"> Staničení: 0,349 - 0,351: 0,202605780797426 (2ATl_MlSUNQm0000001YIT) = 0,203 [E]</t>
  </si>
  <si>
    <t xml:space="preserve"> Staničení: 0,174 - 0,176: 0,201675472166774 (2ATl_MlSUNQm0000001YHT) = 0,202 [F]</t>
  </si>
  <si>
    <t xml:space="preserve"> Staničení: 0,176 - 0,2006: 3,03078930705967 (2ATl_MlSUNQm0000001YDE) = 3,031 [G]</t>
  </si>
  <si>
    <t xml:space="preserve"> Staničení: 0 - 0,69563: 457,474961827816 (2ATl_MlSUNQm0000001YlK) = 457,475 [H]</t>
  </si>
  <si>
    <t xml:space="preserve"> Staničení: 0,362 - 0,65: 36,3302677793595 (2ATl_MlSUNQm0000001YrN) = 36,330 [I]</t>
  </si>
  <si>
    <t xml:space="preserve"> Staničení: 0,02 - 0,085: 6,9429133145078 (2ATl_MlSUNQm0000001Y6N) = 6,943 [J]</t>
  </si>
  <si>
    <t xml:space="preserve"> Staničení: 0,2006 - 0,2036: 0,302638117950266 (2ATl_MlSUNQm0000001YHz) = 0,303 [K]</t>
  </si>
  <si>
    <t xml:space="preserve"> Staničení: 0,2481 - 0,349: 12,4467928709664 (2ATl_MlSUNQm0000001Yol) = 12,447 [L]</t>
  </si>
  <si>
    <t xml:space="preserve"> Staničení: 0,68 - 0,69563: 1,82889296685945 (2ATl_MlSUNQm0000001Yil) = 1,829 [M]</t>
  </si>
  <si>
    <t xml:space="preserve"> Staničení: 0,25 - 0,252: 0,280178833040696 (2ATl_MlSUNQm0000001YBl) = 0,280 [N]</t>
  </si>
  <si>
    <t xml:space="preserve"> Staničení: 0,14656 - 0,18266: 4,30452528790985 (2ATl_MlSUNQm0000001YLf) = 4,305 [O]</t>
  </si>
  <si>
    <t xml:space="preserve"> Staničení: 0,2481 - 0,349: 8,16261875197303 (2ATl_MlSUNQm0000001Yo$) = 8,163 [P]</t>
  </si>
  <si>
    <t xml:space="preserve"> Staničení: 0,252 - 0,362: 12,1272969430958 (2ATl_MlSUNQm0000001Y9X) = 12,127 [Q]</t>
  </si>
  <si>
    <t xml:space="preserve"> Staničení: 0,098 - 0,14656: 5,77738530988265 (2ATl_MlSUNQm0000001Yei) = 5,777 [R]</t>
  </si>
  <si>
    <t xml:space="preserve"> Staničení: 0,2036 - 0,2481: 3,71838747589344 (2ATl_MlSUNQm0000001Yai) = 3,718 [S]</t>
  </si>
  <si>
    <t xml:space="preserve"> Staničení: 0,21048 - 0,25: 4,7130243537949 (2ATl_MlSUNQm0000001YWi) = 4,713 [T]</t>
  </si>
  <si>
    <t xml:space="preserve"> Staničení: 0 - 0,101: 8,64611442288458 (2ATl_MlSUNQm0000001YaC) = 8,646 [U]</t>
  </si>
  <si>
    <t xml:space="preserve"> Staničení: 0 - 0,02: 2,92900638178682 (2ATl_MlSUNQm0000001YWC) = 2,929 [V]</t>
  </si>
  <si>
    <t xml:space="preserve"> Staničení: 0,176 - 0,2006: 2,61545350112198 (2ATl_MlSUNQm0000001YDU) = 2,615 [W]</t>
  </si>
  <si>
    <t xml:space="preserve"> Staničení: 0,252 - 0,362: 16,0030153646902 (2ATl_MlSUNQm0000001Y9C) = 16,003 [X]</t>
  </si>
  <si>
    <t xml:space="preserve"> Staničení: 0,351 - 0,45: 13,440555112097 (2ATl_MlSUNQm0000001YiO) = 13,441 [Y]</t>
  </si>
  <si>
    <t xml:space="preserve"> Staničení: 0,134 - 0,174: 4,93023965514869 (2ATl_MlSUNQm0000001YN9) = 4,930 [Z]</t>
  </si>
  <si>
    <t xml:space="preserve"> Staničení: 0,65 - 0,668: 1,33400501469362 (2ATl_MlSUNQm0000001Ym3) = 1,334 [AA]</t>
  </si>
  <si>
    <t xml:space="preserve"> Staničení: 0,2006 - 0,2036: 0,395533043595779 (2ATl_MlSUNQm0000001YID) = 0,396 [AB]</t>
  </si>
  <si>
    <t xml:space="preserve"> Staničení: 0,134 - 0,174: 6,26243753513765 (2ATl_MlSUNQm0000001YNP) = 6,262 [AC]</t>
  </si>
  <si>
    <t xml:space="preserve"> Staničení: 0,349 - 0,351: 0,167254067984829 (2ATl_MlSUNQm0000001YIj) = 0,167 [AD]</t>
  </si>
  <si>
    <t xml:space="preserve"> Staničení: 0,174 - 0,176: 0,364041865856426 (2ATl_MlSUNQm0000001YHj) = 0,364 [AE]</t>
  </si>
  <si>
    <t xml:space="preserve"> Staničení: 0,21033 - 0,21048: 0,0179510682129945 (2ATl_MlSUNQm0000001w7S) = 0,018 [AF]</t>
  </si>
  <si>
    <t xml:space="preserve"> Staničení: 0,18266 - 0,18281: 0,0173944971028379 (2ATl_MlSUNQm0000001wAL) = 0,017 [AG]</t>
  </si>
  <si>
    <t xml:space="preserve"> Staničení: 0,65 - 0,668: 0,922586396080493 (2ATl_MlSUNQm0000001Y5A) = 0,923 [AH]</t>
  </si>
  <si>
    <t xml:space="preserve"> Staničení: 0,47525 - 0,68: 23,9148320445171 (2ATl_MlSUNQm0000001YSM) = 23,915 [AI]</t>
  </si>
  <si>
    <t xml:space="preserve"> Staničení: 0,098 - 0,14656: 6,55974683805348 (2ATl_MlSUNQm0000001Yey) = 6,560 [AJ]</t>
  </si>
  <si>
    <t xml:space="preserve"> Staničení: 0,21048 - 0,25: 5,05588715201111 (2ATl_MlSUNQm0000001YWy) = 5,056 [AK]</t>
  </si>
  <si>
    <t xml:space="preserve"> Staničení: 0 - 0,101: 14,9409006948989 (2ATl_MlSUNQm0000001YZy) = 14,941 [AL]</t>
  </si>
  <si>
    <t xml:space="preserve"> Staničení: 0,02 - 0,085: 8,95902959366851 (2ATl_MlSUNQm0000001YeS) = 8,959 [AM]</t>
  </si>
  <si>
    <t xml:space="preserve"> Staničení: 0,2036 - 0,2481: 5,48257091213687 (2ATl_MlSUNQm0000001YaS) = 5,483 [AN]</t>
  </si>
  <si>
    <t xml:space="preserve"> Staničení: 0,21033 - 0,21048: 0,0184085948300633 (2ATl_MlSUNQm0000001w6t) = 0,018 [AO]</t>
  </si>
  <si>
    <t xml:space="preserve"> Staničení: 0 - 0,02: 1,80962160309146 (2ATl_MlSUNQm0000001YWS) = 1,810 [AP]</t>
  </si>
  <si>
    <t xml:space="preserve"> Staničení: 0,45 - 0,47525: 2,94021115480986 (2ATl_MlSUNQm0000001YQ1) = 2,940 [AQ]</t>
  </si>
  <si>
    <t xml:space="preserve"> Staničení: 0,65 - 0,668: 1,0797346803269 (2ATl_MlSUNQm0000001YmJ) = 1,080 [AR]</t>
  </si>
  <si>
    <t xml:space="preserve"> Celkové množství 1146.693000 = 1146,693 [AS]</t>
  </si>
  <si>
    <t>56960</t>
  </si>
  <si>
    <t>ZPEVNĚNÍ KRAJNIC Z RECYKLOVANÉHO MATERIÁLU</t>
  </si>
  <si>
    <t>Materiál:
R-Mat:
podrobná specifikace:
protříděný recyklát získaný frézováním stávajících vozovek, snížení o 0.03m oproti zpevněné krajnici :
Reference:
ČSN 736133, TKP4, D.1.4 D.1.4 vzorové řezy, D.1.1 technická zpráva:
specifikace:
nezpevněná krajnice, 32 RA 0/22, tl. 150 mm:</t>
  </si>
  <si>
    <t xml:space="preserve"> Staničení: 0,174 - 0,176: 0,0525722607125531 (2ATl_MlSUNQm0000001Y5v) = 0,053 [A]</t>
  </si>
  <si>
    <t xml:space="preserve"> Staničení: 0 - 0,02: 2,58545093127543 (2ATl_MlSUNQm0000001Ysb) = 2,585 [B]</t>
  </si>
  <si>
    <t xml:space="preserve"> Staničení: 0,21033 - 0,21048: 0,0337814068558186 (2ATl_MlSUNQm0000001w7G) = 0,034 [C]</t>
  </si>
  <si>
    <t xml:space="preserve"> Staničení: 0,252 - 0,362: 18,3887690701508 (2ATl_MlSUNQm0000001YuT) = 18,389 [D]</t>
  </si>
  <si>
    <t xml:space="preserve"> Staničení: 0,176 - 0,2006: 5,52722559878826 (2ATl_MlSUNQm0000001Yun) = 5,527 [E]</t>
  </si>
  <si>
    <t xml:space="preserve"> Staničení: 0,02 - 0,085: 9,03387002750902 (2ATl_MlSUNQm0000001Y68) = 9,034 [F]</t>
  </si>
  <si>
    <t xml:space="preserve"> Staničení: 0,14656 - 0,18266: 8,31495937118879 (2ATl_MlSUNQm0000001YuE) = 8,315 [G]</t>
  </si>
  <si>
    <t xml:space="preserve"> Staničení: 0,21048 - 0,25: 9,08640719494507 (2ATl_MlSUNQm0000001Ysq) = 9,086 [H]</t>
  </si>
  <si>
    <t xml:space="preserve"> Staničení: 0,362 - 0,65: 36,7572454345702 (2ATl_MlSUNQm0000001YOE) = 36,757 [I]</t>
  </si>
  <si>
    <t xml:space="preserve"> Staničení: 0,68 - 0,69563: 2,02685951707775 (2ATl_MlSUNQm0000001Yw5) = 2,027 [J]</t>
  </si>
  <si>
    <t xml:space="preserve"> Staničení: 0,351 - 0,45: 12,5560745220591 (2ATl_MlSUNQm0000001Yvl) = 12,556 [K]</t>
  </si>
  <si>
    <t xml:space="preserve"> Staničení: 0,65 - 0,668: 0,666336230662152 (2ATl_MlSUNQm0000001YmZ) = 0,666 [L]</t>
  </si>
  <si>
    <t xml:space="preserve"> Staničení: 0,2006 - 0,2036: 0,327638982174155 (2ATl_MlSUNQm0000001YIz) = 0,328 [M]</t>
  </si>
  <si>
    <t xml:space="preserve"> Staničení: 0 - 0,101: 12,8353434517886 (2ATl_MlSUNQm0000001YtX) = 12,835 [N]</t>
  </si>
  <si>
    <t xml:space="preserve"> Staničení: 0,134 - 0,174: 9,08670486534608 (2ATl_MlSUNQm0000001Yt$) = 9,087 [O]</t>
  </si>
  <si>
    <t xml:space="preserve"> Staničení: 0,45 - 0,47525: 3,15664325259697 (2ATl_MlSUNQm0000001YNf) = 3,157 [P]</t>
  </si>
  <si>
    <t xml:space="preserve"> Staničení: 0,25 - 0,252: 0,059474232875903 (2ATl_MlSUNQm0000001YB$) = 0,059 [Q]</t>
  </si>
  <si>
    <t xml:space="preserve"> Staničení: 0,25 - 0,252: 0,468475176996978 (2ATl_MlSUNQm0000001YvW) = 0,468 [R]</t>
  </si>
  <si>
    <t xml:space="preserve"> Staničení: 0,098 - 0,14656: 10,8926333981651 (2ATl_MlSUNQm0000001YtI) = 10,893 [S]</t>
  </si>
  <si>
    <t xml:space="preserve"> Staničení: 0,47525 - 0,68: 25,6833368649321 (2ATl_MlSUNQm0000001YNu) = 25,683 [T]</t>
  </si>
  <si>
    <t xml:space="preserve"> Staničení: 0,65 - 0,668: 0,327167074296847 (2ATl_MlSUNQm0000001Ymo) = 0,327 [U]</t>
  </si>
  <si>
    <t xml:space="preserve"> Staničení: 0,2006 - 0,2036: 0,113554868048673 (2ATl_MlSUNQm0000001YJC) = 0,114 [V]</t>
  </si>
  <si>
    <t xml:space="preserve"> Staničení: 0,2481 - 0,349: 12,7392661254289 (2ATl_MlSUNQm0000001Yt3) = 12,739 [W]</t>
  </si>
  <si>
    <t xml:space="preserve"> Staničení: 0,422 - 0,65: 29,0170051047161 (2ATl_MlSUNQm0000001YsF) = 29,017 [X]</t>
  </si>
  <si>
    <t xml:space="preserve"> Staničení: 0,18266 - 0,18281: 0,0328120336772692 (2ATl_MlSUNQm0000001wB7) = 0,033 [Y]</t>
  </si>
  <si>
    <t xml:space="preserve"> Staničení: 0,349 - 0,351: 0,175332561280952 (2ATl_MlSUNQm0000001YJR) = 0,175 [Z]</t>
  </si>
  <si>
    <t xml:space="preserve"> Staničení: 0,2036 - 0,2481: 5,6576644359321 (2ATl_MlSUNQm0000001Ytm) = 5,658 [AA]</t>
  </si>
  <si>
    <t xml:space="preserve"> Staničení: 0,349 - 0,351: 0,0531938201423399 (2ATl_MlSUNQm0000001YJg) = 0,053 [AB]</t>
  </si>
  <si>
    <t xml:space="preserve"> Staničení: 0,174 - 0,176: 0,396639177723266 (2ATl_MlSUNQm0000001Y5g) = 0,397 [AC]</t>
  </si>
  <si>
    <t xml:space="preserve"> Celkové množství 216.052000 = 216,052 [AD]</t>
  </si>
  <si>
    <t xml:space="preserve"> Staničení: 0,67248 - 0,67299: 0,0187035633781277 (2WqkYr7d0dfG0000000qYh) = 0,019 [A]</t>
  </si>
  <si>
    <t xml:space="preserve"> Staničení: 0,67248 - 0,67299: 0,00918592727705334 (2WqkYr7d0dfG0000000qYt) = 0,009 [B]</t>
  </si>
  <si>
    <t xml:space="preserve"> Staničení: 1,11811 - 1,12211: 0,606038633112654 (2WqkYr7d0dfG0000000qmb) = 0,606 [C]</t>
  </si>
  <si>
    <t xml:space="preserve"> Staničení: 1,11711 - 1,11811: 0,14991153433829 (2WqkYr7d0dfG0000000qwN) = 0,150 [D]</t>
  </si>
  <si>
    <t xml:space="preserve"> Staničení: 1,11811 - 1,12211: 0,145081284326223 (2WqkYr7d0dfG0000000qmn) = 0,145 [E]</t>
  </si>
  <si>
    <t xml:space="preserve"> Staničení: 1,11711 - 1,11811: 0,0188062389063645 (2WqkYr7d0dfG0000000qwZ) = 0,019 [F]</t>
  </si>
  <si>
    <t xml:space="preserve"> Staničení: 0,77797 - 0,77847: 0,00940897649670317 (2WqkYr7d0dfG0000000q$n) = 0,009 [G]</t>
  </si>
  <si>
    <t xml:space="preserve"> Staničení: 0,67299 - 0,67351: 0,00959119599428788 (2WqkYr7d0dfG0000000qas) = 0,010 [H]</t>
  </si>
  <si>
    <t xml:space="preserve"> Staničení: 0,668 - 0,67248: 0,165828322286494 (2WqkYr7d0dfG0000000qde) = 0,166 [I]</t>
  </si>
  <si>
    <t xml:space="preserve"> Staničení: 1,10881 - 1,10931: 0,00938989726429629 (2WqkYr7d0dfG0000000qs1) = 0,009 [J]</t>
  </si>
  <si>
    <t xml:space="preserve"> Staničení: 0,668 - 0,67248: 0,0814325657960541 (2WqkYr7d0dfG0000000qdq) = 0,081 [K]</t>
  </si>
  <si>
    <t xml:space="preserve"> Staničení: 1,10931 - 1,11011: 0,119718154547414 (2WqkYr7d0dfG0000000qv$) = 0,120 [L]</t>
  </si>
  <si>
    <t xml:space="preserve"> Staničení: 1,10881 - 1,10931: 0,074738014269972 (2WqkYr7d0dfG0000000qrr) = 0,075 [M]</t>
  </si>
  <si>
    <t xml:space="preserve"> Staničení: 1,10511 - 1,10881: 0,560486682579932 (2WqkYr7d0dfG0000000qmD) = 0,560 [N]</t>
  </si>
  <si>
    <t xml:space="preserve"> Staničení: 0,68367 - 0,69563: 0,439890953984107 (2WqkYr7d0dfG0000000qe0) = 0,440 [O]</t>
  </si>
  <si>
    <t xml:space="preserve"> Staničení: 0,77632 - 0,77847: 0,22779543848733 (2WqkYr7d0dfG0000000q$W) = 0,228 [P]</t>
  </si>
  <si>
    <t xml:space="preserve"> Staničení: 1,10511 - 1,10881: 0,134183748669967 (2WqkYr7d0dfG0000000qmP) = 0,134 [Q]</t>
  </si>
  <si>
    <t xml:space="preserve"> Staničení: 0,68367 - 0,69563: 0,347777589806979 (2WqkYr7d0dfG0000000qeH) = 0,348 [R]</t>
  </si>
  <si>
    <t xml:space="preserve"> Staničení: 1,10931 - 1,11011: 0,0150410896336164 (2WqkYr7d0dfG0000000qwB) = 0,015 [S]</t>
  </si>
  <si>
    <t xml:space="preserve"> Staničení: 0,77847 - 0,77926: 0,0961917387793027 (2WqkYr7d0dfG0000000qzG) = 0,096 [T]</t>
  </si>
  <si>
    <t xml:space="preserve"> Staničení: 0,67299 - 0,67351: 0,0195328658403035 (2WqkYr7d0dfG0000000qag) = 0,020 [U]</t>
  </si>
  <si>
    <t xml:space="preserve"> Staničení: 0,77847 - 0,77926: 0,01511348689307 (2WqkYr7d0dfG0000000qzS) = 0,015 [V]</t>
  </si>
  <si>
    <t xml:space="preserve"> Celkové množství 3.274000 = 3,274 [W]</t>
  </si>
  <si>
    <t xml:space="preserve"> Staničení: 0,958 - 1,139: 6,31609591774937 (2TQ7FGLHHma000000055AA) = 6,316 [A]</t>
  </si>
  <si>
    <t xml:space="preserve"> Staničení: 0,912 - 0,935: 0,862339464385197 (2TQ7FGLHHma0000000555w) = 0,862 [B]</t>
  </si>
  <si>
    <t xml:space="preserve"> Staničení: 0,912 - 0,935: 0,80194514291192 (2TQ7FGLHHma0000000556A) = 0,802 [C]</t>
  </si>
  <si>
    <t xml:space="preserve"> Staničení: 1,12211 - 1,1445: 0,769697412902753 (2TQ7FGLHHma000000054gF) = 0,770 [D]</t>
  </si>
  <si>
    <t xml:space="preserve"> Staničení: 0,958 - 1,139: 6,78160863962822 (2TQ7FGLHHma000000055BZ) = 6,782 [E]</t>
  </si>
  <si>
    <t xml:space="preserve"> Staničení: 1,139 - 1,1445: 0,206250000181623 (2TQ7FGLHHma00000004NqO) = 0,206 [F]</t>
  </si>
  <si>
    <t xml:space="preserve"> Staničení: 0,69563 - 0,76001: 4,62369803377681 (2TQ7FGLHHma0000000543z) = 4,624 [G]</t>
  </si>
  <si>
    <t xml:space="preserve"> Staničení: 0,91334 - 0,96764: 2,03488465184154 (2TQ7FGLHHma000000054Bi) = 2,035 [H]</t>
  </si>
  <si>
    <t xml:space="preserve"> Staničení: 0,96765 - 1,10511: 11,0323676707878 (2TQ7FGLHHma000000054Aq) = 11,032 [I]</t>
  </si>
  <si>
    <t xml:space="preserve"> Staničení: 0,935 - 0,958: 0,798763985367692 (2TQ7FGLHHma000000054Nq) = 0,799 [J]</t>
  </si>
  <si>
    <t xml:space="preserve"> Staničení: 0,96765 - 1,10511: 4,98769759392829 (2TQ7FGLHHma000000054f$) = 4,988 [K]</t>
  </si>
  <si>
    <t xml:space="preserve"> Staničení: 1,12211 - 1,1445: 3,38698441315642 (2TQ7FGLHHma000000054AL) = 3,387 [L]</t>
  </si>
  <si>
    <t xml:space="preserve"> Staničení: 0,935 - 0,958: 0,860848955722865 (2TQ7FGLHHma000000054BL) = 0,861 [M]</t>
  </si>
  <si>
    <t xml:space="preserve"> Staničení: 1,139 - 1,1445: 0,190333573237522 (2TQ7FGLHHma00000004NqV) = 0,190 [N]</t>
  </si>
  <si>
    <t xml:space="preserve"> Staničení: 0,69563 - 0,77632: 10,1580423904016 (2TQ7FGLHHma000000054OY) = 10,158 [O]</t>
  </si>
  <si>
    <t xml:space="preserve"> Staničení: 0,91334 - 0,96764: 1,93496404328405 (2TQ7FGLHHma0000000542E) = 1,935 [P]</t>
  </si>
  <si>
    <t xml:space="preserve"> Celkové množství 55.747000 = 55,747 [Q]</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</si>
  <si>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</si>
  <si>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572213</t>
  </si>
  <si>
    <t>SPOJOVACÍ POSTŘIK Z EMULZE DO 0,5KG/M2</t>
  </si>
  <si>
    <t>Materiál:
modifikovaná asfaltová kationaktivní emulze:
podrobná specifikace:
0.3kg/m2:
Reference:
ČSN 73 6129, D.1.4 vzorové řezy, D.1.1 technická zpráva:
specifikace:
PS-C:</t>
  </si>
  <si>
    <t xml:space="preserve"> Staničení: 0,69598 - 1,14348: 3829,8575847721 (2TQ7FGLHHma00000004PI4) = 3829,858 [A]</t>
  </si>
  <si>
    <t xml:space="preserve"> Celkové množství 3829.858000 = 3829,858 [B]</t>
  </si>
  <si>
    <t xml:space="preserve"> Staničení: 0 - 0,695: 6094,76354879913 (2ATl_MlSUNQm0000000gpa) = 6094,764 [A]</t>
  </si>
  <si>
    <t xml:space="preserve"> Celkové množství 6094.764000 = 6094,764 [B]</t>
  </si>
  <si>
    <t>- dodání všech předepsaných materiálů pro postřiky v předepsaném množství
- provedení dle předepsaného technologického předpisu
- zřízení vrstvy bez rozlišení šířky, pokládání vrstvy po etapách
- úpravu napojení, ukončení</t>
  </si>
  <si>
    <t>572223</t>
  </si>
  <si>
    <t>SPOJOVACÍ POSTŘIK Z EMULZE DO 1,0KG/M2</t>
  </si>
  <si>
    <t>Materiál:
modifikovaná asfaltová kationaktivní emulze:
podrobná specifikace:
0.6kg/m2:
Reference:
ČSN 73 6129, D.1.4 vzorové řezy, D.1.1 technická zpráva:
specifikace:
PS-C:</t>
  </si>
  <si>
    <t xml:space="preserve"> Staničení: 0,69563 - 1,144: 3834,73878288304 (2TQ7FGLHHma00000004PI5) = 3834,739 [A]</t>
  </si>
  <si>
    <t xml:space="preserve"> Celkové množství 3834.739000 = 3834,739 [B]</t>
  </si>
  <si>
    <t xml:space="preserve"> Staničení: 0 - 0,695: 6239,41588282572 (2ATl_MlSUNQm0000000gpb) = 6239,416 [A]</t>
  </si>
  <si>
    <t xml:space="preserve"> Celkové množství 6239.416000 = 6239,416 [B]</t>
  </si>
  <si>
    <t>57476</t>
  </si>
  <si>
    <t>VOZOVKOVÉ VÝZTUŽNÉ VRSTVY Z GEOMŘÍŽOVINY S TKANINOU</t>
  </si>
  <si>
    <t>Materiál:
geokompozit:
podrobná specifikace:
indexová pevnost min 50kN, indexová tažnost max 3kN, velikost oka 30x30mm, instalační geotextilie pevnost v tahu min 0.5kN, plošná hmotnost min 100g/m2:
Reference:
TP147, tab 5.3.4, ČSN EN ISO 10319,D.3.1 technická zpráva, D.3.4 vzorové řezy:
specifikace:
výztužná geomříž ze skelných vláken včetně instalační geotextilie:</t>
  </si>
  <si>
    <t xml:space="preserve"> Staničení: 1,1435 - 1,1445: 8,5101347073324 (2TQ7FGLHHma00000004PH_) = 8,510 [A]</t>
  </si>
  <si>
    <t xml:space="preserve"> Staničení: 1,14379 - 1,144: 8,51013470738129 (2TQ7FGLHHma00000004PH$) = 8,510 [B]</t>
  </si>
  <si>
    <t xml:space="preserve"> Celkové množství 17.020000 = 17,020 [C]</t>
  </si>
  <si>
    <t>- dodání geomříže v požadované kvalitě a v množství včetně přesahů (přesahy započteny v jednotkové ceně)
- očištění podkladu
- pokládka geomříže dle předepsaného technologického předpisu</t>
  </si>
  <si>
    <t>574A04</t>
  </si>
  <si>
    <t>ASFALTOVÝ BETON PRO OBRUSNÉ VRSTVY ACO 11+</t>
  </si>
  <si>
    <t>Materiál:
asfaltový beton pro obrusnou vrstvu:
podrobná specifikace:
nemodifikovaný:
Reference:
ČSN EN 13108-1, D.1.4 vzorové řezy, D.1.1 technická zpráva:
specifikace:
ACO 11+ 50/70, tl. 40mm:</t>
  </si>
  <si>
    <t xml:space="preserve"> Staničení: 0,79314 - 0,79713: 0,000547252877723034 (2TQ7FGLHHma000000054n9) = 0,001 [A]</t>
  </si>
  <si>
    <t xml:space="preserve"> Staničení: 0,69563 - 1,1445: 76,1756714303232 (2TQ7FGLHHma000000054Ip) = 76,176 [B]</t>
  </si>
  <si>
    <t xml:space="preserve"> Staničení: 0,69563 - 0,77632: 0,0317606335164366 (2TQ7FGLHHma0000000552U) = 0,032 [C]</t>
  </si>
  <si>
    <t xml:space="preserve"> Staničení: 0,69563 - 1,1445: 76,3842178924073 (2TQ7FGLHHma000000054Fb) = 76,384 [D]</t>
  </si>
  <si>
    <t xml:space="preserve"> Staničení: 0,862 - 0,86205: 0,00675614746170008 (2TQ7FGLHHma000000054t8) = 0,007 [E]</t>
  </si>
  <si>
    <t xml:space="preserve"> Staničení: 0,862 - 0,86205: 0,00679237791996041 (2TQ7FGLHHma000000054Oo) = 0,007 [F]</t>
  </si>
  <si>
    <t xml:space="preserve"> Staničení: 0,79713 - 0,847: 3,69866170965538 (2TQ7FGLHHma0000000544e) = 3,699 [G]</t>
  </si>
  <si>
    <t xml:space="preserve"> Celkové množství 156.306000 = 156,306 [H]</t>
  </si>
  <si>
    <t xml:space="preserve"> Staničení: 0,25 - 0,252: 0,000791780581972367 (2ATl_MlSUNQm0000001YAV) = 0,001 [A]</t>
  </si>
  <si>
    <t xml:space="preserve"> Staničení: 0,21033 - 0,21048: 0 (2ATl_MlSUNQm0000001w63) = 0,000 [B]</t>
  </si>
  <si>
    <t xml:space="preserve"> Staničení: 0 - 0,69563: 118,188128189839 (2ATl_MlSUNQm0000001Y6t) = 118,188 [C]</t>
  </si>
  <si>
    <t xml:space="preserve"> Staničení: 0,174 - 0,176: 0,0008034270827144 (2ATl_MlSUNQm0000001YET) = 0,001 [D]</t>
  </si>
  <si>
    <t xml:space="preserve"> Staničení: 0,176 - 0,2006: 0,00991125099740556 (2ATl_MlSUNQm0000001YCE) = 0,010 [E]</t>
  </si>
  <si>
    <t xml:space="preserve"> Staničení: 0 - 0,69563: 118,32602147473 (2ATl_MlSUNQm0000001YkK) = 118,326 [F]</t>
  </si>
  <si>
    <t xml:space="preserve"> Staničení: 0,252 - 0,362: 0,0436566253659932 (2ATl_MlSUNQm0000001Y87) = 0,044 [G]</t>
  </si>
  <si>
    <t xml:space="preserve"> Staničení: 0,349 - 0,351: 0,000806913958482459 (2ATl_MlSUNQm0000001YEz) = 0,001 [H]</t>
  </si>
  <si>
    <t xml:space="preserve"> Staničení: 0,2481 - 0,349: 0,0406621545120478 (2ATl_MlSUNQm0000001Ynl) = 0,041 [I]</t>
  </si>
  <si>
    <t xml:space="preserve"> Staničení: 0,362 - 0,65: 0,116826791161947 (2ATl_MlSUNQm0000001Yp$) = 0,117 [J]</t>
  </si>
  <si>
    <t xml:space="preserve"> Staničení: 0,14656 - 0,18266: 0,014335425428052 (2ATl_MlSUNQm0000001YKf) = 0,014 [K]</t>
  </si>
  <si>
    <t xml:space="preserve"> Staničení: 0,47525 - 0,68: 0,0803977919986801 (2ATl_MlSUNQm0000001YR0) = 0,080 [L]</t>
  </si>
  <si>
    <t xml:space="preserve"> Staničení: 0,351 - 0,45: 0,0395784321889338 (2ATl_MlSUNQm0000001Yfi) = 0,040 [M]</t>
  </si>
  <si>
    <t xml:space="preserve"> Staničení: 0,098 - 0,14656: 0,0192443243965416 (2ATl_MlSUNQm0000001Yci) = 0,019 [N]</t>
  </si>
  <si>
    <t xml:space="preserve"> Staničení: 0 - 0,02: 0,00810005061110567 (2ATl_MlSUNQm0000001YUC) = 0,008 [O]</t>
  </si>
  <si>
    <t xml:space="preserve"> Staničení: 0,2036 - 0,2481: 0,017924017546015 (2ATl_MlSUNQm0000001YYC) = 0,018 [P]</t>
  </si>
  <si>
    <t xml:space="preserve"> Staničení: 0,18266 - 0,18281: 0 (2ATl_MlSUNQm0000001w9X) = 0,000 [Q]</t>
  </si>
  <si>
    <t xml:space="preserve"> Staničení: 0,45 - 0,47525: 0,00987065461698069 (2ATl_MlSUNQm0000001YOo) = 0,010 [R]</t>
  </si>
  <si>
    <t xml:space="preserve"> Staničení: 0,134 - 0,174: 0,0161237295115413 (2ATl_MlSUNQm0000001YM9) = 0,016 [S]</t>
  </si>
  <si>
    <t xml:space="preserve"> Staničení: 0,2006 - 0,2036: 0,00120546045501469 (2ATl_MlSUNQm0000001YEj) = 0,001 [T]</t>
  </si>
  <si>
    <t xml:space="preserve"> Staničení: 0,68 - 0,69563: 0,00613740133667184 (2ATl_MlSUNQm0000001Yfy) = 0,006 [U]</t>
  </si>
  <si>
    <t xml:space="preserve"> Staničení: 0 - 0,101: 0,0408832980128494 (2ATl_MlSUNQm0000001YXy) = 0,041 [V]</t>
  </si>
  <si>
    <t xml:space="preserve"> Staničení: 0,02 - 0,085: 0,0260390849812488 (2ATl_MlSUNQm0000001YcS) = 0,026 [W]</t>
  </si>
  <si>
    <t xml:space="preserve"> Staničení: 0,21048 - 0,25: 0,0156967782893352 (2ATl_MlSUNQm0000001YUS) = 0,016 [X]</t>
  </si>
  <si>
    <t xml:space="preserve"> Celkové množství 237.024000 = 237,024 [Y]</t>
  </si>
  <si>
    <t xml:space="preserve"> Staničení: 0,12786 - 0,134: 0,00247636051389603 (2WqkYr7d0dfG0000000qST) = 0,002 [A]</t>
  </si>
  <si>
    <t xml:space="preserve"> Staničení: 0,10418 - 0,10448: 0,000189517618808709 (2WqkYr7d0dfG0000000qTt) = 0,000 [B]</t>
  </si>
  <si>
    <t xml:space="preserve"> Staničení: 0,0955 - 0,098: 0,000987181393758557 (2WqkYr7d0dfG0000000qUs) = 0,001 [C]</t>
  </si>
  <si>
    <t xml:space="preserve"> Staničení: 0,78141 - 0,7909: 0,00379959610291343 (2WqkYr7d0dfG0000000r14) = 0,004 [D]</t>
  </si>
  <si>
    <t xml:space="preserve"> Staničení: 0,085 - 0,08763: 0,0010383781733565 (2WqkYr7d0dfG0000000qUf) = 0,001 [E]</t>
  </si>
  <si>
    <t xml:space="preserve"> Staničení: 0,67352 - 0,68367: 0,00414037173984525 (2WqkYr7d0dfG0000000qiR) = 0,004 [F]</t>
  </si>
  <si>
    <t xml:space="preserve"> Staničení: 0,1277 - 0,12786: 0,000101265822862375 (2WqkYr7d0dfG0000000qTH) = 0,000 [G]</t>
  </si>
  <si>
    <t xml:space="preserve"> Staničení: 0,7909 - 0,79309: 0,000875115861311093 (2WqkYr7d0dfG0000000r2I) = 0,001 [H]</t>
  </si>
  <si>
    <t xml:space="preserve"> Staničení: 0,77926 - 0,78141: 0,000856487675045581 (2WqkYr7d0dfG0000000r25) = 0,001 [I]</t>
  </si>
  <si>
    <t xml:space="preserve"> Staničení: 1,11011 - 1,11711: 0,00283413092543196 (2WqkYr7d0dfG0000000qpH) = 0,003 [J]</t>
  </si>
  <si>
    <t xml:space="preserve"> Staničení: 0,67248 - 0,67299: 0,00740595210511046 (2WqkYr7d0dfG0000000qY4) = 0,007 [K]</t>
  </si>
  <si>
    <t xml:space="preserve"> Staničení: 0,77632 - 0,77797: 0,000656613198064273 (2WqkYr7d0dfG0000000r47) = 0,001 [L]</t>
  </si>
  <si>
    <t xml:space="preserve"> Staničení: 0,10419 - 0,12786: 0,00954183592938291 (2WqkYr7d0dfG0000000qRG) = 0,010 [M]</t>
  </si>
  <si>
    <t xml:space="preserve"> Staničení: 0,08763 - 0,0955: 0,00311462772678828 (2WqkYr7d0dfG0000000qX3) = 0,003 [N]</t>
  </si>
  <si>
    <t xml:space="preserve"> Staničení: 0,101 - 0,10418: 0,00128658270876635 (2WqkYr7d0dfG0000000qQS) = 0,001 [O]</t>
  </si>
  <si>
    <t xml:space="preserve"> Staničení: 0,77847 - 0,77926: 0,000323568253660455 (2WqkYr7d0dfG0000000qyS) = 0,000 [P]</t>
  </si>
  <si>
    <t xml:space="preserve"> Staničení: 0,67299 - 0,67351: 0,007734316601091 (2WqkYr7d0dfG0000000qa3) = 0,008 [Q]</t>
  </si>
  <si>
    <t xml:space="preserve"> Celkové množství 0.047000 = 0,047 [R]</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</si>
  <si>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</si>
  <si>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574D06</t>
  </si>
  <si>
    <t>ASFALTOVÝ BETON PRO LOŽNÍ VRSTVY MODIFIK ACL 16+, 16S</t>
  </si>
  <si>
    <t>Materiál:
asfaltový beton pro ložní vrstvu:
podrobná specifikace:
vrstva se zvýšenou odolností proti prokopírování trhlin s modifikací CRmB dle TP 148, tab. 3 podle 4.4.1:
Reference:
ČSN EN 13108-1, TP 148, D.1.4 vzorové řezy, D.1.1 technická zpráva:
specifikace:
ACL 16S 50/70, tl. 60mm:</t>
  </si>
  <si>
    <t xml:space="preserve"> Staničení: 0,14656 - 0,18266: 0,184405190221015 (2ATl_MlSUNQm0000001YKv) = 0,184 [A]</t>
  </si>
  <si>
    <t xml:space="preserve"> Staničení: 0,21033 - 0,21048: 0,00076901033931043 (2ATl_MlSUNQm0000001w6G) = 0,001 [B]</t>
  </si>
  <si>
    <t xml:space="preserve"> Staničení: 0,2006 - 0,2036: 0,0152363904138095 (2ATl_MlSUNQm0000001YFT) = 0,015 [C]</t>
  </si>
  <si>
    <t xml:space="preserve"> Staničení: 0 - 0,69563: 177,282194429558 (2ATl_MlSUNQm0000001Y77) = 177,282 [D]</t>
  </si>
  <si>
    <t xml:space="preserve"> Staničení: 0,252 - 0,362: 0,561099999685569 (2ATl_MlSUNQm0000001Y8N) = 0,561 [E]</t>
  </si>
  <si>
    <t xml:space="preserve"> Staničení: 0,25 - 0,252: 0,010186593281444 (2ATl_MlSUNQm0000001YAl) = 0,010 [F]</t>
  </si>
  <si>
    <t xml:space="preserve"> Staničení: 0,45 - 0,47525: 0,128090886211988 (2ATl_MlSUNQm0000001YP2) = 0,128 [G]</t>
  </si>
  <si>
    <t xml:space="preserve"> Staničení: 0,2481 - 0,349: 0,514323233712181 (2ATl_MlSUNQm0000001Yn$) = 0,514 [H]</t>
  </si>
  <si>
    <t xml:space="preserve"> Staničení: 0 - 0,02: 0,10251626588352 (2ATl_MlSUNQm0000001YUi) = 0,103 [I]</t>
  </si>
  <si>
    <t xml:space="preserve"> Staničení: 0,2036 - 0,2481: 0,22658845656652 (2ATl_MlSUNQm0000001YYi) = 0,227 [J]</t>
  </si>
  <si>
    <t xml:space="preserve"> Staničení: 0,098 - 0,14656: 0,247543089993458 (2ATl_MlSUNQm0000001YdC) = 0,248 [K]</t>
  </si>
  <si>
    <t xml:space="preserve"> Staničení: 0,351 - 0,45: 0,504918369746154 (2ATl_MlSUNQm0000001YgC) = 0,505 [L]</t>
  </si>
  <si>
    <t xml:space="preserve"> Staničení: 0,176 - 0,2006: 0,125261841878458 (2ATl_MlSUNQm0000001YCU) = 0,125 [M]</t>
  </si>
  <si>
    <t xml:space="preserve"> Staničení: 0 - 0,69563: 177,489017781544 (2ATl_MlSUNQm0000001Yka) = 177,489 [N]</t>
  </si>
  <si>
    <t xml:space="preserve"> Staničení: 0,362 - 0,65: 1,47098784010531 (2ATl_MlSUNQm0000001YqF) = 1,471 [O]</t>
  </si>
  <si>
    <t xml:space="preserve"> Staničení: 0,174 - 0,176: 0,010153415500599 (2ATl_MlSUNQm0000001YFD) = 0,010 [P]</t>
  </si>
  <si>
    <t xml:space="preserve"> Staničení: 0,18266 - 0,18281: 0,000745166915804114 (2ATl_MlSUNQm0000001w9k) = 0,001 [Q]</t>
  </si>
  <si>
    <t xml:space="preserve"> Staničení: 0,134 - 0,174: 0,203756175845453 (2ATl_MlSUNQm0000001YMP) = 0,204 [R]</t>
  </si>
  <si>
    <t xml:space="preserve"> Staničení: 0,349 - 0,351: 0,0101970805507055 (2ATl_MlSUNQm0000001YFj) = 0,010 [S]</t>
  </si>
  <si>
    <t xml:space="preserve"> Staničení: 0,02 - 0,085: 0,331940663587918 (2ATl_MlSUNQm0000001Ycy) = 0,332 [T]</t>
  </si>
  <si>
    <t xml:space="preserve"> Staničení: 0,21048 - 0,25: 0,201910445168085 (2ATl_MlSUNQm0000001YUy) = 0,202 [U]</t>
  </si>
  <si>
    <t xml:space="preserve"> Staničení: 0,47525 - 0,68: 1,04314580688321 (2ATl_MlSUNQm0000001YRG) = 1,043 [V]</t>
  </si>
  <si>
    <t xml:space="preserve"> Staničení: 0,68 - 0,69563: 0,0796467636457992 (2ATl_MlSUNQm0000001YgS) = 0,080 [W]</t>
  </si>
  <si>
    <t xml:space="preserve"> Staničení: 0 - 0,101: 0,517222585488009 (2ATl_MlSUNQm0000001YYS) = 0,517 [X]</t>
  </si>
  <si>
    <t xml:space="preserve"> Celkové množství 361.262000 = 361,262 [Y]</t>
  </si>
  <si>
    <t xml:space="preserve"> Staničení: 0,10419 - 0,12786: 0,120758531250975 (2WqkYr7d0dfG0000000qRT) = 0,121 [A]</t>
  </si>
  <si>
    <t xml:space="preserve"> Staničení: 0,77632 - 0,77797: 0,00843166790245656 (2WqkYr7d0dfG0000000r4K) = 0,008 [B]</t>
  </si>
  <si>
    <t xml:space="preserve"> Staničení: 0,67352 - 0,68367: 0,0518531771154069 (2WqkYr7d0dfG0000000qie) = 0,052 [C]</t>
  </si>
  <si>
    <t xml:space="preserve"> Staničení: 0,78141 - 0,7909: 0,0486347148288075 (2WqkYr7d0dfG0000000r1H) = 0,049 [D]</t>
  </si>
  <si>
    <t xml:space="preserve"> Staničení: 0,101 - 0,10418: 0,0162585879813433 (2WqkYr7d0dfG0000000qQf) = 0,016 [E]</t>
  </si>
  <si>
    <t xml:space="preserve"> Staničení: 0,77847 - 0,77926: 0,0034962767210562 (2WqkYr7d0dfG0000000qyf) = 0,003 [F]</t>
  </si>
  <si>
    <t xml:space="preserve"> Staničení: 0,77797 - 0,77847: 0,0012347329106418 (2WqkYr7d0dfG0000000q_d) = 0,001 [G]</t>
  </si>
  <si>
    <t xml:space="preserve"> Staničení: 0,1277 - 0,12786: 0,000703797468961021 (2WqkYr7d0dfG0000000qTU) = 0,001 [H]</t>
  </si>
  <si>
    <t xml:space="preserve"> Staničení: 1,11011 - 1,11711: 0,0358694693153158 (2WqkYr7d0dfG0000000qpU) = 0,036 [I]</t>
  </si>
  <si>
    <t xml:space="preserve"> Staničení: 0,77926 - 0,78141: 0,01098580986073 (2WqkYr7d0dfG0000000r2V) = 0,011 [J]</t>
  </si>
  <si>
    <t xml:space="preserve"> Staničení: 0,7909 - 0,79309: 0,0111782158103913 (2WqkYr7d0dfG0000000r2i) = 0,011 [K]</t>
  </si>
  <si>
    <t xml:space="preserve"> Staničení: 0,10418 - 0,10448: 0,00130665590131577 (2WqkYr7d0dfG0000000qU4) = 0,001 [L]</t>
  </si>
  <si>
    <t xml:space="preserve"> Staničení: 0,08763 - 0,0955: 0,0400631333873024 (2WqkYr7d0dfG0000000qXG) = 0,040 [M]</t>
  </si>
  <si>
    <t xml:space="preserve"> Staničení: 0,0955 - 0,098: 0,0126980496638781 (2WqkYr7d0dfG0000000qVG) = 0,013 [N]</t>
  </si>
  <si>
    <t xml:space="preserve"> Staničení: 0,12766 - 0,1277: 0,000154258697463372 (2WqkYr7d0dfG0000000qSG) = 0,000 [O]</t>
  </si>
  <si>
    <t xml:space="preserve"> Staničení: 0,12786 - 0,134: 0,0312933558842233 (2WqkYr7d0dfG0000000qSg) = 0,031 [P]</t>
  </si>
  <si>
    <t xml:space="preserve"> Staničení: 0,085 - 0,08763: 0,0133565081474533 (2WqkYr7d0dfG0000000qV3) = 0,013 [Q]</t>
  </si>
  <si>
    <t xml:space="preserve"> Celkové množství 0.407000 = 0,407 [R]</t>
  </si>
  <si>
    <t xml:space="preserve"> Staničení: 0,69563 - 1,144: 114,448839405208 (2TQ7FGLHHma000000054Hh) = 114,449 [A]</t>
  </si>
  <si>
    <t xml:space="preserve"> Staničení: 0,862 - 0,86205: 0,0101342212899241 (2TQ7FGLHHma000000054tP) = 0,010 [B]</t>
  </si>
  <si>
    <t xml:space="preserve"> Staničení: 0,69563 - 1,144: 114,135991767378 (2TQ7FGLHHma000000054ID) = 114,136 [C]</t>
  </si>
  <si>
    <t xml:space="preserve"> Staničení: 0,862 - 0,86205: 0,010188566822123 (2TQ7FGLHHma000000054P3) = 0,010 [D]</t>
  </si>
  <si>
    <t xml:space="preserve"> Staničení: 0,69563 - 0,77632: 0,411453547383487 (2TQ7FGLHHma0000000552l) = 0,411 [E]</t>
  </si>
  <si>
    <t xml:space="preserve"> Staničení: 0,79314 - 0,79713: 0,000820879314635569 (2TQ7FGLHHma000000054nQ) = 0,001 [F]</t>
  </si>
  <si>
    <t xml:space="preserve"> Celkové množství 229.017000 = 229,017 [G]</t>
  </si>
  <si>
    <t>574E07</t>
  </si>
  <si>
    <t>ASFALTOVÝ BETON PRO PODKLADNÍ VRSTVY ACP 22+, 22S</t>
  </si>
  <si>
    <t>Materiál:
asfaltový beton pro podkladní vrstvu:
podrobná specifikace:
nemodifikovaný:
Reference:
ČSN EN 13108-1, D.1.4 vzorové řezy, D.1.1 technická zpráva:
specifikace:
ACP 22+ 50/70, tl. 90mm:</t>
  </si>
  <si>
    <t xml:space="preserve"> Staničení: 0,79314 - 0,79713: 0,00123131897250437 (2TQ7FGLHHma000000054nh) = 0,001 [A]</t>
  </si>
  <si>
    <t xml:space="preserve"> Staničení: 0,69563 - 1,1435: 171,482599368577 (2TQ7FGLHHma000000054H9) = 171,483 [B]</t>
  </si>
  <si>
    <t xml:space="preserve"> Staničení: 0,69563 - 0,77632: 1,25237571704853 (2TQ7FGLHHma00000005530) = 1,252 [C]</t>
  </si>
  <si>
    <t xml:space="preserve"> Staničení: 0,862 - 0,86205: 0,0152828502491721 (2TQ7FGLHHma000000054PK) = 0,015 [D]</t>
  </si>
  <si>
    <t xml:space="preserve"> Staničení: 0,862 - 0,86205: 0,0152013319194767 (2TQ7FGLHHma000000054tg) = 0,015 [E]</t>
  </si>
  <si>
    <t xml:space="preserve"> Staničení: 0,69563 - 1,1435: 171,013226118912 (2TQ7FGLHHma000000054EL) = 171,013 [F]</t>
  </si>
  <si>
    <t xml:space="preserve"> Celkové množství 343.779000 = 343,779 [G]</t>
  </si>
  <si>
    <t xml:space="preserve"> Staničení: 1,11011 - 1,11711: 0,109202606620018 (2WqkYr7d0dfG0000000qph) = 0,109 [A]</t>
  </si>
  <si>
    <t xml:space="preserve"> Staničení: 0,12786 - 0,134: 0,0952668450031086 (2WqkYr7d0dfG0000000qSt) = 0,095 [B]</t>
  </si>
  <si>
    <t xml:space="preserve"> Staničení: 0,7909 - 0,79309: 0,194650048277377 (2WqkYr7d0dfG0000000r3W) = 0,195 [C]</t>
  </si>
  <si>
    <t xml:space="preserve"> Staničení: 0,101 - 0,10418: 0,0494972196277 (2WqkYr7d0dfG0000000qQs) = 0,049 [D]</t>
  </si>
  <si>
    <t xml:space="preserve"> Staničení: 0,77847 - 0,77926: 0,0124693501485497 (2WqkYr7d0dfG0000000qys) = 0,012 [E]</t>
  </si>
  <si>
    <t xml:space="preserve"> Staničení: 0,77797 - 0,77847: 0,00618837252742349 (2WqkYr7d0dfG0000000q_q) = 0,006 [F]</t>
  </si>
  <si>
    <t xml:space="preserve"> Staničení: 0,67352 - 0,68367: 0,157869550526304 (2WqkYr7d0dfG0000000qir) = 0,158 [G]</t>
  </si>
  <si>
    <t xml:space="preserve"> Staničení: 0,77926 - 0,78141: 0,0334418494355837 (2WqkYr7d0dfG0000000r2v) = 0,033 [H]</t>
  </si>
  <si>
    <t xml:space="preserve"> Staničení: 0,10419 - 0,12786: 0,367622830313671 (2WqkYr7d0dfG0000000qRg) = 0,368 [I]</t>
  </si>
  <si>
    <t xml:space="preserve"> Staničení: 0,77632 - 0,77797: 0,0253313274486436 (2WqkYr7d0dfG0000000r4X) = 0,025 [J]</t>
  </si>
  <si>
    <t xml:space="preserve"> Celkové množství 1.050000 = 1,050 [K]</t>
  </si>
  <si>
    <t xml:space="preserve"> Staničení: 0,362 - 0,65: 4,47860727654999 (2ATl_MlSUNQm0000001YqV) = 4,479 [A]</t>
  </si>
  <si>
    <t xml:space="preserve"> Staničení: 0,349 - 0,351: 0,0310439176763536 (2ATl_MlSUNQm0000001YGT) = 0,031 [B]</t>
  </si>
  <si>
    <t xml:space="preserve"> Staničení: 0 - 0,69563: 266,233512243881 (2ATl_MlSUNQm0000001Ykq) = 266,234 [C]</t>
  </si>
  <si>
    <t xml:space="preserve"> Staničení: 0,176 - 0,2006: 0,381327621088493 (2ATl_MlSUNQm0000001YCk) = 0,381 [D]</t>
  </si>
  <si>
    <t xml:space="preserve"> Staničení: 0 - 0,69563: 265,923293781483 (2ATl_MlSUNQm0000001Y7N) = 265,923 [E]</t>
  </si>
  <si>
    <t xml:space="preserve"> Staničení: 0,174 - 0,176: 0,0309093593689545 (2ATl_MlSUNQm0000001YFz) = 0,031 [F]</t>
  </si>
  <si>
    <t xml:space="preserve"> Staničení: 0,134 - 0,174: 0,620293164101718 (2ATl_MlSUNQm0000001YMf) = 0,620 [G]</t>
  </si>
  <si>
    <t xml:space="preserve"> Staničení: 0,25 - 0,252: 0,0310071888374191 (2ATl_MlSUNQm0000001YA$) = 0,031 [H]</t>
  </si>
  <si>
    <t xml:space="preserve"> Staničení: 0,098 - 0,14656: 0,753498407008536 (2ATl_MlSUNQm0000001Ydi) = 0,753 [I]</t>
  </si>
  <si>
    <t xml:space="preserve"> Staničení: 0,351 - 0,45: 1,53697365524895 (2ATl_MlSUNQm0000001Ygi) = 1,537 [J]</t>
  </si>
  <si>
    <t xml:space="preserve"> Staničení: 0,47525 - 0,68: 3,17497993987293 (2ATl_MlSUNQm0000001YRW) = 3,175 [K]</t>
  </si>
  <si>
    <t xml:space="preserve"> Staničení: 0,45 - 0,47525: 0,389845340296048 (2ATl_MlSUNQm0000001YPI) = 0,390 [L]</t>
  </si>
  <si>
    <t xml:space="preserve"> Staničení: 0 - 0,02: 0,312105076224045 (2ATl_MlSUNQm0000001YVC) = 0,312 [M]</t>
  </si>
  <si>
    <t xml:space="preserve"> Staničení: 0,2036 - 0,2481: 0,689800809481807 (2ATl_MlSUNQm0000001YZC) = 0,690 [N]</t>
  </si>
  <si>
    <t xml:space="preserve"> Staničení: 0,18266 - 0,18281: 0,00226826645966024 (2ATl_MlSUNQm0000001w9x) = 0,002 [O]</t>
  </si>
  <si>
    <t xml:space="preserve"> Staničení: 0,14656 - 0,18266: 0,56132117213525 (2ATl_MlSUNQm0000001YL9) = 0,561 [P]</t>
  </si>
  <si>
    <t xml:space="preserve"> Staničení: 0,2481 - 0,349: 1,56586924633746 (2ATl_MlSUNQm0000001YoF) = 1,566 [Q]</t>
  </si>
  <si>
    <t xml:space="preserve"> Staničení: 0,2006 - 0,2036: 0,046382954757839 (2ATl_MlSUNQm0000001YGD) = 0,046 [R]</t>
  </si>
  <si>
    <t xml:space="preserve"> Staničení: 0,252 - 0,362: 1,70780219219216 (2ATl_MlSUNQm0000001Y8d) = 1,708 [S]</t>
  </si>
  <si>
    <t xml:space="preserve"> Staničení: 0,68 - 0,69563: 0,242419288166393 (2ATl_MlSUNQm0000001Ygy) = 0,242 [T]</t>
  </si>
  <si>
    <t xml:space="preserve"> Staničení: 0 - 0,101: 1,57464277609708 (2ATl_MlSUNQm0000001YYy) = 1,575 [U]</t>
  </si>
  <si>
    <t xml:space="preserve"> Staničení: 0,21033 - 0,21048: 0,00234084704421703 (2ATl_MlSUNQm0000001w6T) = 0,002 [V]</t>
  </si>
  <si>
    <t xml:space="preserve"> Staničení: 0,02 - 0,085: 1,01048085874502 (2ATl_MlSUNQm0000001YdS) = 1,010 [W]</t>
  </si>
  <si>
    <t xml:space="preserve"> Staničení: 0,21048 - 0,25: 0,61458779235712 (2ATl_MlSUNQm0000001YVS) = 0,615 [X]</t>
  </si>
  <si>
    <t xml:space="preserve"> Celkové množství 551.914000 = 551,914 [Y]</t>
  </si>
  <si>
    <t>58210</t>
  </si>
  <si>
    <t>DLÁŽDĚNÉ KRYTY Z VELKÝCH KOSTEK BEZ LOŽE</t>
  </si>
  <si>
    <t>Materiál:
Velká dlažba z kamene:
podrobná specifikace:
do bet. lože C30/37 XF3 - vykázáno v jiném elementu:
Reference:
D.1.11 Vzorové vyústění drenáže:
specifikace:
200x200mm:</t>
  </si>
  <si>
    <t xml:space="preserve"> Staničení: 0,36163 - 0,36237: 0,434468429020215 (2ATl_MlSUNQm0000001vQC) = 0,434 [A]</t>
  </si>
  <si>
    <t xml:space="preserve"> Staničení: 0,35212 - 0,35288: 0,586250143325655 (2ATl_MlSUNQm0000001vQW) = 0,586 [B]</t>
  </si>
  <si>
    <t xml:space="preserve"> Celkové množství 1.020000 = 1,020 [C]</t>
  </si>
  <si>
    <t>-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</si>
  <si>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767973</t>
  </si>
  <si>
    <t>PACHOVÉ OHRADNÍKY</t>
  </si>
  <si>
    <t>Materiál:
dřevo, odpuzovač vysoké zvěře a divokých prasat:
podrobná specifikace:
výška 1.0m, chemická látka na nosném prvku (pěna nebo molitan):
Reference:
ČSN 736133, TKP4, vzorové příčné řezy, technická zpráva:
specifikace:
dřevěnný kůl s aplikovanou chemickou látkou pro odpuzování vysoké zvěře a divokých prasat :</t>
  </si>
  <si>
    <t xml:space="preserve"> Staničení: 61,91789 - 61,91929: 3000 (2ROzpdHdh$EG0000000WGY) = 3000,000 [A]</t>
  </si>
  <si>
    <t xml:space="preserve"> Celkové množství 3000.000000 = 3000,000 [B]</t>
  </si>
  <si>
    <t>- položka zahrnuje dodávku a aplikaci předepsané hmoty v předepsané výšce nad terénem, zřízení podpůrných konstrukcí</t>
  </si>
  <si>
    <t>8</t>
  </si>
  <si>
    <t>Potrubí</t>
  </si>
  <si>
    <t>895811</t>
  </si>
  <si>
    <t>DRENÁŽNÍ ŠACHTICE NORMÁLNÍ Z PLAST DÍLCŮ ŠN 60</t>
  </si>
  <si>
    <t>Kategorie stavebního výrobku:
Klasifikace dle CCI:
Podrobná specifikace:
ocelový poklop D400:
Reference:
D.1.1 technická zpráva, D.1.12 vzorová drenážní šachta:
Specifikace:
šachtice PVC, DN 400, včetně uložení:
Stavební výrobek:
drenážní šachtice plastová:
Typ stavebního výrobku:
drenážní šachtice:
Výrobce:
Nd:</t>
  </si>
  <si>
    <t xml:space="preserve"> Staničení: 1,01022 - 1,01022: 1 (2TQ7FGLHHma00000004ZsC) = 1,000 [A]</t>
  </si>
  <si>
    <t xml:space="preserve"> Staničení: 0,77799 - 0,77799: 1 (2TQ7FGLHHma00000004Zc$) = 1,000 [B]</t>
  </si>
  <si>
    <t xml:space="preserve"> Staničení: 0,91222 - 0,91222: 1 (2TQ7FGLHHma00000004ZzP) = 1,000 [C]</t>
  </si>
  <si>
    <t xml:space="preserve"> Celkové množství 3.000000 = 3,000 [D]</t>
  </si>
  <si>
    <t xml:space="preserve"> Staničení: 0,4801 - 0,4801: 1 (2ATl_MlSUNQm0000001upV) = 1,000 [A]</t>
  </si>
  <si>
    <t xml:space="preserve"> Staničení: 0,36213 - 0,36213: 1 (2ATl_MlSUNQm0000001ujy) = 1,000 [B]</t>
  </si>
  <si>
    <t xml:space="preserve"> Staničení: 0,36213 - 0,36213: 1 (2ATl_MlSUNQm0000001upk) = 1,000 [C]</t>
  </si>
  <si>
    <t xml:space="preserve"> Staničení: 0,58012 - 0,58012: 1 (2ATl_MlSUNQm0000001uz3) = 1,000 [D]</t>
  </si>
  <si>
    <t xml:space="preserve"> Staničení: 0,59018 - 0,59018: 1 (2ATl_MlSUNQm0000001uyS) = 1,000 [E]</t>
  </si>
  <si>
    <t xml:space="preserve"> Staničení: 0,35264 - 0,35264: 1 (2ATl_MlSUNQm0000001up1) = 1,000 [F]</t>
  </si>
  <si>
    <t xml:space="preserve"> Staničení: 0,4801 - 0,4801: 1 (2ATl_MlSUNQm0000001upG) = 1,000 [G]</t>
  </si>
  <si>
    <t xml:space="preserve"> Celkové množství 7.000000 = 7,000 [H]</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</si>
  <si>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</si>
  <si>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9113</t>
  </si>
  <si>
    <t>R1</t>
  </si>
  <si>
    <t>ABSORPČNÍ KONCOVKA - DODÁVKA A MONTÁŽ</t>
  </si>
  <si>
    <t>OTSKP 2024 úprava II/353 Rytířsko 2024</t>
  </si>
  <si>
    <t>Kategorie stavebního výrobku:
Klasifikace dle CCI:
Podrobná specifikace:
dl. 8.22m:
Reference:
TP 114, TP 203, TPV, D.1.1 technická zpráva, D.1.2 situace, D.1.9 vzorová skladba svodidel:
Specifikace:
P2, X1/Y2,Z2, , ASI A, ocel tř. S235 chráněná proti korozi žárovým zinkováním:
Stavební výrobek:
energetický absorpční terminál:
Typ stavebního výrobku:
absorpční koncovka jednostranného svodidla:
Výrobce:
Nd:</t>
  </si>
  <si>
    <t xml:space="preserve"> Staničení: 1,12641 - 1,12641: 1 (2TQ7FGLHHma00000004DaC) = 1,000 [A]</t>
  </si>
  <si>
    <t xml:space="preserve"> Staničení: 1,10066 - 1,10066: 1 (2TQ7FGLHHma00000004Da0) = 1,000 [B]</t>
  </si>
  <si>
    <t xml:space="preserve"> Staničení: 0,9793 - 0,9793: 1 (2TQ7FGLHHma00000004DaO) = 1,000 [C]</t>
  </si>
  <si>
    <t>Absorpční koncovka, výkonnostní třída P2, zóna přesměrování vozidla Z2, ASI A, ocel tř. S235, chráněná proti korozi žárovým zinkováním
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 zahrnuje odrazky nebo retroreflexní fólie</t>
  </si>
  <si>
    <t>9113B1</t>
  </si>
  <si>
    <t>SVODIDLO OCEL SILNIČ JEDNOSTR, ÚROVEŇ ZADRŽ H1 -DODÁVKA A MONTÁŽ</t>
  </si>
  <si>
    <t>Kategorie stavebního výrobku:
Klasifikace dle CCI:
Podrobná specifikace:
výška 0.75 m, včetně nástavce směrového sloupku na svodidlo, délka náběhu dle D.1.2 situace:
Reference:
TP 114, TP 203, D.1.1 technická zpráva, D.1.2 situace, D.1.9 vzorová skladba svodidel, D.1.4 vzorové řezy:
Specifikace:
úroveň zadržení H1:
Stavební výrobek:
ocelové svodidlo svodnickového typu:
Typ stavebního výrobku:
Jednostranné svodidlo:
Výrobce:
Nd:</t>
  </si>
  <si>
    <t xml:space="preserve"> Staničení: 1,12641 - 1,1445: 18,1 (2TQ7FGLHHma000000055L8) = 18,100 [A]</t>
  </si>
  <si>
    <t xml:space="preserve"> Staničení: 0,9793 - 1,10066: 121,4 (2TQ7FGLHHma000000055LO) = 121,400 [B]</t>
  </si>
  <si>
    <t xml:space="preserve"> Celkové množství 139.500000 = 139,500 [C]</t>
  </si>
  <si>
    <t xml:space="preserve"> Staničení: 0,12999 - 0,20358: 72,98 (2WqkYr7d0dfG0000000qUT) = 72,980 [A]</t>
  </si>
  <si>
    <t xml:space="preserve"> Staničení: 0,20437 - 0,29793: 101,62 (2WqkYr7d0dfG0000000r6J) = 101,620 [B]</t>
  </si>
  <si>
    <t xml:space="preserve"> Staničení: 0,102 - 0,1887: 94,75 (2WqkYr7d0dfG0000000r6V) = 94,750 [C]</t>
  </si>
  <si>
    <t xml:space="preserve"> Celkové množství 269.350000 = 269,350 [D]</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</si>
  <si>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</si>
  <si>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919111</t>
  </si>
  <si>
    <t>ŘEZÁNÍ ASFALTOVÉHO KRYTU VOZOVEK TL DO 50MM</t>
  </si>
  <si>
    <t>Materiál:
zálivka z modifikovaného asfaltu:
podrobná specifikace:
typ N2, boční stěny opatřeny adhezním nátěrem:
Reference:
VL1 42-04, ČSN 14188-1, D.1.1 technická zpráva, D.1.4 vzorové řezy:
specifikace:
proříznutí spáry š. 12mm, hl. 25 mm, zálivka z modifikovaného asfaltu za horka:</t>
  </si>
  <si>
    <t xml:space="preserve"> Staničení: 0,65 - 0,668: 18 (2ATl_MlSUNQm0000001uqe) = 18,000 [A]</t>
  </si>
  <si>
    <t xml:space="preserve"> Staničení: 0,085 - 0,098: 13 (2ATl_MlSUNQm0000001ur2) = 13,000 [B]</t>
  </si>
  <si>
    <t xml:space="preserve"> Staničení: 0,668 - 0,69563: 27,63 (2ATl_MlSUNQm0000001uqR) = 27,630 [C]</t>
  </si>
  <si>
    <t xml:space="preserve"> Staničení: 0,101 - 0,134: 33 (2ATl_MlSUNQm0000001uqr) = 33,000 [D]</t>
  </si>
  <si>
    <t xml:space="preserve"> Staničení: 0,18281 - 0,21032: 27,51 (2ATl_MlSUNQm0000001urF) = 27,510 [E]</t>
  </si>
  <si>
    <t xml:space="preserve"> Celkové množství 119.140000 = 119,140 [F]</t>
  </si>
  <si>
    <t xml:space="preserve"> Staničení: 0,847 - 0,862: 15 (2TQ7FGLHHma00000004P4J) = 15,000 [A]</t>
  </si>
  <si>
    <t xml:space="preserve"> Staničení: 0,864 - 0,912: 48,11 (2TQ7FGLHHma00000004P4M) = 48,110 [B]</t>
  </si>
  <si>
    <t xml:space="preserve"> Staničení: 0,798 - 0,847: 49,33 (2TQ7FGLHHma00000004P4Y) = 49,330 [C]</t>
  </si>
  <si>
    <t xml:space="preserve"> Staničení: 0,862 - 0,86205: 2 (2TQ7FGLHHma00000004P4h) = 2,000 [D]</t>
  </si>
  <si>
    <t xml:space="preserve"> Staničení: 0,79713 - 0,847: 49,87 (2TQ7FGLHHma00000004P4D) = 49,870 [E]</t>
  </si>
  <si>
    <t xml:space="preserve"> Staničení: 0,862 - 0,86205: 0,0499999999999545 (2TQ7FGLHHma00000004P4P) = 0,050 [F]</t>
  </si>
  <si>
    <t xml:space="preserve"> Staničení: 0,69563 - 1,1445: 333,01 (2TQ7FGLHHma00000004P4k) = 333,010 [G]</t>
  </si>
  <si>
    <t xml:space="preserve"> Staničení: 0,79314 - 0,79713: 3,99000000000001 (2TQ7FGLHHma00000004P4G) = 3,990 [H]</t>
  </si>
  <si>
    <t xml:space="preserve"> Staničení: 0,86205 - 0,864: 1,95000000000005 (2TQ7FGLHHma00000004P4S) = 1,950 [I]</t>
  </si>
  <si>
    <t xml:space="preserve"> Staničení: 0,69563 - 1,1445: 334,55 (2TQ7FGLHHma00000004P4n) = 334,550 [J]</t>
  </si>
  <si>
    <t xml:space="preserve"> Staničení: 0,847 - 0,862: 15,05 (2TQ7FGLHHma00000004P4V) = 15,050 [K]</t>
  </si>
  <si>
    <t xml:space="preserve"> Staničení: 0,86205 - 0,864: 1,95000000000005 (2TQ7FGLHHma00000004P4e) = 1,950 [L]</t>
  </si>
  <si>
    <t xml:space="preserve"> Staničení: 1,14449 - 1,1445: 8,49 (2TQ7FGLHHma00000004P4q) = 8,490 [M]</t>
  </si>
  <si>
    <t xml:space="preserve"> Staničení: 0,864 - 0,91334: 49,45 (2TQ7FGLHHma00000004P4b) = 49,450 [N]</t>
  </si>
  <si>
    <t xml:space="preserve"> Celkové množství 912.800000 = 912,800 [O]</t>
  </si>
  <si>
    <t>položka zahrnuje řezání vozovkové vrstvy v předepsané tloušťce, včetně spotřeby vody</t>
  </si>
  <si>
    <t>931323</t>
  </si>
  <si>
    <t>TĚSNĚNÍ DILATAČ SPAR ASF ZÁLIVKOU MODIFIK PRŮŘ DO 300MM2</t>
  </si>
  <si>
    <t>položka zahrnuje dodávku a osazení předepsaného materiálu, očištění ploch spáry před úpravou, očištění okolí spáry po úpravě
nezahrnuje těsnící profil</t>
  </si>
  <si>
    <t>935212</t>
  </si>
  <si>
    <t>PŘÍKOPOVÉ ŽLABY Z BETON TVÁRNIC ŠÍŘ DO 600MM DO BETONU TL 100MM</t>
  </si>
  <si>
    <t>Kategorie stavebního výrobku:
Klasifikace dle CCI:
Podrobná specifikace:
betonová tvárnice z betonu C30/37-XF4:
Reference:
VL1, D.1.1 technická zpráva, D.1.4 D.1.4 vzorové řezy:
Specifikace:
betonová tvárnice z betonu C30/37-XF4 do bet. lože C30/37  XF3. 0,10m,  dle TKP18
Stavební výrobek:
tvárnice dle VL1 41-02, š. 0.6m:
Typ stavebního výrobku:
příkopová tvárnice betonová :
Výrobce:
Nd:</t>
  </si>
  <si>
    <t xml:space="preserve"> Staničení: 0,69563 - 0,77632: 81,87 (2TQ7FGLHHma000000055Le) = 81,870 [A]</t>
  </si>
  <si>
    <t xml:space="preserve"> Staničení: 0,96765 - 1,10511: 137,7 (2TQ7FGLHHma000000055J1) = 137,700 [B]</t>
  </si>
  <si>
    <t xml:space="preserve"> Staničení: 0,96765 - 1,10511: 137,68 (2TQ7FGLHHma00000003_Ou) = 137,680 [C]</t>
  </si>
  <si>
    <t xml:space="preserve"> Staničení: 1,12211 - 1,1445: 22,41 (2TQ7FGLHHma00000003_Or) = 22,410 [D]</t>
  </si>
  <si>
    <t xml:space="preserve"> Staničení: 0,69563 - 0,76001: 63,67 (2TQ7FGLHHma000000053tW) = 63,670 [E]</t>
  </si>
  <si>
    <t xml:space="preserve"> Staničení: 1,12211 - 1,1445: 22,42 (2TQ7FGLHHma000000055JO) = 22,420 [F]</t>
  </si>
  <si>
    <t xml:space="preserve"> Celkové množství 465.750000 = 465,750 [G]</t>
  </si>
  <si>
    <t xml:space="preserve"> Staničení: 0,252 - 0,362: 112,8 (2ATl_MlSUNQm0000001vAD) = 112,800 [A]</t>
  </si>
  <si>
    <t xml:space="preserve"> Staničení: 0,362 - 0,65: 285,0561 (2ATl_MlSUNQm0000001vBz) = 285,056 [B]</t>
  </si>
  <si>
    <t xml:space="preserve"> Staničení: 0,68 - 0,69563: 15,8716 (2ATl_MlSUNQm0000001vBO) = 15,872 [C]</t>
  </si>
  <si>
    <t xml:space="preserve"> Staničení: 0,47525 - 0,68: 207,8575 (2ATl_MlSUNQm0000001vAw) = 207,858 [D]</t>
  </si>
  <si>
    <t xml:space="preserve"> Staničení: 0,65 - 0,668: 17,72 (2ATl_MlSUNQm0000001vBk) = 17,720 [E]</t>
  </si>
  <si>
    <t xml:space="preserve"> Staničení: 0,45 - 0,47525: 25,4846 (2ATl_MlSUNQm0000001vAh) = 25,485 [F]</t>
  </si>
  <si>
    <t xml:space="preserve"> Staničení: 0,176 - 0,2006: 24,93 (2ATl_MlSUNQm0000001vAS) = 24,930 [G]</t>
  </si>
  <si>
    <t xml:space="preserve"> Staničení: 0,351 - 0,45: 99,2036 (2ATl_MlSUNQm0000001vB9) = 99,204 [H]</t>
  </si>
  <si>
    <t xml:space="preserve"> Celkové množství 788.925000 = 788,925 [I]</t>
  </si>
  <si>
    <t xml:space="preserve"> Staničení: 1,11811 - 1,12211: 4 (2WqkYr7d0dfG0000000qnv) = 4,000 [A]</t>
  </si>
  <si>
    <t xml:space="preserve"> Staničení: 0,68467 - 0,69563: 10,96 (2WqkYr7d0dfG0000000r6h) = 10,960 [B]</t>
  </si>
  <si>
    <t xml:space="preserve"> Staničení: 1,10511 - 1,10881: 3,70000000000005 (2WqkYr7d0dfG0000000qnj) = 3,700 [C]</t>
  </si>
  <si>
    <t xml:space="preserve"> Staničení: 0,77632 - 0,77797: 1,64999999999998 (2WqkYr7d0dfG0000000r55) = 1,650 [D]</t>
  </si>
  <si>
    <t xml:space="preserve"> Staničení: 0,668 - 0,67248: 4,48000000000002 (2WqkYr7d0dfG0000000qeY) = 4,480 [E]</t>
  </si>
  <si>
    <t xml:space="preserve"> Celkové množství 24.790000 = 24,790 [F]</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</si>
  <si>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</si>
  <si>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93531</t>
  </si>
  <si>
    <t>ŽLABY A RIGOLY MONOLITICKÉ BETONOVÉ PRŮŘEZ 0,09 M2</t>
  </si>
  <si>
    <t>Kategorie stavebního výrobku:
Klasifikace dle CCI:
Podrobná specifikace:
 š. 0.5m:
Reference:
VL1, D.1.1 technická zpráva, D.1.4 D.1.4 vzorové řezy:
Specifikace:
monolitický žlab z betonu C30/37-XF4:
Stavební výrobek:
žlab tvaru dle VL1 42-01, plocha průřezu 0.09m2:
Typ stavebního výrobku:
monolitický betonový žlab:
Výrobce:
Nd:</t>
  </si>
  <si>
    <t xml:space="preserve"> Staničení: 1,11811 - 1,12211: 4 (2WqkYr7d0dfG0000000qk1) = 4,000 [A]</t>
  </si>
  <si>
    <t xml:space="preserve"> Staničení: 0,668 - 0,67248: 4,48000000000002 (2WqkYr7d0dfG0000000qfk) = 4,480 [B]</t>
  </si>
  <si>
    <t xml:space="preserve"> Staničení: 1,10931 - 1,11011: 0,799999999999955 (2WqkYr7d0dfG0000000qtD) = 0,800 [C]</t>
  </si>
  <si>
    <t xml:space="preserve"> Staničení: 1,10511 - 1,10881: 3,70000000000005 (2WqkYr7d0dfG0000000qjr) = 3,700 [D]</t>
  </si>
  <si>
    <t xml:space="preserve"> Staničení: 0,67248 - 0,67299: 0,509999999999991 (2WqkYr7d0dfG0000000qbr) = 0,510 [E]</t>
  </si>
  <si>
    <t xml:space="preserve"> Staničení: 0,67299 - 0,67351: 0,519999999999982 (2WqkYr7d0dfG0000000qhd) = 0,520 [F]</t>
  </si>
  <si>
    <t xml:space="preserve"> Staničení: 0,68367 - 0,69563: 11,96 (2WqkYr7d0dfG0000000qfw) = 11,960 [G]</t>
  </si>
  <si>
    <t xml:space="preserve"> Staničení: 1,11711 - 1,11811: 1 (2WqkYr7d0dfG0000000qtP) = 1,000 [H]</t>
  </si>
  <si>
    <t xml:space="preserve"> Staničení: 1,10881 - 1,10931: 0,5 (2WqkYr7d0dfG0000000qqg) = 0,500 [I]</t>
  </si>
  <si>
    <t xml:space="preserve"> Celkové množství 27.470000 = 27,470 [J]</t>
  </si>
  <si>
    <t xml:space="preserve"> Staničení: 0,65 - 0,668: 17,8 (2ATl_MlSUNQm0000001Yla) = 17,800 [A]</t>
  </si>
  <si>
    <t xml:space="preserve"> Celkové množství 17.800000 = 17,800 [B]</t>
  </si>
  <si>
    <t xml:space="preserve"> Staničení: 0,91334 - 0,96764: 54,31 (2TQ7FGLHHma000000053m$) = 54,310 [A]</t>
  </si>
  <si>
    <t xml:space="preserve"> Staničení: 0,69563 - 0,76001: 63,67 (2TQ7FGLHHma000000053u$) = 63,670 [B]</t>
  </si>
  <si>
    <t xml:space="preserve"> Staničení: 0,96765 - 1,10511: 137,48 (2TQ7FGLHHma000000053nF) = 137,480 [C]</t>
  </si>
  <si>
    <t xml:space="preserve"> Staničení: 1,12211 - 1,1445: 22,4 (2TQ7FGLHHma000000053nV) = 22,400 [D]</t>
  </si>
  <si>
    <t xml:space="preserve"> Staničení: 0,958 - 1,1445: 186,5 (2TQ7FGLHHma000000055HX) = 186,500 [E]</t>
  </si>
  <si>
    <t xml:space="preserve"> Staničení: 0,912 - 0,935: 23,01 (2TQ7FGLHHma000000055Ku) = 23,010 [F]</t>
  </si>
  <si>
    <t xml:space="preserve"> Staničení: 0,935 - 0,958: 22,99 (2TQ7FGLHHma000000055Hn) = 22,990 [G]</t>
  </si>
  <si>
    <t xml:space="preserve"> Celkové množství 510.360000 = 510,360 [H]</t>
  </si>
  <si>
    <t>položka zahrnuje:
- dodání a uložení betonové směsi předepsané kvality do předepsaného tvaru
- provedení spar (smršťovacích, vkládaných, řezaných)
- postřiky povrchu (proti odpařování, ochranné)</t>
  </si>
  <si>
    <t>95400</t>
  </si>
  <si>
    <t>METEOSTANICE</t>
  </si>
  <si>
    <t>Kategorie stavebního výrobku:
Klasifikace dle CCI:
Podrobná specifikace:
včetn základu, bet. stupínku na žebřík a:
Reference:
D.1.1 technická zpráva, D.1.10 schématický zákres meteohlásky:
Specifikace:
"kompletní provedení nízkoenergetické meteostanice napojené bezúdržbovým:
Stavební výrobek:
meteohláska:
Typ stavebního výrobku:
meteohláska:
Výrobce:
Nd:</t>
  </si>
  <si>
    <t xml:space="preserve"> Staničení: 0,86072 - 0,86072: 1 (2TQ7FGLHHma00000004PSC) = 1,000 [A]</t>
  </si>
  <si>
    <t>Další specifikace:
zpětné použití do násypů a aktivní zóny za podmínky úpravy:
Klasifikace zemin / hornin:
F4 CS, S5 SC, F5ML/MI, F6 CI, S4 SM, S3 S-F, G3 G-F, R6-R4:
Třída těžitelnosti:
1:</t>
  </si>
  <si>
    <t xml:space="preserve"> Staničení: 1,139 - 1,143: 0,753129632909805 (2TQ7FGLHHma00000004cU2) = 0,753 [A]</t>
  </si>
  <si>
    <t xml:space="preserve"> Staničení: 0,96679 - 0,96914: 0,00622121422566008 (2TQ7FGLHHma00000004cI8) = 0,006 [B]</t>
  </si>
  <si>
    <t xml:space="preserve"> Staničení: 0,84 - 0,91: 8,88739909244998 (2TQ7FGLHHma00000004cO8) = 8,887 [C]</t>
  </si>
  <si>
    <t xml:space="preserve"> Staničení: 0,81 - 0,84: 1,82900683919573 (2TQ7FGLHHma00000004cNa) = 1,829 [D]</t>
  </si>
  <si>
    <t xml:space="preserve"> Staničení: 0,9391 - 0,96017: 0,0425618454143869 (2TQ7FGLHHma00000004cIW) = 0,043 [E]</t>
  </si>
  <si>
    <t xml:space="preserve"> Staničení: 1,106 - 1,10625: 0 (2TQ7FGLHHma00000004cKC) = 0,000 [F]</t>
  </si>
  <si>
    <t xml:space="preserve"> Staničení: 0,94671 - 0,95313: 0,123046073398041 (2TQ7FGLHHma00000004cP4) = 0,123 [G]</t>
  </si>
  <si>
    <t xml:space="preserve"> Staničení: 0,93821 - 0,96017: 0,32571666513625 (2TQ7FGLHHma00000004cIi) = 0,326 [H]</t>
  </si>
  <si>
    <t xml:space="preserve"> Staničení: 0,91334 - 0,9135: 0,00580806814253323 (2TQ7FGLHHma00000004cLi) = 0,006 [I]</t>
  </si>
  <si>
    <t xml:space="preserve"> Staničení: 0,93444 - 0,935: 0 (2TQ7FGLHHma00000004cPe) = 0,000 [J]</t>
  </si>
  <si>
    <t xml:space="preserve"> Staničení: 0,96017 - 0,96679: 0,0902744401340468 (2TQ7FGLHHma00000004cJG) = 0,090 [K]</t>
  </si>
  <si>
    <t xml:space="preserve"> Staničení: 1,12211 - 1,124: 0,0135992995383954 (2TQ7FGLHHma00000004cJq) = 0,014 [L]</t>
  </si>
  <si>
    <t xml:space="preserve"> Staničení: 0,94016 - 0,94039: 0 (2TQ7FGLHHma00000004cPG) = 0,000 [M]</t>
  </si>
  <si>
    <t xml:space="preserve"> Staničení: 0,91 - 1,143: 1034,46879041418 (2TQ7FGLHHma00000004cUM) = 1034,469 [N]</t>
  </si>
  <si>
    <t xml:space="preserve"> Staničení: 0,70873 - 0,71649: 0,0023898470195881 (2TQ7FGLHHma00000004cN0) = 0,002 [O]</t>
  </si>
  <si>
    <t xml:space="preserve"> Staničení: 0,81 - 0,83654: 67,4027901257219 (2TQ7FGLHHma00000004cNm) = 67,403 [P]</t>
  </si>
  <si>
    <t xml:space="preserve"> Staničení: 0,99602 - 1,01094: 0,262001458364245 (2TQ7FGLHHma00000004cPS) = 0,262 [Q]</t>
  </si>
  <si>
    <t xml:space="preserve"> Staničení: 0,923 - 0,93145: 0,145461461707844 (2TQ7FGLHHma00000004cKO) = 0,145 [R]</t>
  </si>
  <si>
    <t xml:space="preserve"> Staničení: 0,952 - 0,95444: 0,0510806851881425 (2TQ7FGLHHma00000004cOu) = 0,051 [S]</t>
  </si>
  <si>
    <t xml:space="preserve"> Staničení: 0,69563 - 0,81: 818,1695 (2TQ7FGLHHma000000055kO) = 818,170 [T]</t>
  </si>
  <si>
    <t xml:space="preserve"> Celkové množství 1932.579000 = 1932,579 [U]</t>
  </si>
  <si>
    <t xml:space="preserve"> Staničení: 0 - 0,07: 481,954579454354 (2ATl_MlSUNQm0000001ubx) = 481,955 [A]</t>
  </si>
  <si>
    <t xml:space="preserve"> Staničení: 0,3 - 0,69563: 6050,39108115424 (2ATl_MlSUNQm0000001uxv) = 6050,391 [B]</t>
  </si>
  <si>
    <t xml:space="preserve"> Staničení: 0,35212 - 0,35289: 0,325278162395471 (2ATl_MlSUNQm0000001uly) = 0,325 [C]</t>
  </si>
  <si>
    <t xml:space="preserve"> Staničení: 0,36163 - 0,36237: 0,36170852853332 (2ATl_MlSUNQm0000001ujC) = 0,362 [D]</t>
  </si>
  <si>
    <t xml:space="preserve"> Staničení: 0,07 - 0,3: 2251,70724889531 (2ATl_MlSUNQm0000001uc7) = 2251,707 [E]</t>
  </si>
  <si>
    <t xml:space="preserve"> Celkové množství 8784.740000 = 8784,740 [F]</t>
  </si>
  <si>
    <t>Materiál:
zemina:
podrobná specifikace:
upravená vápnem, dávkování 1-2% hmotnosti suché zeminy:
Reference:
ČSN 736133, D.1.4 vzorové řezy, D.1.1 technická zpráva, geotechnická zpráva:
specifikace:
zemina třídy F4-CS(F5-MI, F6-CI), tl. 500mm:</t>
  </si>
  <si>
    <t xml:space="preserve"> Staničení: 0,958 - 1,139: 93,5400961147911 (2TQ7FGLHHma00000003_SU) = 93,540 [A]</t>
  </si>
  <si>
    <t xml:space="preserve"> Staničení: 0,862 - 0,86205: 0,0241030649644294 (2TQ7FGLHHma00000003_Q5) = 0,024 [B]</t>
  </si>
  <si>
    <t xml:space="preserve"> Staničení: 1,12211 - 1,143: 5,10820310404082 (2TQ7FGLHHma00000003_SC) = 5,108 [C]</t>
  </si>
  <si>
    <t xml:space="preserve"> Staničení: 0,847 - 0,862: 8,62310929950659 (2TQ7FGLHHma00000003_RY) = 8,623 [D]</t>
  </si>
  <si>
    <t xml:space="preserve"> Staničení: 0,96765 - 1,10511: 34,0255429920124 (2TQ7FGLHHma00000003_S9) = 34,026 [E]</t>
  </si>
  <si>
    <t xml:space="preserve"> Staničení: 1,139 - 1,143: 0,896916666462074 (2TQ7FGLHHma00000004Nqc) = 0,897 [F]</t>
  </si>
  <si>
    <t xml:space="preserve"> Staničení: 1,12211 - 1,143: 18,530530597844 (2TQ7FGLHHma00000003_R7) = 18,531 [G]</t>
  </si>
  <si>
    <t xml:space="preserve"> Staničení: 0,862 - 0,86205: 0,0844518438080253 (2TQ7FGLHHma00000003_P7) = 0,084 [H]</t>
  </si>
  <si>
    <t xml:space="preserve"> Staničení: 0,847 - 0,862: 26,2441496961183 (2TQ7FGLHHma00000003_PM) = 26,244 [I]</t>
  </si>
  <si>
    <t xml:space="preserve"> Staničení: 0,862 - 0,86205: 0,0223313584794352 (2TQ7FGLHHma00000003_Rq) = 0,022 [J]</t>
  </si>
  <si>
    <t xml:space="preserve"> Staničení: 0,862 - 0,86205: 0,0269854069853447 (2TQ7FGLHHma00000003_Rt) = 0,027 [K]</t>
  </si>
  <si>
    <t xml:space="preserve"> Staničení: 0,847 - 0,862: 0,225010248417185 (2TQ7FGLHHma00000003_Pb) = 0,225 [L]</t>
  </si>
  <si>
    <t xml:space="preserve"> Staničení: 0,862 - 0,86205: 0,0849047239261774 (2TQ7FGLHHma00000003_Ox) = 0,085 [M]</t>
  </si>
  <si>
    <t xml:space="preserve"> Staničení: 0,864 - 0,91334: 46,6948681614585 (2TQ7FGLHHma00000003_Qx) = 46,695 [N]</t>
  </si>
  <si>
    <t xml:space="preserve"> Staničení: 0,81 - 0,847: 17,375 (2TQ7FGLHHma00000004a$F) = 17,375 [O]</t>
  </si>
  <si>
    <t xml:space="preserve"> Staničení: 0,81 - 1,143: 707,462321759302 (2TQ7FGLHHma00000003_SX) = 707,462 [P]</t>
  </si>
  <si>
    <t xml:space="preserve"> Staničení: 0,935 - 0,958: 5,52391473219158 (2TQ7FGLHHma00000003_Pv) = 5,524 [Q]</t>
  </si>
  <si>
    <t xml:space="preserve"> Staničení: 0,81 - 0,847: 7,96383955242261 (2TQ7FGLHHma00000003_QQ) = 7,964 [R]</t>
  </si>
  <si>
    <t xml:space="preserve"> Staničení: 0,847 - 0,862: 3,67467190756281 (2TQ7FGLHHma00000003_Qo) = 3,675 [S]</t>
  </si>
  <si>
    <t xml:space="preserve"> Staničení: 0,86205 - 0,864: 3,12332316967079 (2TQ7FGLHHma00000003_R1) = 3,123 [T]</t>
  </si>
  <si>
    <t xml:space="preserve"> Staničení: 0,864 - 0,912: 45,3001781149856 (2TQ7FGLHHma00000003_P1) = 45,300 [U]</t>
  </si>
  <si>
    <t xml:space="preserve"> Staničení: 0,912 - 0,935: 16,2589018760303 (2TQ7FGLHHma00000003_SO) = 16,259 [V]</t>
  </si>
  <si>
    <t xml:space="preserve"> Staničení: 0,81 - 0,847: 4,60679446733432 (2TQ7FGLHHma00000003_Re) = 4,607 [W]</t>
  </si>
  <si>
    <t xml:space="preserve"> Staničení: 0,86205 - 0,864: 4,45553720666268 (2TQ7FGLHHma00000003_Pe) = 4,456 [X]</t>
  </si>
  <si>
    <t xml:space="preserve"> Staničení: 0,81 - 0,847: 18,5206796107792 (2TQ7FGLHHma00000004Obp) = 18,521 [Y]</t>
  </si>
  <si>
    <t xml:space="preserve"> Staničení: 0,935 - 0,958: 5,63508294172627 (2TQ7FGLHHma00000003_Ps) = 5,635 [Z]</t>
  </si>
  <si>
    <t xml:space="preserve"> Staničení: 0,864 - 0,912: 3,59834395777897 (2TQ7FGLHHma00000003_QE) = 3,598 [AA]</t>
  </si>
  <si>
    <t xml:space="preserve"> Staničení: 0,91334 - 0,96764: 13,4615824488685 (2TQ7FGLHHma00000003_RS) = 13,462 [AB]</t>
  </si>
  <si>
    <t xml:space="preserve"> Staničení: 0,864 - 0,912: 45,8056823437936 (2TQ7FGLHHma00000003_PS) = 45,806 [AC]</t>
  </si>
  <si>
    <t xml:space="preserve"> Staničení: 0,847 - 0,862: 8,62323337770226 (2TQ7FGLHHma00000003_Qi) = 8,623 [AD]</t>
  </si>
  <si>
    <t xml:space="preserve"> Staničení: 0,958 - 1,143: 45,6829147090099 (2TQ7FGLHHma00000003_SI) = 45,683 [AE]</t>
  </si>
  <si>
    <t xml:space="preserve"> Staničení: 0,96765 - 1,10511: 67,0801293483498 (2TQ7FGLHHma00000003_R4) = 67,080 [AF]</t>
  </si>
  <si>
    <t xml:space="preserve"> Staničení: 0,86205 - 0,864: 3,40575489531462 (2TQ7FGLHHma00000003_P4) = 3,406 [AG]</t>
  </si>
  <si>
    <t xml:space="preserve"> Staničení: 0,86205 - 0,864: 0,267580834846166 (2TQ7FGLHHma00000003_QB) = 0,268 [AH]</t>
  </si>
  <si>
    <t xml:space="preserve"> Staničení: 1,139 - 1,143: 1,89382375401933 (2TQ7FGLHHma00000004Nqj) = 1,894 [AI]</t>
  </si>
  <si>
    <t xml:space="preserve"> Staničení: 0,862 - 0,86205: 0,012199973174602 (2TQ7FGLHHma00000003_Q8) = 0,012 [AJ]</t>
  </si>
  <si>
    <t xml:space="preserve"> Staničení: 0,847 - 0,862: 3,62489936860217 (2TQ7FGLHHma00000003_RV) = 3,625 [AK]</t>
  </si>
  <si>
    <t xml:space="preserve"> Staničení: 0,81 - 0,847: 0,557789225998053 (2TQ7FGLHHma00000003_PV) = 0,558 [AL]</t>
  </si>
  <si>
    <t xml:space="preserve"> Staničení: 0,847 - 0,862: 8,30578455195797 (2TQ7FGLHHma00000003_Ql) = 8,306 [AM]</t>
  </si>
  <si>
    <t xml:space="preserve"> Staničení: 0,912 - 0,935: 5,52963834222002 (2TQ7FGLHHma00000003_SL) = 5,530 [AN]</t>
  </si>
  <si>
    <t xml:space="preserve"> Staničení: 0,81 - 0,847: 37,9455 (2TQ7FGLHHma00000004a_n) = 37,946 [AO]</t>
  </si>
  <si>
    <t xml:space="preserve"> Staničení: 0,862 - 0,86205: 0,000727827619012581 (2TQ7FGLHHma00000003_PP) = 0,001 [AP]</t>
  </si>
  <si>
    <t xml:space="preserve"> Staničení: 0,862 - 0,86205: 0,0120645491139249 (2TQ7FGLHHma00000003_Rn) = 0,012 [AQ]</t>
  </si>
  <si>
    <t xml:space="preserve"> Staničení: 0,81 - 1,143: 707,253549201644 (2TQ7FGLHHma00000004OIc) = 707,254 [AR]</t>
  </si>
  <si>
    <t xml:space="preserve"> Staničení: 0,91334 - 0,96764: 4,36528940014051 (2TQ7FGLHHma00000004Nbq) = 4,365 [AS]</t>
  </si>
  <si>
    <t xml:space="preserve"> Staničení: 0,864 - 0,91334: 45,5867717395836 (2TQ7FGLHHma00000003_PG) = 45,587 [AT]</t>
  </si>
  <si>
    <t xml:space="preserve"> Staničení: 0,847 - 0,862: 8,3066 (2TQ7FGLHHma00000004bRv) = 8,307 [AU]</t>
  </si>
  <si>
    <t xml:space="preserve"> Staničení: 0,81 - 0,847: 18,9159029223443 (2TQ7FGLHHma00000003_QK) = 18,916 [AV]</t>
  </si>
  <si>
    <t xml:space="preserve"> Staničení: 0,847 - 0,862: 26,2497495512595 (2TQ7FGLHHma00000003_PA) = 26,250 [AW]</t>
  </si>
  <si>
    <t xml:space="preserve"> Staničení: 0,86205 - 0,864: 3,40266922017233 (2TQ7FGLHHma00000003_O_) = 3,403 [AX]</t>
  </si>
  <si>
    <t xml:space="preserve"> Staničení: 0,864 - 0,91334: 3,69882262177265 (2TQ7FGLHHma00000003_Qu) = 3,699 [AY]</t>
  </si>
  <si>
    <t xml:space="preserve"> Staničení: 0,935 - 0,958: 16,1806978447355 (2TQ7FGLHHma00000003_Py) = 16,181 [AZ]</t>
  </si>
  <si>
    <t xml:space="preserve"> Staničení: 0,81 - 0,847: 17,8619214394215 (2TQ7FGLHHma00000003_QN) = 17,862 [BA]</t>
  </si>
  <si>
    <t xml:space="preserve"> Staničení: 0,86205 - 0,864: 0,267943276552013 (2TQ7FGLHHma00000003_Qr) = 0,268 [BB]</t>
  </si>
  <si>
    <t xml:space="preserve"> Staničení: 0,81 - 0,847: 43,2910120705613 (2TQ7FGLHHma00000003_PD) = 43,291 [BC]</t>
  </si>
  <si>
    <t xml:space="preserve"> Staničení: 0,958 - 1,139: 43,8515824426497 (2TQ7FGLHHma00000003_SR) = 43,852 [BD]</t>
  </si>
  <si>
    <t xml:space="preserve"> Staničení: 0,862 - 0,86205: 0,0121292463183844 (2TQ7FGLHHma00000003_P$) = 0,012 [BE]</t>
  </si>
  <si>
    <t xml:space="preserve"> Staničení: 0,862 - 0,86205: 0,0281647550493281 (2TQ7FGLHHma00000003_Q2) = 0,028 [BF]</t>
  </si>
  <si>
    <t xml:space="preserve"> Staničení: 0,81 - 0,847: 4,64208634612264 (2TQ7FGLHHma00000003_QH) = 4,642 [BG]</t>
  </si>
  <si>
    <t xml:space="preserve"> Staničení: 0,847 - 0,862: 3,6247578036749 (2TQ7FGLHHma00000003_Qf) = 3,625 [BH]</t>
  </si>
  <si>
    <t xml:space="preserve"> Staničení: 0,912 - 0,935: 5,74892975721943 (2TQ7FGLHHma00000003_SF) = 5,749 [BI]</t>
  </si>
  <si>
    <t xml:space="preserve"> Celkové množství 2273.133000 = 2273,133 [BJ]</t>
  </si>
  <si>
    <t xml:space="preserve"> Staničení: 0,174 - 0,176: 2,56376850069792 (2ATl_MlSUNQm0000001usx) = 2,564 [A]</t>
  </si>
  <si>
    <t xml:space="preserve"> Staničení: 0,02 - 0,085: 30,8544592981172 (2ATl_MlSUNQm0000001uvB) = 30,854 [B]</t>
  </si>
  <si>
    <t xml:space="preserve"> Staničení: 0,363 - 0,368: 4,89600807291435 (2ATl_MlSUNQm0000001uxL) = 4,896 [C]</t>
  </si>
  <si>
    <t xml:space="preserve"> Staničení: 0,14656 - 0,18266: 41,5328723448704 (2ATl_MlSUNQm0000001utV) = 41,533 [D]</t>
  </si>
  <si>
    <t xml:space="preserve"> Staničení: 0,36201 - 0,36299: 0,890942052761827 (2ATl_MlSUNQm0000001uvl) = 0,891 [E]</t>
  </si>
  <si>
    <t xml:space="preserve"> Staničení: 0,176 - 0,2006: 1,72324528261433 (2ATl_MlSUNQm0000001usl) = 1,723 [F]</t>
  </si>
  <si>
    <t xml:space="preserve"> Staničení: 0,349 - 0,351: 1,91899522492157 (2ATl_MlSUNQm0000001utJ) = 1,919 [G]</t>
  </si>
  <si>
    <t xml:space="preserve"> Staničení: 0 - 0,36299: 769,362509637379 (2ATl_MlSUNQm0000001urg) = 769,363 [H]</t>
  </si>
  <si>
    <t xml:space="preserve"> Staničení: 0,2006 - 0,2036: 3,49282912937503 (2ATl_MlSUNQm0000001ut7) = 3,493 [I]</t>
  </si>
  <si>
    <t xml:space="preserve"> Staničení: 0,66693 - 0,668: 0,657211980904838 (2ATl_MlSUNQm0000001uxj) = 0,657 [J]</t>
  </si>
  <si>
    <t xml:space="preserve"> Staničení: 0 - 0,02: 15,123359358005 (2ATl_MlSUNQm0000001utt) = 15,123 [K]</t>
  </si>
  <si>
    <t xml:space="preserve"> Staničení: 0,2036 - 0,2481: 26,221326489472 (2ATl_MlSUNQm0000001uuR) = 26,221 [L]</t>
  </si>
  <si>
    <t xml:space="preserve"> Staničení: 0,134 - 0,174: 50,6162684159502 (2ATl_MlSUNQm0000001uth) = 50,616 [M]</t>
  </si>
  <si>
    <t xml:space="preserve"> Staničení: 0 - 0,101: 66,1532299345654 (2ATl_MlSUNQm0000001uuF) = 66,153 [N]</t>
  </si>
  <si>
    <t xml:space="preserve"> Staničení: 0,18266 - 0,18281: 0,157057986774969 (2ATl_MlSUNQm0000001wAx) = 0,157 [O]</t>
  </si>
  <si>
    <t xml:space="preserve"> Staničení: 0,21033 - 0,21048: 0,160868288184362 (2ATl_MlSUNQm0000001uwU) = 0,161 [P]</t>
  </si>
  <si>
    <t xml:space="preserve"> Staničení: 0 - 0,36299: 773,365910387244 (2ATl_MlSUNQm0000001uru) = 773,366 [Q]</t>
  </si>
  <si>
    <t xml:space="preserve"> Staničení: 0,21048 - 0,25: 45,3062401018352 (2ATl_MlSUNQm0000001uu3) = 45,306 [R]</t>
  </si>
  <si>
    <t xml:space="preserve"> Staničení: 0,098 - 0,14656: 38,9011483301403 (2ATl_MlSUNQm0000001uup) = 38,901 [S]</t>
  </si>
  <si>
    <t xml:space="preserve"> Staničení: 0,25 - 0,252: 0,900930659770477 (2ATl_MlSUNQm0000001uvZ) = 0,901 [T]</t>
  </si>
  <si>
    <t xml:space="preserve"> Staničení: 0,25 - 0,252: 1,4928419116579 (2ATl_MlSUNQm0000001usZ) = 1,493 [U]</t>
  </si>
  <si>
    <t xml:space="preserve"> Staničení: 0,2481 - 0,349: 111,409530781101 (2ATl_MlSUNQm0000001uu$) = 111,410 [V]</t>
  </si>
  <si>
    <t xml:space="preserve"> Staničení: 0,252 - 0,362: 133,557001286808 (2ATl_MlSUNQm0000001uvz) = 133,557 [W]</t>
  </si>
  <si>
    <t xml:space="preserve"> Staničení: 0,02 - 0,085: 50,3899122426598 (2ATl_MlSUNQm0000001uud) = 50,390 [X]</t>
  </si>
  <si>
    <t xml:space="preserve"> Staničení: 0,098 - 0,14656: 21,8892844052716 (2ATl_MlSUNQm0000001uvN) = 21,889 [Y]</t>
  </si>
  <si>
    <t xml:space="preserve"> Staničení: 0,368 - 0,37: 1,9564225766655 (2ATl_MlSUNQm0000001uxX) = 1,956 [Z]</t>
  </si>
  <si>
    <t xml:space="preserve"> Staničení: 0,351 - 0,36299: 11,4046919350355 (2ATl_MlSUNQm0000001uwG) = 11,405 [AA]</t>
  </si>
  <si>
    <t xml:space="preserve"> Celkové množství 2206.898000 = 2206,898 [AB]</t>
  </si>
  <si>
    <t xml:space="preserve"> Staničení: 0,101 - 0,10419: 1,20267843017805 (2WqkYr7d0dfG0000000r7Z) = 1,203 [A]</t>
  </si>
  <si>
    <t xml:space="preserve"> Staničení: 0,085 - 0,08763: 1,18080895644589 (2WqkYr7d0dfG0000000qWh) = 1,181 [B]</t>
  </si>
  <si>
    <t xml:space="preserve"> Staničení: 0,1277 - 0,12786: 0,0253335208008621 (2WqkYr7d0dfG0000000qTh) = 0,025 [C]</t>
  </si>
  <si>
    <t xml:space="preserve"> Staničení: 1,10511 - 1,10881: 2,73949072101137 (2WqkYr7d0dfG0000000qov) = 2,739 [D]</t>
  </si>
  <si>
    <t xml:space="preserve"> Staničení: 0,67248 - 0,67299: 0,187113814817108 (2WqkYr7d0dfG0000000qZt) = 0,187 [E]</t>
  </si>
  <si>
    <t xml:space="preserve"> Staničení: 0,0955 - 0,098: 1,12266784507513 (2WqkYr7d0dfG0000000qWt) = 1,123 [F]</t>
  </si>
  <si>
    <t xml:space="preserve"> Staničení: 0,67248 - 0,67299: 0,124815235538258 (2WqkYr7d0dfG0000000qcT) = 0,125 [G]</t>
  </si>
  <si>
    <t xml:space="preserve"> Staničení: 1,10931 - 1,11011: 0,544766851257909 (2WqkYr7d0dfG0000000qxZ) = 0,545 [H]</t>
  </si>
  <si>
    <t xml:space="preserve"> Staničení: 1,11711 - 1,11811: 0,687809716889048 (2WqkYr7d0dfG0000000qxs) = 0,688 [I]</t>
  </si>
  <si>
    <t xml:space="preserve"> Staničení: 1,10881 - 1,10931: 0,335373888359958 (2WqkYr7d0dfG0000000qt1) = 0,335 [J]</t>
  </si>
  <si>
    <t xml:space="preserve"> Staničení: 1,10511 - 1,10881: 0,924557970244817 (2WqkYr7d0dfG0000000ql1) = 0,925 [K]</t>
  </si>
  <si>
    <t xml:space="preserve"> Staničení: 0,77632 - 0,77797: 0,979255023217528 (2WqkYr7d0dfG0000000r9h) = 0,979 [L]</t>
  </si>
  <si>
    <t xml:space="preserve"> Staničení: 0,67299 - 0,67351: 0,130349284288794 (2WqkYr7d0dfG0000000qiF) = 0,130 [M]</t>
  </si>
  <si>
    <t xml:space="preserve"> Staničení: 0,77847 - 0,7789: 0,280377999834465 (2WqkYr7d0dfG0000000q_2) = 0,280 [N]</t>
  </si>
  <si>
    <t xml:space="preserve"> Staničení: 0,668 - 0,67248: 2,64744299088767 (2WqkYr7d0dfG0000000qh8) = 2,647 [O]</t>
  </si>
  <si>
    <t xml:space="preserve"> Staničení: 0,67352 - 0,68367: 4,8877321021371 (2WqkYr7d0dfG0000000qjf) = 4,888 [P]</t>
  </si>
  <si>
    <t xml:space="preserve"> Staničení: 0,68367 - 0,69563: 2,95377706714648 (2WqkYr7d0dfG0000000qhR) = 2,954 [Q]</t>
  </si>
  <si>
    <t xml:space="preserve"> Staničení: 1,11811 - 1,12211: 0,999698772191941 (2WqkYr7d0dfG0000000qlD) = 1,000 [R]</t>
  </si>
  <si>
    <t xml:space="preserve"> Staničení: 1,10931 - 1,11011: 0,0861595986934646 (2WqkYr7d0dfG0000000qud) = 0,086 [S]</t>
  </si>
  <si>
    <t xml:space="preserve"> Staničení: 1,11711 - 1,11811: 0,249852557130113 (2WqkYr7d0dfG0000000quw) = 0,250 [T]</t>
  </si>
  <si>
    <t xml:space="preserve"> Staničení: 0,7789 - 0,7791: 0,128999917078024 (2WqkYr7d0dfG0000000r9t) = 0,129 [U]</t>
  </si>
  <si>
    <t xml:space="preserve"> Staničení: 1,11811 - 1,12211: 2,96214091941506 (2WqkYr7d0dfG0000000qp5) = 2,962 [V]</t>
  </si>
  <si>
    <t xml:space="preserve"> Staničení: 1,11011 - 1,11711: 3,43004263678547 (2WqkYr7d0dfG0000000qqU) = 3,430 [W]</t>
  </si>
  <si>
    <t xml:space="preserve"> Staničení: 0,77926 - 0,79309: 2,48635233932279 (2WqkYr7d0dfG0000000r9V) = 2,486 [X]</t>
  </si>
  <si>
    <t xml:space="preserve"> Staničení: 0,10418 - 0,10448: 0,0234113400860281 (2WqkYr7d0dfG0000000qUH) = 0,023 [Y]</t>
  </si>
  <si>
    <t xml:space="preserve"> Staničení: 0,08763 - 0,0955: 3,5419724276292 (2WqkYr7d0dfG0000000r9I) = 3,542 [Z]</t>
  </si>
  <si>
    <t xml:space="preserve"> Staničení: 0,10419 - 0,12786: 11,1717685848176 (2WqkYr7d0dfG0000000qS4) = 11,172 [AA]</t>
  </si>
  <si>
    <t xml:space="preserve"> Staničení: 1,10881 - 1,10931: 0,124563357083938 (2WqkYr7d0dfG0000000qrG) = 0,125 [AB]</t>
  </si>
  <si>
    <t xml:space="preserve"> Staničení: 0,77797 - 0,77847: 0,222619624665035 (2WqkYr7d0dfG0000000r0n) = 0,223 [AC]</t>
  </si>
  <si>
    <t xml:space="preserve"> Staničení: 0,68367 - 0,69563: 5,03440427774856 (2WqkYr7d0dfG0000000qfY) = 5,034 [AD]</t>
  </si>
  <si>
    <t xml:space="preserve"> Staničení: 0,7791 - 0,77926: 0,104522674126484 (2WqkYr7d0dfG0000000q_E) = 0,105 [AE]</t>
  </si>
  <si>
    <t xml:space="preserve"> Staničení: 0,67299 - 0,67351: 0,195382669074827 (2WqkYr7d0dfG0000000qbS) = 0,195 [AF]</t>
  </si>
  <si>
    <t xml:space="preserve"> Celkové množství 51.716000 = 51,716 [AG]</t>
  </si>
  <si>
    <t>Materiál:
ornice/místní materiál:
podrobná specifikace:
ornice získaná skrývkou ornice z pozemků s ochranou ZPF/ nedostatek řešen nákupem:
Reference:
D.1.4 vzorové řezy, D.1.1 technická zpráva:
specifikace:
ornice/humozní vrstva, tl. 150mm:</t>
  </si>
  <si>
    <t xml:space="preserve"> Staničení: 0,69563 - 0,76001: 2,8374509903232 (2p1QE7Onnwnm0000000WwH) = 2,837 [A]</t>
  </si>
  <si>
    <t xml:space="preserve"> Staničení: 0,668 - 0,67248: 3,06407808484509 (2p1QE7Onnwnm0000000Xcq) = 3,064 [B]</t>
  </si>
  <si>
    <t xml:space="preserve"> Staničení: 0,86205 - 0,864: 0,385338881266618 (2p1QE7Onnwnm0000000Wrs) = 0,385 [C]</t>
  </si>
  <si>
    <t xml:space="preserve"> Staničení: 0,77632 - 0,77797: 0,0885409690834208 (2p1QE7Onnwnm0000000Xhi) = 0,089 [D]</t>
  </si>
  <si>
    <t xml:space="preserve"> Staničení: 1,10931 - 1,11011: 0,181258133517757 (2p1QE7Onnwnm0000000XfG) = 0,181 [E]</t>
  </si>
  <si>
    <t xml:space="preserve"> Staničení: 0,86205 - 0,864: 0,0671524819144334 (2p1QE7Onnwnm0000000Wu9) = 0,067 [F]</t>
  </si>
  <si>
    <t xml:space="preserve"> Staničení: 0,798 - 0,847: 1,49843792913917 (2p1QE7Onnwnm0000000Won) = 1,498 [G]</t>
  </si>
  <si>
    <t xml:space="preserve"> Staničení: 1,12211 - 1,1445: 2,7834257650897 (2p1QE7Onnwnm0000000Wtd) = 2,783 [H]</t>
  </si>
  <si>
    <t xml:space="preserve"> Staničení: 1,11711 - 1,11811: 0,0652373604502722 (2p1QE7Onnwnm0000000XfT) = 0,065 [I]</t>
  </si>
  <si>
    <t xml:space="preserve"> Staničení: 0,79314 - 0,79713: 0,151186539110102 (2p1QE7Onnwnm0000000WvU) = 0,151 [J]</t>
  </si>
  <si>
    <t xml:space="preserve"> Staničení: 0,96765 - 1,10511: 12,7338214875605 (2p1QE7Onnwnm0000000Wsw) = 12,734 [K]</t>
  </si>
  <si>
    <t xml:space="preserve"> Staničení: 1,10511 - 1,10881: 0,378788536416706 (2p1QE7Onnwnm0000000Xde) = 0,379 [L]</t>
  </si>
  <si>
    <t xml:space="preserve"> Staničení: 0,67248 - 0,67299: 0,00614364350284479 (2p1QE7Onnwnm0000000XbC) = 0,006 [M]</t>
  </si>
  <si>
    <t xml:space="preserve"> Staničení: 0,935 - 0,958: 11,4290652902471 (2p1QE7Onnwnm0000000WmP) = 11,429 [N]</t>
  </si>
  <si>
    <t xml:space="preserve"> Staničení: 0,864 - 0,91334: 1,67459972540932 (2p1QE7Onnwnm0000000Wq_) = 1,675 [O]</t>
  </si>
  <si>
    <t xml:space="preserve"> Staničení: 0,847 - 0,862: 15,1192143459461 (2p1QE7Onnwnm0000000Wuh) = 15,119 [P]</t>
  </si>
  <si>
    <t xml:space="preserve"> Staničení: 0,0069 - 0,01299: 1,77693636283812 (2p1QE7Onnwnm0000000WQn) = 1,777 [Q]</t>
  </si>
  <si>
    <t xml:space="preserve"> Staničení: 1,11811 - 1,12211: 0,212662557873632 (2p1QE7Onnwnm0000000Xdr) = 0,213 [R]</t>
  </si>
  <si>
    <t xml:space="preserve"> Staničení: 0,77797 - 0,77847: 0,0349525032892305 (2p1QE7Onnwnm0000000XhI) = 0,035 [S]</t>
  </si>
  <si>
    <t xml:space="preserve"> Staničení: 0,79713 - 0,798: 0,25769896807451 (2p1QE7Onnwnm0000000Wpr) = 0,258 [T]</t>
  </si>
  <si>
    <t xml:space="preserve"> Staničení: 0,77632 - 0,77797: 0,262635835544511 (2p1QE7Onnwnm0000000Xh_) = 0,263 [U]</t>
  </si>
  <si>
    <t xml:space="preserve"> Staničení: 0,69563 - 0,76001: 9,46236179117842 (2p1QE7Onnwnm0000000WwY) = 9,462 [V]</t>
  </si>
  <si>
    <t xml:space="preserve"> Staničení: 0,0148 - 0,01483: 0,0179177338722445 (2p1QE7Onnwnm0000000WKP) = 0,018 [W]</t>
  </si>
  <si>
    <t xml:space="preserve"> Staničení: 0,77797 - 0,77847: 0,0826818761506136 (2p1QE7Onnwnm0000000XhV) = 0,083 [X]</t>
  </si>
  <si>
    <t xml:space="preserve"> Staničení: 1,11711 - 1,11811: 0,249339695938024 (2p1QE7Onnwnm0000000Xg4) = 0,249 [Y]</t>
  </si>
  <si>
    <t xml:space="preserve"> Staničení: 0,864 - 0,912: 1,90729548899275 (2p1QE7Onnwnm0000000WnT) = 1,907 [Z]</t>
  </si>
  <si>
    <t xml:space="preserve"> Staničení: 0,79314 - 0,79713: 0,201087524909478 (2p1QE7Onnwnm0000000Wvl) = 0,201 [AA]</t>
  </si>
  <si>
    <t xml:space="preserve"> Staničení: 0,847 - 0,862: 0,562426502965125 (2p1QE7Onnwnm0000000WkT) = 0,562 [AB]</t>
  </si>
  <si>
    <t xml:space="preserve"> Staničení: 0,0033 - 0,00729: 0,827559827062859 (2p1QE7Onnwnm0000000WRr) = 0,828 [AC]</t>
  </si>
  <si>
    <t xml:space="preserve"> Staničení: 0,79713 - 0,798: 0,0328542430507845 (2p1QE7Onnwnm0000000WpJ) = 0,033 [AD]</t>
  </si>
  <si>
    <t xml:space="preserve"> Staničení: 0,68367 - 0,69563: 6,45237342043064 (2p1QE7Onnwnm0000000XdE) = 6,452 [AE]</t>
  </si>
  <si>
    <t xml:space="preserve"> Staničení: 1,11811 - 1,11711: 0,0925 (2p1QE7Onnwnm0000000Xfg) = 0,093 [AF]</t>
  </si>
  <si>
    <t xml:space="preserve"> Staničení: 0,862 - 0,86205: 0,00181938694560632 (2p1QE7Onnwnm0000000Wmg) = 0,002 [AG]</t>
  </si>
  <si>
    <t xml:space="preserve"> Staničení: 0,798 - 0,847: 19,2254714631099 (2p1QE7Onnwnm0000000Wp2) = 19,225 [AH]</t>
  </si>
  <si>
    <t xml:space="preserve"> Staničení: 1,10511 - 1,10881: 0,196669389685553 (2p1QE7Onnwnm0000000XdR) = 0,197 [AI]</t>
  </si>
  <si>
    <t xml:space="preserve"> Staničení: 1,10931 - 1,11011: 0,0778361445265928 (2p1QE7Onnwnm0000000Xft) = 0,078 [AJ]</t>
  </si>
  <si>
    <t xml:space="preserve"> Staničení: 0,67299 - 0,67351: 0,0345538671828064 (2p1QE7Onnwnm0000000Xc0) = 0,035 [AK]</t>
  </si>
  <si>
    <t xml:space="preserve"> Staničení: 0,864 - 0,91334: 31,8493064754948 (2p1QE7Onnwnm0000000WlX) = 31,849 [AL]</t>
  </si>
  <si>
    <t xml:space="preserve"> Staničení: 0,69563 - 0,77632: 4,35055317577848 (2p1QE7Onnwnm0000000Wwp) = 4,351 [AM]</t>
  </si>
  <si>
    <t xml:space="preserve"> Staničení: 0,0148 - 0,01498: 0,0606175633914097 (2p1QE7Onnwnm0000000WKg) = 0,061 [AN]</t>
  </si>
  <si>
    <t xml:space="preserve"> Staničení: 0,0022 - 0,00932: 2,30624087806431 (2p1QE7Onnwnm0000000WR2) = 2,306 [AO]</t>
  </si>
  <si>
    <t xml:space="preserve"> Staničení: 0,847 - 0,862: 9,90002375775045 (2p1QE7Onnwnm0000000WqN) = 9,900 [AP]</t>
  </si>
  <si>
    <t xml:space="preserve"> Staničení: 0,864 - 0,912: 1,6787429002009 (2p1QE7Onnwnm0000000Wnk) = 1,679 [AQ]</t>
  </si>
  <si>
    <t xml:space="preserve"> Staničení: 0,67248 - 0,67299: 0,0340309267096433 (2p1QE7Onnwnm0000000Xbc) = 0,034 [AR]</t>
  </si>
  <si>
    <t xml:space="preserve"> Staničení: 0,847 - 0,862: 0,485612809404219 (2p1QE7Onnwnm0000000Wq6) = 0,486 [AS]</t>
  </si>
  <si>
    <t xml:space="preserve"> Staničení: 0,79314 - 0,79713: 2,26094124337861 (2p1QE7Onnwnm0000000Wkk) = 2,261 [AT]</t>
  </si>
  <si>
    <t xml:space="preserve"> Staničení: 0,69563 - 0,76001: 8,43937328377874 (2p1QE7Onnwnm0000000Wlt) = 8,439 [AU]</t>
  </si>
  <si>
    <t xml:space="preserve"> Staničení: 0,79713 - 0,798: 0,0456009670024627 (2p1QE7Onnwnm0000000Wpa) = 0,046 [AV]</t>
  </si>
  <si>
    <t xml:space="preserve"> Staničení: 0,67248 - 0,67299: 0,510885178578016 (2p1QE7Onnwnm0000000Xbp) = 0,511 [AW]</t>
  </si>
  <si>
    <t xml:space="preserve"> Staničení: 0,69563 - 0,76001: 24,6472160347339 (2p1QE7Onnwnm0000000Ww0) = 24,647 [AX]</t>
  </si>
  <si>
    <t xml:space="preserve"> Staničení: 0,862 - 0,86205: 0,0302076736863723 (2p1QE7Onnwnm0000000WnC) = 0,030 [AY]</t>
  </si>
  <si>
    <t xml:space="preserve"> Staničení: 0,77847 - 0,77926: 0,0826815761203826 (2p1QE7Onnwnm0000000Xgh) = 0,083 [AZ]</t>
  </si>
  <si>
    <t xml:space="preserve"> Staničení: 1,11811 - 1,12211: 0,609657164929195 (2p1QE7Onnwnm0000000Xe2) = 0,610 [BA]</t>
  </si>
  <si>
    <t xml:space="preserve"> Staničení: 0,862 - 0,86205: 0,00128531103782624 (2p1QE7Onnwnm0000000Wmx) = 0,001 [BB]</t>
  </si>
  <si>
    <t xml:space="preserve"> Staničení: 0,864 - 0,91334: 1,84994717505906 (2p1QE7Onnwnm0000000Wqe) = 1,850 [BC]</t>
  </si>
  <si>
    <t xml:space="preserve"> Staničení: 0,69563 - 0,77632: 10,6287102516802 (2p1QE7Onnwnm0000000Wx4) = 10,629 [BD]</t>
  </si>
  <si>
    <t xml:space="preserve"> Staničení: 0,91334 - 0,96764: 1,9027 (2p1QE7Onnwnm0000000WlG) = 1,903 [BE]</t>
  </si>
  <si>
    <t xml:space="preserve"> Staničení: 0,958 - 1,139: 17,6839317977247 (2p1QE7Onnwnm0000000WkG) = 17,684 [BF]</t>
  </si>
  <si>
    <t xml:space="preserve"> Staničení: 0,013 - 0,01479: 0,748831882844388 (2p1QE7Onnwnm0000000WKx) = 0,749 [BG]</t>
  </si>
  <si>
    <t xml:space="preserve"> Staničení: 0,668 - 0,67248: 0,301669093887188 (2p1QE7Onnwnm0000000Xcd) = 0,302 [BH]</t>
  </si>
  <si>
    <t xml:space="preserve"> Staničení: 0,67248 - 0,67299: 0,00605100715820714 (2p1QE7Onnwnm0000000XbP) = 0,006 [BI]</t>
  </si>
  <si>
    <t xml:space="preserve"> Staničení: 0,912 - 0,935: 14,2252922962216 (2p1QE7Onnwnm0000000Wm8) = 14,225 [BJ]</t>
  </si>
  <si>
    <t xml:space="preserve"> Staničení: 0,864 - 0,912: 44,9535928065245 (2p1QE7Onnwnm0000000Wo8) = 44,954 [BK]</t>
  </si>
  <si>
    <t xml:space="preserve"> Staničení: 0,77847 - 0,77926: 0,0518147468401629 (2p1QE7Onnwnm0000000XgH) = 0,052 [BL]</t>
  </si>
  <si>
    <t xml:space="preserve"> Staničení: 0,86205 - 0,864: 1,76339478027535 (2p1QE7Onnwnm0000000WuQ) = 1,763 [BM]</t>
  </si>
  <si>
    <t xml:space="preserve"> Staničení: 1,10931 - 1,11011: 0,0518544794894177 (2p1QE7Onnwnm0000000Xf3) = 0,052 [BN]</t>
  </si>
  <si>
    <t xml:space="preserve"> Staničení: 0,77847 - 0,77926: 0,101165191102263 (2p1QE7Onnwnm0000000XgU) = 0,101 [BO]</t>
  </si>
  <si>
    <t xml:space="preserve"> Staničení: 1,12211 - 1,1445: 2,66745755406481 (2p1QE7Onnwnm0000000WtB) = 2,667 [BP]</t>
  </si>
  <si>
    <t xml:space="preserve"> Staničení: 1,139 - 1,1445: 1,23364629785821 (2p1QE7Onnwnm0000000Wk3) = 1,234 [BQ]</t>
  </si>
  <si>
    <t xml:space="preserve"> Staničení: 0,91334 - 0,96764: 8,40799843439743 (2p1QE7Onnwnm0000000WrK) = 8,408 [BR]</t>
  </si>
  <si>
    <t xml:space="preserve"> Staničení: 1,10881 - 1,10931: 0,0348862821431313 (2p1QE7Onnwnm0000000Xef) = 0,035 [BS]</t>
  </si>
  <si>
    <t xml:space="preserve"> Staničení: 0,67299 - 0,67351: 0,577704459677338 (2p1QE7Onnwnm0000000XcD) = 0,578 [BT]</t>
  </si>
  <si>
    <t xml:space="preserve"> Staničení: 0,79314 - 0,79713: 0,5942 (2p1QE7Onnwnm0000000Wk$) = 0,594 [BU]</t>
  </si>
  <si>
    <t xml:space="preserve"> Staničení: 1,10881 - 1,10931: 0,0790292021783011 (2p1QE7Onnwnm0000000Xes) = 0,079 [BV]</t>
  </si>
  <si>
    <t xml:space="preserve"> Staničení: 0,67299 - 0,67351: 0,0733578870035512 (2p1QE7Onnwnm0000000XcQ) = 0,073 [BW]</t>
  </si>
  <si>
    <t xml:space="preserve"> Staničení: 0,86205 - 0,864: 1,41990735896867 (2p1QE7Onnwnm0000000WsO) = 1,420 [BX]</t>
  </si>
  <si>
    <t xml:space="preserve"> Staničení: 0,77797 - 0,77847: 0,00627169707914633 (2p1QE7Onnwnm0000000Xh5) = 0,006 [BY]</t>
  </si>
  <si>
    <t xml:space="preserve"> Staničení: 0,86205 - 0,864: 0,0745949537879983 (2p1QE7Onnwnm0000000Ws7) = 0,075 [BZ]</t>
  </si>
  <si>
    <t xml:space="preserve"> Staničení: 0,91334 - 0,96764: 0,458019297150718 (2p1QE7Onnwnm0000000Wrb) = 0,458 [CA]</t>
  </si>
  <si>
    <t xml:space="preserve"> Staničení: 0,86205 - 0,864: 0,772882003448706 (2p1QE7Onnwnm0000000Wtu) = 0,773 [CB]</t>
  </si>
  <si>
    <t xml:space="preserve"> Staničení: 1,10881 - 1,10931: 0,00637988751086573 (2p1QE7Onnwnm0000000XeF) = 0,006 [CC]</t>
  </si>
  <si>
    <t xml:space="preserve"> Staničení: 0,68367 - 0,69563: 1,32578878534272 (2p1QE7Onnwnm0000000Xd1) = 1,326 [CD]</t>
  </si>
  <si>
    <t xml:space="preserve"> Staničení: 1,10881 - 1,10931: 0,00637988748449975 (2p1QE7Onnwnm0000000XeS) = 0,006 [CE]</t>
  </si>
  <si>
    <t xml:space="preserve"> Staničení: 0,77797 - 0,77847: 0,0065085265424233 (2p1QE7Onnwnm0000000Xgu) = 0,007 [CF]</t>
  </si>
  <si>
    <t xml:space="preserve"> Staničení: 0,862 - 0,86205: 0,0515641914469002 (2p1QE7Onnwnm0000000WvD) = 0,052 [CG]</t>
  </si>
  <si>
    <t xml:space="preserve"> Staničení: 0,798 - 0,847: 1,84790370585159 (2p1QE7Onnwnm0000000WoW) = 1,848 [CH]</t>
  </si>
  <si>
    <t xml:space="preserve"> Staničení: 0,96765 - 1,10511: 7,3829589277489 (2p1QE7Onnwnm0000000Wsf) = 7,383 [CI]</t>
  </si>
  <si>
    <t xml:space="preserve"> Staničení: 0,79713 - 0,847: 33,4279192256572 (2p1QE7Onnwnm0000000Wuy) = 33,428 [CJ]</t>
  </si>
  <si>
    <t xml:space="preserve"> Celkové množství 336.453000 = 336,453 [CK]</t>
  </si>
  <si>
    <t xml:space="preserve"> Staničení: 0,25 - 0,252: 2,49098531349538 (2p1QE7Onnwnm0000000X8M) = 2,491 [A]</t>
  </si>
  <si>
    <t xml:space="preserve"> Staničení: 0,174 - 0,176: 1,73769464709726 (2p1QE7Onnwnm0000000X9M) = 1,738 [B]</t>
  </si>
  <si>
    <t xml:space="preserve"> Staničení: 0,252 - 0,362: 102,075753633043 (2p1QE7Onnwnm0000000XJX) = 102,076 [C]</t>
  </si>
  <si>
    <t xml:space="preserve"> Staničení: 0,14656 - 0,179: 0,125532280524166 (2p1QE7Onnwnm0000000XHM) = 0,126 [D]</t>
  </si>
  <si>
    <t xml:space="preserve"> Staničení: 0 - 0,101: 0,855884431113585 (2p1QE7Onnwnm0000000XDM) = 0,856 [E]</t>
  </si>
  <si>
    <t xml:space="preserve"> Staničení: 0,02 - 0,085: 43,3084512973079 (2p1QE7Onnwnm0000000XEM) = 43,308 [F]</t>
  </si>
  <si>
    <t xml:space="preserve"> Staničení: 0,68 - 0,69563: 3,07214207812501 (2p1QE7Onnwnm0000000XFM) = 3,072 [G]</t>
  </si>
  <si>
    <t xml:space="preserve"> Staničení: 0,2481 - 0,349: 0,848172717501379 (2p1QE7Onnwnm0000000XGM) = 0,848 [H]</t>
  </si>
  <si>
    <t xml:space="preserve"> Staničení: 0,45 - 0,47525: 1,35476180862901 (2p1QE7Onnwnm0000000XAM) = 1,355 [I]</t>
  </si>
  <si>
    <t xml:space="preserve"> Staničení: 0,174 - 0,176: 0,215393972926183 (2p1QE7Onnwnm0000000XBM) = 0,215 [J]</t>
  </si>
  <si>
    <t xml:space="preserve"> Staničení: 0 - 0,01999: 5,24667164860021 (2p1QE7Onnwnm0000000XCM) = 5,247 [K]</t>
  </si>
  <si>
    <t xml:space="preserve"> Staničení: 0,252 - 0,362: 5,72575919959626 (2p1QE7Onnwnm0000000X8c) = 5,726 [L]</t>
  </si>
  <si>
    <t xml:space="preserve"> Staničení: 0,2006 - 0,2036: 0,876451481282719 (2p1QE7Onnwnm0000000X9c) = 0,876 [M]</t>
  </si>
  <si>
    <t xml:space="preserve"> Staničení: 0,14656 - 0,18266: 35,4269450389639 (2p1QE7Onnwnm0000000XIx) = 35,427 [N]</t>
  </si>
  <si>
    <t xml:space="preserve"> Staničení: 0,65 - 0,668: 1,21189507795292 (2p1QE7Onnwnm0000000X86) = 1,212 [O]</t>
  </si>
  <si>
    <t xml:space="preserve"> Staničení: 0,176 - 0,2006: 3,57800759048293 (2p1QE7Onnwnm0000000X96) = 3,578 [P]</t>
  </si>
  <si>
    <t xml:space="preserve"> Staničení: 0,21048 - 0,25: 42,0238161546722 (2p1QE7Onnwnm0000000XIN) = 42,024 [Q]</t>
  </si>
  <si>
    <t xml:space="preserve"> Staničení: 0,25 - 0,252: 0,169884971668567 (2p1QE7Onnwnm0000000XH6) = 0,170 [R]</t>
  </si>
  <si>
    <t xml:space="preserve"> Staničení: 0,2036 - 0,2481: 13,3592773556099 (2p1QE7Onnwnm0000000XDc) = 13,359 [S]</t>
  </si>
  <si>
    <t xml:space="preserve"> Staničení: 0,098 - 0,14656: 43,3084512973079 (2p1QE7Onnwnm0000000XEc) = 43,308 [T]</t>
  </si>
  <si>
    <t xml:space="preserve"> Staničení: 0,65 - 0,668: 9,49606033264542 (2p1QE7Onnwnm0000000XFc) = 9,496 [U]</t>
  </si>
  <si>
    <t xml:space="preserve"> Staničení: 0,362 - 0,65: 125,555752522555 (2p1QE7Onnwnm0000000XGc) = 125,556 [V]</t>
  </si>
  <si>
    <t xml:space="preserve"> Staničení: 0 - 0,101: 23,2340597918093 (2p1QE7Onnwnm0000000XD6) = 23,234 [W]</t>
  </si>
  <si>
    <t xml:space="preserve"> Staničení: 0,2036 - 0,2481: 0,369514077228722 (2p1QE7Onnwnm0000000XE6) = 0,370 [X]</t>
  </si>
  <si>
    <t xml:space="preserve"> Staničení: 0,45 - 0,47525: 10,4719590407537 (2p1QE7Onnwnm0000000XAc) = 10,472 [Y]</t>
  </si>
  <si>
    <t xml:space="preserve"> Staničení: 0,68 - 0,69563: 0,843294381686112 (2p1QE7Onnwnm0000000XF6) = 0,843 [Z]</t>
  </si>
  <si>
    <t xml:space="preserve"> Staničení: 0,2006 - 0,2036: 1,12658405150084 (2p1QE7Onnwnm0000000XBc) = 1,127 [AA]</t>
  </si>
  <si>
    <t xml:space="preserve"> Staničení: 0,2481 - 0,349: 63,8080533440924 (2p1QE7Onnwnm0000000XG6) = 63,808 [AB]</t>
  </si>
  <si>
    <t xml:space="preserve"> Staničení: 0 - 0,01999: 0,133306285083545 (2p1QE7Onnwnm0000000XCc) = 0,133 [AC]</t>
  </si>
  <si>
    <t xml:space="preserve"> Staničení: 0,47525 - 0,68: 53,6802698271747 (2p1QE7Onnwnm0000000XA6) = 53,680 [AD]</t>
  </si>
  <si>
    <t xml:space="preserve"> Staničení: 0,47525 - 0,68: 98,1736577326602 (2p1QE7Onnwnm0000000XB6) = 98,174 [AE]</t>
  </si>
  <si>
    <t xml:space="preserve"> Staničení: 0 - 0,02: 3,30151521482541 (2p1QE7Onnwnm0000000XC6) = 3,302 [AF]</t>
  </si>
  <si>
    <t xml:space="preserve"> Staničení: 0,351 - 0,45: 8,56408248809564 (2p1QE7Onnwnm0000000XJp) = 8,564 [AG]</t>
  </si>
  <si>
    <t xml:space="preserve"> Staničení: 0,2136 - 0,25: 0,276928455093469 (2p1QE7Onnwnm0000000XI2) = 0,277 [AH]</t>
  </si>
  <si>
    <t xml:space="preserve"> Staničení: 0,176 - 0,2006: 9,64673775678153 (2p1QE7Onnwnm0000000X8s) = 9,647 [AI]</t>
  </si>
  <si>
    <t xml:space="preserve"> Staničení: 0,349 - 0,351: 0,873692118805038 (2p1QE7Onnwnm0000000X9s) = 0,874 [AJ]</t>
  </si>
  <si>
    <t xml:space="preserve"> Staničení: 0,134 - 0,174: 0,294123569529818 (2p1QE7Onnwnm0000000XHj) = 0,294 [AK]</t>
  </si>
  <si>
    <t xml:space="preserve"> Staničení: 0,134 - 0,174: 31,0691929974777 (2p1QE7Onnwnm0000000XIf) = 31,069 [AL]</t>
  </si>
  <si>
    <t xml:space="preserve"> Staničení: 0,2036 - 0,2481: 9,54280723652057 (2p1QE7Onnwnm0000000XDs) = 9,543 [AM]</t>
  </si>
  <si>
    <t xml:space="preserve"> Staničení: 0,351 - 0,45: 20,372831322407 (2p1QE7Onnwnm0000000XEs) = 20,373 [AN]</t>
  </si>
  <si>
    <t xml:space="preserve"> Staničení: 0,2481 - 0,349: 13,0901213155531 (2p1QE7Onnwnm0000000XFs) = 13,090 [AO]</t>
  </si>
  <si>
    <t xml:space="preserve"> Staničení: 0,25 - 0,252: 0,0533859904720467 (2p1QE7Onnwnm0000000XGs) = 0,053 [AP]</t>
  </si>
  <si>
    <t xml:space="preserve"> Staničení: 0,47525 - 0,68: 11,0440679279788 (2p1QE7Onnwnm0000000XAs) = 11,044 [AQ]</t>
  </si>
  <si>
    <t xml:space="preserve"> Staničení: 0,349 - 0,351: 0,250592858381391 (2p1QE7Onnwnm0000000XBs) = 0,251 [AR]</t>
  </si>
  <si>
    <t xml:space="preserve"> Staničení: 0 - 0,101: 17,4115697054292 (2p1QE7Onnwnm0000000XCs) = 17,412 [AS]</t>
  </si>
  <si>
    <t xml:space="preserve"> Staničení: 0,362 - 0,65: 23,7716286512709 (2p1QE7Onnwnm0000000XJF) = 23,772 [AT]</t>
  </si>
  <si>
    <t xml:space="preserve"> Celkové množství 843.470000 = 843,470 [AU]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</si>
  <si>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</si>
  <si>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17110</t>
  </si>
  <si>
    <t>ULOŽENÍ SYPANINY DO NÁSYPŮ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</si>
  <si>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</si>
  <si>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171111</t>
  </si>
  <si>
    <t>ULOŽENÍ SYP DO NÁSYPŮ SE ZLEPŠENÍM ZEMINY SE ZHUT DO 95% PS</t>
  </si>
  <si>
    <t>Materiál:
zemina:
podrobná specifikace:
upravená vápnem, dávkování 1-2% hmotnosti suché zeminy:
Reference:
ČSN 736133, D.1.4 vzorové řezy, D.1.1 technická zpráva:
specifikace:
zemina třídy F4-CS(F5-MI, F6-CI):
včetně dodání hydraulického pojiva, pro potřeby rozpočtu uvažováno 2%</t>
  </si>
  <si>
    <t xml:space="preserve"> Staničení: 1,13921 - 1,143: 0,0289183203277743 (2TQ7FGLHHma00000004cTj) = 0,029 [A]</t>
  </si>
  <si>
    <t xml:space="preserve"> Staničení: 1,135 - 1,14: 12,086212651951 (2TQ7FGLHHma00000004cL8) = 12,086 [B]</t>
  </si>
  <si>
    <t xml:space="preserve"> Staničení: 0,923 - 0,93517: 55,8996237596167 (2TQ7FGLHHma00000004cKa) = 55,900 [C]</t>
  </si>
  <si>
    <t xml:space="preserve"> Staničení: 1,075 - 1,082: 15,8198092786072 (2TQ7FGLHHma00000004cLW) = 15,820 [D]</t>
  </si>
  <si>
    <t xml:space="preserve"> Staničení: 0,81 - 0,84: 0,0541950685677509 (2TQ7FGLHHma00000004cNC) = 0,054 [E]</t>
  </si>
  <si>
    <t xml:space="preserve"> Staničení: 1,062 - 1,075: 30,6371086043153 (2TQ7FGLHHma00000004cPr) = 30,637 [F]</t>
  </si>
  <si>
    <t xml:space="preserve"> Staničení: 1 - 1,05: 172,790228954097 (2TQ7FGLHHma00000004cJ4) = 172,790 [G]</t>
  </si>
  <si>
    <t xml:space="preserve"> Staničení: 0,79314 - 0,81: 20,1232866130682 (2TQ7FGLHHma00000004cM4) = 20,123 [H]</t>
  </si>
  <si>
    <t xml:space="preserve"> Staničení: 1,13921 - 1,143: 0,0289183203277743 (2TQ7FGLHHma00000004cT6) = 0,029 [I]</t>
  </si>
  <si>
    <t xml:space="preserve"> Staničení: 1,05 - 1,062: 29,9278595997629 (2TQ7FGLHHma00000004cJe) = 29,928 [J]</t>
  </si>
  <si>
    <t xml:space="preserve"> Staničení: 0,79794 - 0,81: 2,86714420153195 (2TQ7FGLHHma00000004cMe) = 2,867 [K]</t>
  </si>
  <si>
    <t xml:space="preserve"> Staničení: 0,93517 - 0,96017: 70,8828270242107 (2TQ7FGLHHma00000004cIK) = 70,883 [L]</t>
  </si>
  <si>
    <t xml:space="preserve"> Staničení: 1,082 - 1,088: 13,5647958025335 (2TQ7FGLHHma00000004cLK) = 13,565 [M]</t>
  </si>
  <si>
    <t xml:space="preserve"> Staničení: 0,84 - 0,91: 0,0706468888713832 (2TQ7FGLHHma00000004cOK) = 0,071 [N]</t>
  </si>
  <si>
    <t xml:space="preserve"> Staničení: 0,91 - 1,143: 30,5527420567815 (2TQ7FGLHHma00000004cSk) = 30,553 [O]</t>
  </si>
  <si>
    <t xml:space="preserve"> Staničení: 0,69563 - 0,77632: 0,210397692825292 (2TQ7FGLHHma00000004cMG) = 0,210 [P]</t>
  </si>
  <si>
    <t xml:space="preserve"> Staničení: 0,69563 - 0,76001: 8,31189027428094 (2TQ7FGLHHma00000004cMq) = 8,312 [Q]</t>
  </si>
  <si>
    <t xml:space="preserve"> Staničení: 1,088 - 1,106: 42,1979569926999 (2TQ7FGLHHma00000004cPq) = 42,198 [R]</t>
  </si>
  <si>
    <t xml:space="preserve"> Staničení: 1,139 - 1,143: 0,58135109837453 (2TQ7FGLHHma00000004cSq) = 0,581 [S]</t>
  </si>
  <si>
    <t xml:space="preserve"> Staničení: 1,112 - 1,125: 29,4083447858105 (2TQ7FGLHHma00000004cK0) = 29,408 [T]</t>
  </si>
  <si>
    <t xml:space="preserve"> Staničení: 1,106 - 1,112: 13,3144395171322 (2TQ7FGLHHma00000004cHm) = 13,314 [U]</t>
  </si>
  <si>
    <t xml:space="preserve"> Staničení: 0,917 - 0,923: 41,8106439782542 (2TQ7FGLHHma00000004cKm) = 41,811 [V]</t>
  </si>
  <si>
    <t xml:space="preserve"> Staničení: 1,125 - 1,135: 23,7968313671718 (2TQ7FGLHHma00000004cJS) = 23,797 [W]</t>
  </si>
  <si>
    <t xml:space="preserve"> Staničení: 0,79313 - 0,81: 0,0322331423952577 (2TQ7FGLHHma00000004cMS) = 0,032 [X]</t>
  </si>
  <si>
    <t xml:space="preserve"> Staničení: 0,96017 - 0,975: 68,3466242753448 (2TQ7FGLHHma00000004cPs) = 68,347 [Y]</t>
  </si>
  <si>
    <t xml:space="preserve"> Staničení: 1,14 - 1,143: 7,13073251101839 (2TQ7FGLHHma00000004cHy) = 7,131 [Z]</t>
  </si>
  <si>
    <t xml:space="preserve"> Staničení: 0,91001 - 0,91699: 48,7843819520875 (2TQ7FGLHHma00000004cKy) = 48,784 [AA]</t>
  </si>
  <si>
    <t xml:space="preserve"> Staničení: 0,81 - 0,84: 161,723399137217 (2TQ7FGLHHma00000004cNO) = 161,723 [AB]</t>
  </si>
  <si>
    <t xml:space="preserve"> Staničení: 0,84 - 0,91: 1330,11001701299 (2TQ7FGLHHma00000004cNy) = 1330,110 [AC]</t>
  </si>
  <si>
    <t xml:space="preserve"> Staničení: 0,975 - 1: 129,47990094787 (2TQ7FGLHHma00000004cIu) = 129,480 [AD]</t>
  </si>
  <si>
    <t xml:space="preserve"> Staničení: 0,91 - 0,917: 14,6985061982064 (2TQ7FGLHHma00000004cLu) = 14,699 [AE]</t>
  </si>
  <si>
    <t xml:space="preserve"> Celkové množství 2375.272000 = 2375,272 [AF]</t>
  </si>
  <si>
    <t xml:space="preserve"> Staničení: 0,05524 - 0,07: 2,99602641192242 (2ATl_MlSUNQm0000000WAy) = 2,996 [A]</t>
  </si>
  <si>
    <t xml:space="preserve"> Staničení: 0,07 - 0,3: 4723,79 (2ATl_MlSUNQm0000000WSc) = 4723,790 [B]</t>
  </si>
  <si>
    <t xml:space="preserve"> Staničení: 0,3 - 0,69563: 630,109266504451 (2ATl_MlSUNQm0000000WC$) = 630,109 [C]</t>
  </si>
  <si>
    <t xml:space="preserve"> Staničení: 0,052 - 0,07: 0,134718750591525 (2ATl_MlSUNQm0000000WAx) = 0,135 [D]</t>
  </si>
  <si>
    <t xml:space="preserve"> Staničení: 0,06288 - 0,07: 0,0169061383716329 (2ATl_MlSUNQm0000000WAz) = 0,017 [E]</t>
  </si>
  <si>
    <t xml:space="preserve"> Staničení: 0,07 - 0,29992: 11,3737605164021 (2ATl_MlSUNQm0000000WKk) = 11,374 [F]</t>
  </si>
  <si>
    <t xml:space="preserve"> Celkové množství 5368.421000 = 5368,421 [G]</t>
  </si>
  <si>
    <t>Materiál:
ornice/místní materiál:
podrobná specifikace:
ornice získaná skrývkou ornice z pozemků s ochranou ZPF/ nedostatek řešen nákupem
Reference:
D.1.4 vzorové řezy, D.1.1 technická zpráva:
specifikace:
ornice/humozní vrstva, tl. 150mm:</t>
  </si>
  <si>
    <t>18241</t>
  </si>
  <si>
    <t>ZALOŽENÍ TRÁVNÍKU RUČNÍM VÝSEVEM</t>
  </si>
  <si>
    <t>Materiál:
travní směs:
podrobná specifikace:
Založení porostů musí být provedeno ihned po provedení jemných terénních úprav, tak aby nový porost redukoval výskyt plevelů.:
Reference:
D.1.4 vzorové řezy, D.1.1 technická zpráva, ČSN 83 9031:
specifikace:
založení travního porostu osevem:</t>
  </si>
  <si>
    <t xml:space="preserve"> Staničení: 0,16499 - 0,171: 16,8476381490251 (2ATl_MlSUNQm0000001Vus) = 16,848 [A]</t>
  </si>
  <si>
    <t xml:space="preserve"> Staničení: 0 - 0,695: 5422,19664944324 (2ATl_MlSUNQm0000000gM9) = 5422,197 [B]</t>
  </si>
  <si>
    <t xml:space="preserve"> Staničení: 0,1523 - 0,1634: 76,6860168312545 (2ATl_MlSUNQm0000001Vn8) = 76,686 [C]</t>
  </si>
  <si>
    <t xml:space="preserve"> Celkové množství 5515.731000 = 5515,731 [D]</t>
  </si>
  <si>
    <t xml:space="preserve"> Staničení: 0,6685 - 0,69525: 85,171016097123 (2WqkYr7d0dfG0000000Y8M) = 85,171 [A]</t>
  </si>
  <si>
    <t xml:space="preserve"> Celkové množství 85.171000 = 85,171 [B]</t>
  </si>
  <si>
    <t xml:space="preserve"> Staničení: 0,69563 - 1,14379: 2244,52830871375 (2TQ7FGLHHma00000004PI6) = 2244,528 [A]</t>
  </si>
  <si>
    <t xml:space="preserve"> Staničení: 0,69563 - 0,772: 82,1513928304272 (2TQ7FGLHHma00000004PI7) = 82,151 [B]</t>
  </si>
  <si>
    <t xml:space="preserve"> Celkové množství 2326.679000 = 2326,679 [C]</t>
  </si>
  <si>
    <t>Zahrnuje dodání předepsané travní směsi, její výsev na ornici, zalévání, první pokosení, to vše bez ohledu na sklon terénu</t>
  </si>
  <si>
    <t>215663</t>
  </si>
  <si>
    <t>ÚPRAVA PODLOŽÍ NÁSYPU HYDRAULICKÝMI POJIVY DO 2% HL DO 0,5M</t>
  </si>
  <si>
    <t>m3</t>
  </si>
  <si>
    <t>Materiál:
zemina:
podrobná specifikace:
upravená vápnem, dávkování 1-2% hmotnosti suché zeminy, tl. 300mm:
Reference:
ČSN 736133, D.1.4 vzorové řezy, D.1.1 technická zpráva:
specifikace:
stávající zastižená zemina třídy F4-CS(F5-MI, F6-CI):</t>
  </si>
  <si>
    <t xml:space="preserve"> Staničení: 0,912 - 1,142: 920,891325546462 (2TQ7FGLHHma00000004b$z) = 920,891 [A]</t>
  </si>
  <si>
    <t xml:space="preserve"> Staničení: 0,84 - 0,9102: 521,505889736364 (2TQ7FGLHHma00000004b$y) = 521,506 [B]</t>
  </si>
  <si>
    <t xml:space="preserve"> Celkové množství 1442.397000 = 1442,397 [C]</t>
  </si>
  <si>
    <t xml:space="preserve"> Staničení: 0,07 - 0,29927: 1233,585066194154 (2ATl_MlSUNQm0000000gID) = 1233,585 [A]</t>
  </si>
  <si>
    <t xml:space="preserve"> Staničení: 0,02 - 0,372: 559,657619358219 (2ATl_MlSUNQm0000000gIE) = 559,658 [B]</t>
  </si>
  <si>
    <t xml:space="preserve"> Celkové množství 1793.243000 = 1793,243 [C]</t>
  </si>
  <si>
    <t>UPRAVENÁ ZEMINA VÁPNEM V PODLOŽÍ NÁSYPU
položka zahrnuje zafrézování předepsaného množství hydraulického pojiva do podloží do hloubky do 0,5m, zhutnění
druh hydraulického pojiva stanoví RDS
včetně dodání hydraulického pojiva, pro potřeby rozpočtu uvažováno 2%</t>
  </si>
  <si>
    <t>R2</t>
  </si>
  <si>
    <t>ÚPRAVA PODLOŽÍ HYDRAULICKÝMI POJIVY DO 2% HL DO 0,5M - AZ</t>
  </si>
  <si>
    <t xml:space="preserve"> Staničení: 0,79314 - 0,79713: 2,03923436082901 (2TQ7FGLHHma00000004bdD) = 2,039 [B]</t>
  </si>
  <si>
    <t xml:space="preserve"> Staničení: 0,862 - 0,86205: 0,0241030649644294 (2TQ7FGLHHma00000003_Q5) = 0,024 [C]</t>
  </si>
  <si>
    <t xml:space="preserve"> Staničení: 1,12211 - 1,143: 5,10820310404082 (2TQ7FGLHHma00000003_SC) = 5,108 [D]</t>
  </si>
  <si>
    <t xml:space="preserve"> Staničení: 0,847 - 0,862: 8,62310929950659 (2TQ7FGLHHma00000003_RY) = 8,623 [E]</t>
  </si>
  <si>
    <t xml:space="preserve"> Staničení: 0,79713 - 0,798: 0,0131413514711614 (2TQ7FGLHHma00000003_PY) = 0,013 [F]</t>
  </si>
  <si>
    <t xml:space="preserve"> Staničení: 0,79314 - 0,79713: 0,7488 (2TQ7FGLHHma00000003_Rw) = 0,749 [G]</t>
  </si>
  <si>
    <t xml:space="preserve"> Staničení: 0,96765 - 1,10511: 34,0255429920124 (2TQ7FGLHHma00000003_S9) = 34,026 [H]</t>
  </si>
  <si>
    <t xml:space="preserve"> Staničení: 0,79713 - 0,798: 0,449170200782234 (2TQ7FGLHHma00000003_QW) = 0,449 [I]</t>
  </si>
  <si>
    <t xml:space="preserve"> Staničení: 1,139 - 1,143: 0,896916666462074 (2TQ7FGLHHma00000004Nqc) = 0,897 [J]</t>
  </si>
  <si>
    <t xml:space="preserve"> Staničení: 1,12211 - 1,143: 18,530530597844 (2TQ7FGLHHma00000003_R7) = 18,531 [K]</t>
  </si>
  <si>
    <t xml:space="preserve"> Staničení: 0,862 - 0,86205: 0,0844518438080253 (2TQ7FGLHHma00000003_P7) = 0,084 [L]</t>
  </si>
  <si>
    <t xml:space="preserve"> Staničení: 0,847 - 0,862: 26,2441496961183 (2TQ7FGLHHma00000003_PM) = 26,244 [M]</t>
  </si>
  <si>
    <t xml:space="preserve"> Staničení: 0,862 - 0,86205: 0,0223313584794352 (2TQ7FGLHHma00000003_Rq) = 0,022 [N]</t>
  </si>
  <si>
    <t xml:space="preserve"> Staničení: 0,79314 - 0,79713: 0,49611342131453 (2TQ7FGLHHma00000003_RJ) = 0,496 [O]</t>
  </si>
  <si>
    <t xml:space="preserve"> Staničení: 0,862 - 0,86205: 0,0269854069853447 (2TQ7FGLHHma00000003_Rt) = 0,027 [P]</t>
  </si>
  <si>
    <t xml:space="preserve"> Staničení: 0,79713 - 0,798: 0,109205523688639 (2TQ7FGLHHma00000003_QT) = 0,109 [Q]</t>
  </si>
  <si>
    <t xml:space="preserve"> Staničení: 0,847 - 0,862: 0,225010248417185 (2TQ7FGLHHma00000003_Pb) = 0,225 [R]</t>
  </si>
  <si>
    <t xml:space="preserve"> Staničení: 0,862 - 0,86205: 0,0849047239261774 (2TQ7FGLHHma00000003_Ox) = 0,085 [S]</t>
  </si>
  <si>
    <t xml:space="preserve"> Staničení: 0,864 - 0,91334: 46,6948681614585 (2TQ7FGLHHma00000003_Qx) = 46,695 [T]</t>
  </si>
  <si>
    <t xml:space="preserve"> Staničení: 0,81 - 0,847: 17,375 (2TQ7FGLHHma00000004a$F) = 17,375 [U]</t>
  </si>
  <si>
    <t xml:space="preserve"> Staničení: 0,81 - 1,143: 707,462321759302 (2TQ7FGLHHma00000003_SX) = 707,462 [V]</t>
  </si>
  <si>
    <t xml:space="preserve"> Staničení: 0,935 - 0,958: 5,52391473219158 (2TQ7FGLHHma00000003_Pv) = 5,524 [W]</t>
  </si>
  <si>
    <t xml:space="preserve"> Staničení: 0,81 - 0,847: 7,96383955242261 (2TQ7FGLHHma00000003_QQ) = 7,964 [X]</t>
  </si>
  <si>
    <t xml:space="preserve"> Staničení: 0,79713 - 0,81: 1,59904890257006 (2TQ7FGLHHma00000004OiL) = 1,599 [Y]</t>
  </si>
  <si>
    <t xml:space="preserve"> Staničení: 0,69563 - 0,77632: 51,9605552006749 (2TQ7FGLHHma00000003_Po) = 51,961 [Z]</t>
  </si>
  <si>
    <t xml:space="preserve"> Staničení: 0,847 - 0,862: 3,67467190756281 (2TQ7FGLHHma00000003_Qo) = 3,675 [AA]</t>
  </si>
  <si>
    <t xml:space="preserve"> Staničení: 0,86205 - 0,864: 3,12332316967079 (2TQ7FGLHHma00000003_R1) = 3,123 [AB]</t>
  </si>
  <si>
    <t xml:space="preserve"> Staničení: 0,864 - 0,912: 45,3001781149856 (2TQ7FGLHHma00000003_P1) = 45,300 [AC]</t>
  </si>
  <si>
    <t xml:space="preserve"> Staničení: 0,798 - 0,81: 6,13641965119188 (2TQ7FGLHHma00000004Ooz) = 6,136 [AD]</t>
  </si>
  <si>
    <t xml:space="preserve"> Staničení: 0,912 - 0,935: 16,2589018760303 (2TQ7FGLHHma00000003_SO) = 16,259 [AE]</t>
  </si>
  <si>
    <t xml:space="preserve"> Staničení: 0,81 - 0,847: 4,60679446733432 (2TQ7FGLHHma00000003_Re) = 4,607 [AF]</t>
  </si>
  <si>
    <t xml:space="preserve"> Staničení: 0,798 - 0,81: 5,80531413741566 (2TQ7FGLHHma00000004OpZ) = 5,805 [AG]</t>
  </si>
  <si>
    <t xml:space="preserve"> Staničení: 0,86205 - 0,864: 4,45553720666268 (2TQ7FGLHHma00000003_Pe) = 4,456 [AH]</t>
  </si>
  <si>
    <t xml:space="preserve"> Staničení: 0,81 - 0,847: 18,5206796107792 (2TQ7FGLHHma00000004Obp) = 18,521 [AI]</t>
  </si>
  <si>
    <t xml:space="preserve"> Staničení: 0,935 - 0,958: 5,63508294172627 (2TQ7FGLHHma00000003_Ps) = 5,635 [AJ]</t>
  </si>
  <si>
    <t xml:space="preserve"> Staničení: 0,864 - 0,912: 3,59834395777897 (2TQ7FGLHHma00000003_QE) = 3,598 [AK]</t>
  </si>
  <si>
    <t xml:space="preserve"> Staničení: 0,91334 - 0,96764: 13,4615824488685 (2TQ7FGLHHma00000003_RS) = 13,462 [AL]</t>
  </si>
  <si>
    <t xml:space="preserve"> Staničení: 0,864 - 0,912: 45,8056823437936 (2TQ7FGLHHma00000003_PS) = 45,806 [AM]</t>
  </si>
  <si>
    <t xml:space="preserve"> Staničení: 0,847 - 0,862: 8,62323337770226 (2TQ7FGLHHma00000003_Qi) = 8,623 [AN]</t>
  </si>
  <si>
    <t xml:space="preserve"> Staničení: 0,79314 - 0,79713: 1,57456760974423 (2TQ7FGLHHma00000003_S3) = 1,575 [AO]</t>
  </si>
  <si>
    <t xml:space="preserve"> Staničení: 0,958 - 1,143: 45,6829147090099 (2TQ7FGLHHma00000003_SI) = 45,683 [AP]</t>
  </si>
  <si>
    <t xml:space="preserve"> Staničení: 0,96765 - 1,10511: 67,0801293483498 (2TQ7FGLHHma00000003_R4) = 67,080 [AQ]</t>
  </si>
  <si>
    <t xml:space="preserve"> Staničení: 0,86205 - 0,864: 3,40575489531462 (2TQ7FGLHHma00000003_P4) = 3,406 [AR]</t>
  </si>
  <si>
    <t xml:space="preserve"> Staničení: 0,86205 - 0,864: 0,267580834846166 (2TQ7FGLHHma00000003_QB) = 0,268 [AS]</t>
  </si>
  <si>
    <t xml:space="preserve"> Staničení: 1,139 - 1,143: 1,89382375401933 (2TQ7FGLHHma00000004Nqj) = 1,894 [AT]</t>
  </si>
  <si>
    <t xml:space="preserve"> Staničení: 0,798 - 0,81: 1,50810244377549 (2TQ7FGLHHma00000004OvK) = 1,508 [AU]</t>
  </si>
  <si>
    <t xml:space="preserve"> Staničení: 0,862 - 0,86205: 0,012199973174602 (2TQ7FGLHHma00000003_Q8) = 0,012 [AV]</t>
  </si>
  <si>
    <t xml:space="preserve"> Staničení: 0,847 - 0,862: 3,62489936860217 (2TQ7FGLHHma00000003_RV) = 3,625 [AW]</t>
  </si>
  <si>
    <t xml:space="preserve"> Staničení: 0,81 - 0,847: 0,557789225998053 (2TQ7FGLHHma00000003_PV) = 0,558 [AX]</t>
  </si>
  <si>
    <t xml:space="preserve"> Staničení: 0,847 - 0,862: 8,30578455195797 (2TQ7FGLHHma00000003_Ql) = 8,306 [AY]</t>
  </si>
  <si>
    <t xml:space="preserve"> Staničení: 0,79314 - 0,79713: 0,502480504828577 (2TQ7FGLHHma00000003_Rz) = 0,502 [AZ]</t>
  </si>
  <si>
    <t xml:space="preserve"> Staničení: 0,912 - 0,935: 5,52963834222002 (2TQ7FGLHHma00000003_SL) = 5,530 [BA]</t>
  </si>
  <si>
    <t xml:space="preserve"> Staničení: 0,79713 - 0,798: 0,37 (2TQ7FGLHHma00000003_QZ) = 0,370 [BB]</t>
  </si>
  <si>
    <t xml:space="preserve"> Staničení: 0,79314 - 0,79713: 1,48998361181533 (2TQ7FGLHHma00000003_RP) = 1,490 [BC]</t>
  </si>
  <si>
    <t xml:space="preserve"> Staničení: 0,81 - 0,847: 37,9455 (2TQ7FGLHHma00000004a_n) = 37,946 [BD]</t>
  </si>
  <si>
    <t xml:space="preserve"> Staničení: 0,862 - 0,86205: 0,000727827619012581 (2TQ7FGLHHma00000003_PP) = 0,001 [BE]</t>
  </si>
  <si>
    <t xml:space="preserve"> Staničení: 0,862 - 0,86205: 0,0120645491139249 (2TQ7FGLHHma00000003_Rn) = 0,012 [BF]</t>
  </si>
  <si>
    <t xml:space="preserve"> Staničení: 0,81 - 1,143: 707,253549201644 (2TQ7FGLHHma00000004OIc) = 707,254 [BG]</t>
  </si>
  <si>
    <t xml:space="preserve"> Staničení: 0,79713 - 0,81: 2,94187823870039 (2TQ7FGLHHma00000004OWc) = 2,942 [BH]</t>
  </si>
  <si>
    <t xml:space="preserve"> Staničení: 0,91334 - 0,96764: 4,36528940014051 (2TQ7FGLHHma00000004Nbq) = 4,365 [BI]</t>
  </si>
  <si>
    <t xml:space="preserve"> Staničení: 0,798 - 0,81: 3,52747511250431 (2TQ7FGLHHma00000004Onr) = 3,527 [BJ]</t>
  </si>
  <si>
    <t xml:space="preserve"> Staničení: 0,79309 - 0,79313: 0,0160000813191651 (2TQ7FGLHHma00000003_RG) = 0,016 [BK]</t>
  </si>
  <si>
    <t xml:space="preserve"> Staničení: 0,864 - 0,91334: 45,5867717395836 (2TQ7FGLHHma00000003_PG) = 45,587 [BL]</t>
  </si>
  <si>
    <t xml:space="preserve"> Staničení: 0,847 - 0,862: 8,3066 (2TQ7FGLHHma00000004bRv) = 8,307 [BM]</t>
  </si>
  <si>
    <t xml:space="preserve"> Staničení: 0,69563 - 0,76001: 56,9122220023237 (2TQ7FGLHHma00000003_Pk) = 56,912 [BN]</t>
  </si>
  <si>
    <t xml:space="preserve"> Staničení: 0,81 - 0,847: 18,9159029223443 (2TQ7FGLHHma00000003_QK) = 18,916 [BO]</t>
  </si>
  <si>
    <t xml:space="preserve"> Staničení: 0,69563 - 0,81: 241,780241018689 (2TQ7FGLHHma00000003_Sa) = 241,780 [BP]</t>
  </si>
  <si>
    <t xml:space="preserve"> Staničení: 0,79309 - 0,79313: 0,00609771703986783 (2TQ7FGLHHma00000003_RA) = 0,006 [BQ]</t>
  </si>
  <si>
    <t xml:space="preserve"> Staničení: 0,847 - 0,862: 26,2497495512595 (2TQ7FGLHHma00000003_PA) = 26,250 [BR]</t>
  </si>
  <si>
    <t xml:space="preserve"> Staničení: 0,86205 - 0,864: 3,40266922017233 (2TQ7FGLHHma00000003_O_) = 3,403 [BS]</t>
  </si>
  <si>
    <t xml:space="preserve"> Staničení: 0,864 - 0,91334: 3,69882262177265 (2TQ7FGLHHma00000003_Qu) = 3,699 [BT]</t>
  </si>
  <si>
    <t xml:space="preserve"> Staničení: 0,79713 - 0,798: 0,279982963127493 (2TQ7FGLHHma00000003_Qc) = 0,280 [BU]</t>
  </si>
  <si>
    <t xml:space="preserve"> Staničení: 0,935 - 0,958: 16,1806978447355 (2TQ7FGLHHma00000003_Py) = 16,181 [BV]</t>
  </si>
  <si>
    <t xml:space="preserve"> Staničení: 0,79314 - 0,79713: 2,06902842506868 (2TQ7FGLHHma00000003_S0) = 2,069 [BW]</t>
  </si>
  <si>
    <t xml:space="preserve"> Staničení: 0,81 - 0,847: 17,8619214394215 (2TQ7FGLHHma00000003_QN) = 17,862 [BX]</t>
  </si>
  <si>
    <t xml:space="preserve"> Staničení: 0,86205 - 0,864: 0,267943276552013 (2TQ7FGLHHma00000003_Qr) = 0,268 [BY]</t>
  </si>
  <si>
    <t xml:space="preserve"> Staničení: 0,798 - 0,81: 0,181422350843077 (2TQ7FGLHHma00000004Oq9) = 0,181 [BZ]</t>
  </si>
  <si>
    <t xml:space="preserve"> Staničení: 0,79309 - 0,79313: 0,0256225788028039 (2TQ7FGLHHma00000003_RD) = 0,026 [CA]</t>
  </si>
  <si>
    <t xml:space="preserve"> Staničení: 0,81 - 0,847: 43,2910120705613 (2TQ7FGLHHma00000003_PD) = 43,291 [CB]</t>
  </si>
  <si>
    <t xml:space="preserve"> Staničení: 0,958 - 1,139: 43,8515824426497 (2TQ7FGLHHma00000003_SR) = 43,852 [CC]</t>
  </si>
  <si>
    <t xml:space="preserve"> Staničení: 0,69563 - 0,81: 244,174750382734 (2TQ7FGLHHma00000004OI9) = 244,175 [CD]</t>
  </si>
  <si>
    <t xml:space="preserve"> Staničení: 0,862 - 0,86205: 0,0121292463183844 (2TQ7FGLHHma00000003_P$) = 0,012 [CE]</t>
  </si>
  <si>
    <t xml:space="preserve"> Staničení: 0,79713 - 0,81: 6,28441137070642 (2TQ7FGLHHma00000003_Rh) = 6,284 [CF]</t>
  </si>
  <si>
    <t xml:space="preserve"> Staničení: 0,79314 - 0,79713: 0,0604677215335289 (2TQ7FGLHHma00000003_Ph) = 0,060 [CG]</t>
  </si>
  <si>
    <t xml:space="preserve"> Staničení: 0,862 - 0,86205: 0,0281647550493281 (2TQ7FGLHHma00000003_Q2) = 0,028 [CH]</t>
  </si>
  <si>
    <t xml:space="preserve"> Staničení: 0,798 - 0,81: 1,6864 (2TQ7FGLHHma00000004a_v) = 1,686 [CI]</t>
  </si>
  <si>
    <t xml:space="preserve"> Staničení: 0,81 - 0,847: 4,64208634612264 (2TQ7FGLHHma00000003_QH) = 4,642 [CJ]</t>
  </si>
  <si>
    <t xml:space="preserve"> Staničení: 0,847 - 0,862: 3,6247578036749 (2TQ7FGLHHma00000003_Qf) = 3,625 [CK]</t>
  </si>
  <si>
    <t xml:space="preserve"> Staničení: 0,912 - 0,935: 5,74892975721943 (2TQ7FGLHHma00000003_SF) = 5,749 [CL]</t>
  </si>
  <si>
    <t xml:space="preserve"> Staničení: 0,79713 - 0,81: 5,7774 (2TQ7FGLHHma00000004a_T) = 5,777 [CM]</t>
  </si>
  <si>
    <t xml:space="preserve"> Celkové množství 2913.655000 = 2913,655 [CN]</t>
  </si>
  <si>
    <t xml:space="preserve"> Staničení: 0,363 - 0,69563: 703,97510452426 (2ATl_MlSUNQm0000001uwg) = 703,975 [H]</t>
  </si>
  <si>
    <t xml:space="preserve"> Staničení: 0 - 0,36299: 769,362509637379 (2ATl_MlSUNQm0000001urg) = 769,363 [I]</t>
  </si>
  <si>
    <t xml:space="preserve"> Staničení: 0,2006 - 0,2036: 3,49282912937503 (2ATl_MlSUNQm0000001ut7) = 3,493 [J]</t>
  </si>
  <si>
    <t xml:space="preserve"> Staničení: 0,66693 - 0,668: 0,657211980904838 (2ATl_MlSUNQm0000001uxj) = 0,657 [K]</t>
  </si>
  <si>
    <t xml:space="preserve"> Staničení: 0 - 0,02: 15,123359358005 (2ATl_MlSUNQm0000001utt) = 15,123 [L]</t>
  </si>
  <si>
    <t xml:space="preserve"> Staničení: 0,363 - 0,69563: 214,317420009608 (2ATl_MlSUNQm0000001ux2) = 214,317 [M]</t>
  </si>
  <si>
    <t xml:space="preserve"> Staničení: 0,2036 - 0,2481: 26,221326489472 (2ATl_MlSUNQm0000001uuR) = 26,221 [N]</t>
  </si>
  <si>
    <t xml:space="preserve"> Staničení: 0,134 - 0,174: 50,6162684159502 (2ATl_MlSUNQm0000001uth) = 50,616 [O]</t>
  </si>
  <si>
    <t xml:space="preserve"> Staničení: 0 - 0,101: 66,1532299345654 (2ATl_MlSUNQm0000001uuF) = 66,153 [P]</t>
  </si>
  <si>
    <t xml:space="preserve"> Staničení: 0,18266 - 0,18281: 0,157057986774969 (2ATl_MlSUNQm0000001wAx) = 0,157 [Q]</t>
  </si>
  <si>
    <t xml:space="preserve"> Staničení: 0,21033 - 0,21048: 0,160868288184362 (2ATl_MlSUNQm0000001uwU) = 0,161 [R]</t>
  </si>
  <si>
    <t xml:space="preserve"> Staničení: 0 - 0,36299: 773,365910387244 (2ATl_MlSUNQm0000001uru) = 773,366 [S]</t>
  </si>
  <si>
    <t xml:space="preserve"> Staničení: 0,21048 - 0,25: 45,3062401018352 (2ATl_MlSUNQm0000001uu3) = 45,306 [T]</t>
  </si>
  <si>
    <t xml:space="preserve"> Staničení: 0,098 - 0,14656: 38,9011483301403 (2ATl_MlSUNQm0000001uup) = 38,901 [U]</t>
  </si>
  <si>
    <t xml:space="preserve"> Staničení: 0,25 - 0,252: 0,900930659770477 (2ATl_MlSUNQm0000001uvZ) = 0,901 [V]</t>
  </si>
  <si>
    <t xml:space="preserve"> Staničení: 0,25 - 0,252: 1,4928419116579 (2ATl_MlSUNQm0000001usZ) = 1,493 [W]</t>
  </si>
  <si>
    <t xml:space="preserve"> Staničení: 0,2481 - 0,349: 111,409530781101 (2ATl_MlSUNQm0000001uu$) = 111,410 [X]</t>
  </si>
  <si>
    <t xml:space="preserve"> Staničení: 0,252 - 0,362: 133,557001286808 (2ATl_MlSUNQm0000001uvz) = 133,557 [Y]</t>
  </si>
  <si>
    <t xml:space="preserve"> Staničení: 0,02 - 0,085: 50,3899122426598 (2ATl_MlSUNQm0000001uud) = 50,390 [Z]</t>
  </si>
  <si>
    <t xml:space="preserve"> Staničení: 0,098 - 0,14656: 21,8892844052716 (2ATl_MlSUNQm0000001uvN) = 21,889 [AA]</t>
  </si>
  <si>
    <t xml:space="preserve"> Staničení: 0,368 - 0,37: 1,9564225766655 (2ATl_MlSUNQm0000001uxX) = 1,956 [AB]</t>
  </si>
  <si>
    <t xml:space="preserve"> Staničení: 0,37 - 0,66693: 205,903592479855 (2ATl_MlSUNQm0000001us6) = 205,904 [AC]</t>
  </si>
  <si>
    <t xml:space="preserve"> Staničení: 0,363 - 0,69563: 709,701810292579 (2ATl_MlSUNQm0000001uws) = 709,702 [AD]</t>
  </si>
  <si>
    <t xml:space="preserve"> Staničení: 0,351 - 0,36299: 11,4046919350355 (2ATl_MlSUNQm0000001uwG) = 11,405 [AE]</t>
  </si>
  <si>
    <t xml:space="preserve"> Celkové množství 4040.796000 = 4040,796 [AF]</t>
  </si>
  <si>
    <t>zemina upravená vápnem v aktivní zóně
položka zahrnuje zafrézování předepsaného množství hydraulického pojiva do podloží do hloubky do 0,5m, zhutnění
druh hydraulického pojiva stanoví RDS
včetně dodání hydraulického pojiva, pro potřeby rozpočtu uvažováno 2%</t>
  </si>
  <si>
    <t>289973</t>
  </si>
  <si>
    <t>OPLÁŠTĚNÍ (ZPEVNĚNÍ) Z GEOSÍTÍ A GEOROHOŽÍ</t>
  </si>
  <si>
    <t>Materiál:
kokosové rohože:
podrobná specifikace:
plošná hmotnost min 400 g/m2:
Reference:
TP97, D.1.4 vzorové řezy, D.1.1 technická zpráva:
specifikace:
v úsecích se sklony svahů 1:1.5:</t>
  </si>
  <si>
    <t xml:space="preserve"> Staničení: 0,69563 - 0,75984: 164,124403419614 (2TQ7FGLHHma00000004PI8) = 164,124 [A]</t>
  </si>
  <si>
    <t xml:space="preserve"> Celkové množství 164.124000 = 164,124 [B]</t>
  </si>
  <si>
    <t xml:space="preserve"> Staničení: 0,55655 - 0,641: 213,153993609767 (2ATl_MlSUNQm0000000plW) = 213,154 [A]</t>
  </si>
  <si>
    <t xml:space="preserve"> Staničení: 0,134 - 0,14656: 66,2443752632537 (2ATl_MlSUNQm0000000plU) = 66,244 [B]</t>
  </si>
  <si>
    <t xml:space="preserve"> Staničení: 0,34052 - 0,3529: 47,5493446370969 (2ATl_MlSUNQm0000000plV) = 47,549 [C]</t>
  </si>
  <si>
    <t xml:space="preserve"> Staničení: 0,211 - 0,235: 175,202541691148 (2ATl_MlSUNQm0000000plT) = 175,203 [D]</t>
  </si>
  <si>
    <t xml:space="preserve"> Celkové množství 502.150000 = 502,150 [E]</t>
  </si>
  <si>
    <t>Položka zahrnuje:
- dodávku předepsané geosítě nebi georohože
- úpravu, očištění a ochranu podkladu
- přichycení k podkladu, případně zatížení
- úpravy spojů a zajištění okrajů
- úpravy pro odvodnění
- nutné přesahy
- mimostaveništní a vnitrostaveništní dopravu</t>
  </si>
  <si>
    <t xml:space="preserve"> Staničení: 0,19684 - 0,19952: 0,0155881527628388 (2WqkYr7d0dfG0000000Y7W) = 0,016 [A]</t>
  </si>
  <si>
    <t xml:space="preserve"> Staničení: 0,18265 - 0,21049: 204,806474385296 (2WqkYr7d0dfG0000000YDv) = 204,806 [B]</t>
  </si>
  <si>
    <t xml:space="preserve"> Staničení: 0,10501 - 0,13185: 8,76819433495695 (2WqkYr7d0dfG0000000Y6t) = 8,768 [C]</t>
  </si>
  <si>
    <t xml:space="preserve"> Staničení: 0,85 - 0,98: 0,856650369662611 (2WqkYr7d0dfG0000000rQe) = 0,857 [D]</t>
  </si>
  <si>
    <t xml:space="preserve"> Staničení: 0,668 - 0,69563: 184,714386246842 (2WqkYr7d0dfG0000000XFr) = 184,714 [E]</t>
  </si>
  <si>
    <t xml:space="preserve"> Staničení: 0,85 - 0,98: 0,426630427432654 (2WqkYr7d0dfG0000000rQq) = 0,427 [F]</t>
  </si>
  <si>
    <t xml:space="preserve"> Staničení: 0,77632 - 0,79309: 22,6899631688565 (2WqkYr7d0dfG0000000rUG) = 22,690 [G]</t>
  </si>
  <si>
    <t xml:space="preserve"> Staničení: 0,19918 - 0,20549: 0,190994134912397 (2WqkYr7d0dfG0000000Y7S) = 0,191 [H]</t>
  </si>
  <si>
    <t xml:space="preserve"> Staničení: 1,10511 - 1,12211: 2,24258656091594 (2WqkYr7d0dfG0000000XG5) = 2,243 [I]</t>
  </si>
  <si>
    <t xml:space="preserve"> Staničení: 0,2054 - 0,20757: 0,0703530625837237 (2WqkYr7d0dfG0000000Y7J) = 0,070 [J]</t>
  </si>
  <si>
    <t xml:space="preserve"> Staničení: 0,85 - 0,98: 1,39702117049164 (2WqkYr7d0dfG0000000rQS) = 1,397 [K]</t>
  </si>
  <si>
    <t xml:space="preserve"> Staničení: 0,19238 - 0,20566: 2,88061051512 (2WqkYr7d0dfG0000000Y7F) = 2,881 [L]</t>
  </si>
  <si>
    <t xml:space="preserve"> Staničení: 0,10099 - 0,13401: 34,6037955407231 (2WqkYr7d0dfG0000000YDD) = 34,604 [M]</t>
  </si>
  <si>
    <t xml:space="preserve"> Staničení: 0,08499 - 0,09801: 23,5562652936907 (2WqkYr7d0dfG0000000Y6p) = 23,556 [N]</t>
  </si>
  <si>
    <t xml:space="preserve"> Celkové množství 487.220000 = 487,220 [O]</t>
  </si>
  <si>
    <t xml:space="preserve"> Staničení: 0,08763 - 0,0955: 0,0776770659205731 (2WqkYr7d0dfG0000000XLT) = 0,078 [A]</t>
  </si>
  <si>
    <t xml:space="preserve"> Staničení: 0,20442 - 0,20552: 0,314148431264909 (2WqkYr7d0dfG0000000XMT) = 0,314 [B]</t>
  </si>
  <si>
    <t xml:space="preserve"> Staničení: 0,10703 - 0,11236: 0,415420374218491 (2WqkYr7d0dfG0000000XVt) = 0,415 [C]</t>
  </si>
  <si>
    <t xml:space="preserve"> Staničení: 0,78141 - 0,7909: 0,209919788801956 (2WqkYr7d0dfG0000000Y8k) = 0,210 [D]</t>
  </si>
  <si>
    <t xml:space="preserve"> Staničení: 0,12621 - 0,12844: 0,0316993719518533 (2WqkYr7d0dfG0000000XIj) = 0,032 [E]</t>
  </si>
  <si>
    <t xml:space="preserve"> Staničení: 0,12504 - 0,1252: 0,00810122899074562 (2WqkYr7d0dfG0000000XHf) = 0,008 [F]</t>
  </si>
  <si>
    <t xml:space="preserve"> Staničení: 0,1062 - 0,1253: 0,213815096283435 (2WqkYr7d0dfG0000000XGf) = 0,214 [G]</t>
  </si>
  <si>
    <t xml:space="preserve"> Staničení: 0,18824 - 0,18868: 0,0642767744721372 (2WqkYr7d0dfG0000000XMH) = 0,064 [H]</t>
  </si>
  <si>
    <t xml:space="preserve"> Staničení: 0,12822 - 0,13153: 0,00955237911294618 (2WqkYr7d0dfG0000000XJH) = 0,010 [I]</t>
  </si>
  <si>
    <t xml:space="preserve"> Staničení: 0,10547 - 0,10752: 0,019 (2WqkYr7d0dfG0000000XKH) = 0,019 [J]</t>
  </si>
  <si>
    <t xml:space="preserve"> Staničení: 0,101 - 0,10418: 0,244954744384176 (2WqkYr7d0dfG0000000XGH) = 0,245 [K]</t>
  </si>
  <si>
    <t xml:space="preserve"> Staničení: 0,085 - 0,08732: 0,177517724655654 (2WqkYr7d0dfG0000000XLD) = 0,178 [L]</t>
  </si>
  <si>
    <t xml:space="preserve"> Staničení: 0,12786 - 0,134: 0,587070715206438 (2WqkYr7d0dfG0000000XGr) = 0,587 [M]</t>
  </si>
  <si>
    <t xml:space="preserve"> Staničení: 0,12505 - 0,12643: 0,0172670056468194 (2WqkYr7d0dfG0000000XI9) = 0,017 [N]</t>
  </si>
  <si>
    <t xml:space="preserve"> Staničení: 0,0955 - 0,098: 2,58477948497542 (2WqkYr7d0dfG0000000XL5) = 2,585 [O]</t>
  </si>
  <si>
    <t xml:space="preserve"> Staničení: 0,1119 - 0,11851: 0,640579276380582 (2WqkYr7d0dfG0000000XVZ) = 0,641 [P]</t>
  </si>
  <si>
    <t xml:space="preserve"> Celkové množství 5.617000 = 5,617 [Q]</t>
  </si>
  <si>
    <t>Materiál:
zemina:
podrobná specifikace:
upravená vápnem, dávkování 1-2% hmotnosti suché zeminy:
Reference:
ČSN 736133, D.1.4 vzorové řezy, D.1.1 technická zpráva:
specifikace:
zemina třídy F4-CS(F5-MI, F6-CI), tl. 300mm:</t>
  </si>
  <si>
    <t xml:space="preserve"> Staničení: 0,12463 - 0,1277: 0,94954614907001 (2WqkYr7d0dfG0000000XFv) = 0,950 [A]</t>
  </si>
  <si>
    <t xml:space="preserve"> Staničení: 0,10706 - 0,11264: 1,06524557896529 (2WqkYr7d0dfG0000000XVx) = 1,065 [B]</t>
  </si>
  <si>
    <t xml:space="preserve"> Staničení: 0,1061 - 0,1254: 33,5663408127056 (2WqkYr7d0dfG0000000YEU) = 33,566 [C]</t>
  </si>
  <si>
    <t xml:space="preserve"> Staničení: 0,085 - 0,08732: 2,51310507019538 (2WqkYr7d0dfG0000000XL1) = 2,513 [D]</t>
  </si>
  <si>
    <t xml:space="preserve"> Staničení: 0,10751 - 0,13122: 35,5800594964581 (2WqkYr7d0dfG0000000XUw) = 35,580 [E]</t>
  </si>
  <si>
    <t xml:space="preserve"> Staničení: 0,18681 - 0,18919: 0,827399118104614 (2WqkYr7d0dfG0000000XUY) = 0,827 [F]</t>
  </si>
  <si>
    <t xml:space="preserve"> Staničení: 0,1828 - 0,21033: 41,4186513180546 (2WqkYr7d0dfG0000000Y5x) = 41,419 [G]</t>
  </si>
  <si>
    <t xml:space="preserve"> Staničení: 0,10443 - 0,10636: 0,555393148215724 (2WqkYr7d0dfG0000000XJj) = 0,555 [H]</t>
  </si>
  <si>
    <t xml:space="preserve"> Staničení: 0,12463 - 0,12617: 0,917233649302755 (2WqkYr7d0dfG0000000XHj) = 0,917 [I]</t>
  </si>
  <si>
    <t xml:space="preserve"> Staničení: 0,18698 - 0,18919: 0,510134810833863 (2WqkYr7d0dfG0000000XMD) = 0,510 [J]</t>
  </si>
  <si>
    <t xml:space="preserve"> Staničení: 0,12463 - 0,12637: 0,207 (2WqkYr7d0dfG0000000XID) = 0,207 [K]</t>
  </si>
  <si>
    <t xml:space="preserve"> Staničení: 0,11218 - 0,11878: 1,27423864997796 (2WqkYr7d0dfG0000000XVd) = 1,274 [L]</t>
  </si>
  <si>
    <t xml:space="preserve"> Staničení: 1,11011 - 1,1171: 10,9062891898117 (2WqkYr7d0dfG0000000XVA) = 10,906 [M]</t>
  </si>
  <si>
    <t xml:space="preserve"> Staničení: 0,20395 - 0,20613: 0,340492562917558 (2WqkYr7d0dfG0000000Y68) = 0,340 [N]</t>
  </si>
  <si>
    <t xml:space="preserve"> Staničení: 0,20455 - 0,21033: 2,91039398343007 (2WqkYr7d0dfG0000000XUn) = 2,910 [O]</t>
  </si>
  <si>
    <t xml:space="preserve"> Staničení: 0,12596 - 0,12878: 0,790074322319327 (2WqkYr7d0dfG0000000XIn) = 0,790 [P]</t>
  </si>
  <si>
    <t xml:space="preserve"> Staničení: 0,18279 - 0,18858: 3,45664317716495 (2WqkYr7d0dfG0000000XUP) = 3,457 [Q]</t>
  </si>
  <si>
    <t xml:space="preserve"> Staničení: 0,12797 - 0,13185: 1,36551737948648 (2WqkYr7d0dfG0000000XJL) = 1,366 [R]</t>
  </si>
  <si>
    <t xml:space="preserve"> Staničení: 0,10547 - 0,10752: 0,142 (2WqkYr7d0dfG0000000XKL) = 0,142 [S]</t>
  </si>
  <si>
    <t xml:space="preserve"> Staničení: 0,10563 - 0,10636: 0,201471596043084 (2WqkYr7d0dfG0000000XJz) = 0,201 [T]</t>
  </si>
  <si>
    <t xml:space="preserve"> Staničení: 0,6735 - 0,68367: 31,3627481103195 (2WqkYr7d0dfG0000000XFz) = 31,363 [U]</t>
  </si>
  <si>
    <t xml:space="preserve"> Staničení: 0,20389 - 0,20609: 1,48949116298995 (2WqkYr7d0dfG0000000XMX) = 1,489 [V]</t>
  </si>
  <si>
    <t xml:space="preserve"> Celkové množství 172.347000 = 172,347 [W]</t>
  </si>
  <si>
    <t xml:space="preserve"> Staničení: 0,12626 - 0,12883: 0,398726526693492 (2p1QE7Onnwnm0000000XYi) = 0,399 [A]</t>
  </si>
  <si>
    <t xml:space="preserve"> Staničení: 0,12826 - 0,13185: 0,590590122540623 (2p1QE7Onnwnm0000000XYv) = 0,591 [B]</t>
  </si>
  <si>
    <t xml:space="preserve"> Staničení: 0,08732 - 0,08763: 0,404784725842176 (2p1QE7Onnwnm0000000Xa4) = 0,405 [C]</t>
  </si>
  <si>
    <t xml:space="preserve"> Staničení: 0,12513 - 0,12754: 0,879931287708799 (2p1QE7Onnwnm0000000XYI) = 0,880 [D]</t>
  </si>
  <si>
    <t xml:space="preserve"> Staničení: 0,12514 - 0,1269: 0,198980489224548 (2p1QE7Onnwnm0000000XYV) = 0,199 [E]</t>
  </si>
  <si>
    <t xml:space="preserve"> Staničení: 0,0955 - 0,098: 2,84570298926502 (2p1QE7Onnwnm0000000XZJ) = 2,846 [F]</t>
  </si>
  <si>
    <t xml:space="preserve"> Staničení: 0,10703 - 0,11231: 0,523242394869872 (2p1QE7Onnwnm0000000Xah) = 0,523 [G]</t>
  </si>
  <si>
    <t xml:space="preserve"> Staničení: 0,10516 - 0,10719: 0,192680775255604 (2p1QE7Onnwnm0000000XZ6) = 0,193 [H]</t>
  </si>
  <si>
    <t xml:space="preserve"> Staničení: 0,085 - 0,08732: 2,05273837774065 (2p1QE7Onnwnm0000000XaH) = 2,053 [I]</t>
  </si>
  <si>
    <t xml:space="preserve"> Staničení: 0,1119 - 0,11845: 0,798936604864086 (2p1QE7Onnwnm0000000XaU) = 0,799 [J]</t>
  </si>
  <si>
    <t xml:space="preserve"> Staničení: 0,18753 - 0,18772: 0,0166925433699084 (2p1QE7Onnwnm0000000XZo) = 0,017 [K]</t>
  </si>
  <si>
    <t xml:space="preserve"> Staničení: 0,12786 - 0,134: 1,96439658036864 (2p1QE7Onnwnm0000000XY5) = 1,964 [L]</t>
  </si>
  <si>
    <t xml:space="preserve"> Staničení: 0,20535 - 0,20757: 0,530619685345143 (2p1QE7Onnwnm0000000XZW) = 0,531 [M]</t>
  </si>
  <si>
    <t xml:space="preserve"> Staničení: 0,18278 - 0,18772: 3,00858812385077 (2p1QE7Onnwnm0000000Xau) = 3,009 [N]</t>
  </si>
  <si>
    <t xml:space="preserve"> Celkové množství 14.409000 = 14,409 [O]</t>
  </si>
  <si>
    <t>Materiál:
zemina:
podrobná specifikace:
upravená vápnem, dávkování 1-2% hmotnosti suché zeminy:
Reference:
ČSN 736133, D.3.4 vzorové řezy, D.3.1 technická zpráva:
specifikace:
zemina třídy F4-CS(F5-MI, F6-CI):
včetně dodání hydraulického pojiva, pro potřeby rozpočtu uvažováno 2%</t>
  </si>
  <si>
    <t xml:space="preserve"> Staničení: 0,19536 - 0,21033: 53,714078682599 (2WqkYr7d0dfG0000000Y7a) = 53,714 [A]</t>
  </si>
  <si>
    <t xml:space="preserve"> Staničení: 1,10511 - 1,12211: 11,9811208528804 (2WqkYr7d0dfG0000000XG1) = 11,981 [B]</t>
  </si>
  <si>
    <t xml:space="preserve"> Staničení: 0,10418 - 0,13154: 87,4173299483834 (2WqkYr7d0dfG0000000Y70) = 87,417 [C]</t>
  </si>
  <si>
    <t xml:space="preserve"> Staničení: 0,12766 - 0,134: 21,2642478933201 (2WqkYr7d0dfG0000000YBG) = 21,264 [D]</t>
  </si>
  <si>
    <t xml:space="preserve"> Staničení: 0,77632 - 0,77926: 0,0115239649314167 (2WqkYr7d0dfG0000000XUH) = 0,012 [E]</t>
  </si>
  <si>
    <t xml:space="preserve"> Staničení: 0,20597 - 0,21033: 2,86876859554082 (2WqkYr7d0dfG0000000YDs) = 2,869 [F]</t>
  </si>
  <si>
    <t xml:space="preserve"> Staničení: 0,10099 - 0,13401: 34,4521715937112 (2WqkYr7d0dfG0000000YCs) = 34,452 [G]</t>
  </si>
  <si>
    <t xml:space="preserve"> Staničení: 0,18279 - 0,19918: 91,8732662957968 (2WqkYr7d0dfG0000000Y7e) = 91,873 [H]</t>
  </si>
  <si>
    <t xml:space="preserve"> Staničení: 0,18265 - 0,21049: 204,806474385296 (2WqkYr7d0dfG0000000YDX) = 204,806 [I]</t>
  </si>
  <si>
    <t xml:space="preserve"> Staničení: 0,85 - 0,98: 54,3834392940634 (2WqkYr7d0dfG0000000rR0) = 54,383 [J]</t>
  </si>
  <si>
    <t xml:space="preserve"> Celkové množství 562.771000 = 562,771 [K]</t>
  </si>
  <si>
    <t>Materiál:
úprava pláně se zhutněním v zemině I.třídy:
podrobná specifikace:
zhutněná zemní pláň tvořená na zlepšené zemině upravené vápněním, Edef,2=30MPa:
Reference:
ČSN 736133, ČSN EN 72 1006, D.1.4 vzorové řezy, D.1.1 technická zpráva:
specifikace:
úprava zemní pláně se zhutněním dle ČSN 736133, sklony pláně v souladu s ČSN 736101:</t>
  </si>
  <si>
    <t xml:space="preserve"> Staničení: 0,668 - 0,694: 128,444287698598 (2WqkYr7d0dfG0000000Y8C) = 128,444 [A]</t>
  </si>
  <si>
    <t xml:space="preserve"> Staničení: 0,18279 - 0,21024: 212,906368119453 (2WqkYr7d0dfG0000000XWY) = 212,906 [B]</t>
  </si>
  <si>
    <t xml:space="preserve"> Staničení: 0,10418 - 0,1308: 281,224713567253 (2WqkYr7d0dfG0000000g5R) = 281,225 [C]</t>
  </si>
  <si>
    <t xml:space="preserve"> Staničení: 0,08558 - 0,09675: 122,014287855912 (2WqkYr7d0dfG0000000g5K) = 122,014 [D]</t>
  </si>
  <si>
    <t xml:space="preserve"> Staničení: 776,39 - 793,09: 53,2724856019283 (2WqkYr7d0dfG0000000rU3) = 53,272 [E]</t>
  </si>
  <si>
    <t xml:space="preserve"> Staničení: 1,10511 - 1,12211: 54,9910853540465 (2WqkYr7d0dfG0000000Y8H) = 54,991 [F]</t>
  </si>
  <si>
    <t xml:space="preserve"> Celkové množství 852.852000 = 852,852 [G]</t>
  </si>
  <si>
    <t>Materiál:
ornice/místní materiál:
podrobná specifikace:
ornice získaná skrývkou ornice z pozemků s ochranou ZPF/ humozní vrstva získaná odhumusováním z prostoru lesních pozemků a silničních pozemků podél trasy:
Reference:
D.1.4 vzorové řezy, D.1.1 technická zpráva:
specifikace:
ornice/humozní vrstva skrytá mimo pozemky ZPF, tl. 150mm:</t>
  </si>
  <si>
    <t xml:space="preserve"> Staničení: 1,10511 - 1,12211: 18,080697211762 (2WqkYr7d0dfG0000000Y8W) = 18,081 [A]</t>
  </si>
  <si>
    <t xml:space="preserve"> Staničení: 0,2054 - 0,2127: 29,9520304482341 (2WqkYr7d0dfG0000000Y6Y) = 29,952 [B]</t>
  </si>
  <si>
    <t xml:space="preserve"> Staničení: 0,10097 - 0,10485: 3,94657838236954 (2WqkYr7d0dfG0000000Y32) = 3,947 [C]</t>
  </si>
  <si>
    <t xml:space="preserve"> Staničení: 0,18278 - 0,18772: 20,7001058075574 (2WqkYr7d0dfG0000000k7$) = 20,700 [D]</t>
  </si>
  <si>
    <t xml:space="preserve"> Staničení: 0,10096 - 0,10551: 1,76987808881576 (2WqkYr7d0dfG0000000Y5s) = 1,770 [E]</t>
  </si>
  <si>
    <t xml:space="preserve"> Staničení: 0,179 - 0,18772: 67,2799088582064 (2WqkYr7d0dfG0000000Y6T) = 67,280 [F]</t>
  </si>
  <si>
    <t xml:space="preserve"> Staničení: 0,085 - 0,09745: 43,6066598720432 (2WqkYr7d0dfG0000000keV) = 43,607 [G]</t>
  </si>
  <si>
    <t xml:space="preserve"> Staničení: 0,12558 - 0,13103: 13,1849370740328 (2WqkYr7d0dfG0000000XtZ) = 13,185 [H]</t>
  </si>
  <si>
    <t xml:space="preserve"> Staničení: 0,77639 - 0,77926: 4,79330586935748 (2WqkYr7d0dfG0000000Y8R) = 4,793 [I]</t>
  </si>
  <si>
    <t xml:space="preserve"> Celkové množství 203.315000 = 203,315 [J]</t>
  </si>
  <si>
    <t xml:space="preserve"> Staničení: 0,77926 - 0,79309: 10,8908601683239 (2WqkYr7d0dfG0000000rUe) = 10,891 [J]</t>
  </si>
  <si>
    <t xml:space="preserve"> Staničení: 0,18698 - 0,18919: 0,510134810833863 (2WqkYr7d0dfG0000000XMD) = 0,510 [K]</t>
  </si>
  <si>
    <t xml:space="preserve"> Staničení: 0,12463 - 0,12637: 0,207 (2WqkYr7d0dfG0000000XID) = 0,207 [L]</t>
  </si>
  <si>
    <t xml:space="preserve"> Staničení: 0,11218 - 0,11878: 1,27423864997796 (2WqkYr7d0dfG0000000XVd) = 1,274 [M]</t>
  </si>
  <si>
    <t xml:space="preserve"> Staničení: 0,85 - 0,98: 30,3231905453339 (2WqkYr7d0dfG0000000rQG) = 30,323 [N]</t>
  </si>
  <si>
    <t xml:space="preserve"> Staničení: 1,11011 - 1,1171: 10,9062891898117 (2WqkYr7d0dfG0000000XVA) = 10,906 [O]</t>
  </si>
  <si>
    <t xml:space="preserve"> Staničení: 0,20395 - 0,20613: 0,340492562917558 (2WqkYr7d0dfG0000000Y68) = 0,340 [P]</t>
  </si>
  <si>
    <t xml:space="preserve"> Staničení: 0,20455 - 0,21033: 2,91039398343007 (2WqkYr7d0dfG0000000XUn) = 2,910 [Q]</t>
  </si>
  <si>
    <t xml:space="preserve"> Staničení: 0,12596 - 0,12878: 0,790074322319327 (2WqkYr7d0dfG0000000XIn) = 0,790 [R]</t>
  </si>
  <si>
    <t xml:space="preserve"> Staničení: 0,18279 - 0,18858: 3,45664317716495 (2WqkYr7d0dfG0000000XUP) = 3,457 [S]</t>
  </si>
  <si>
    <t xml:space="preserve"> Staničení: 0,78141 - 0,7909: 3,37068638495293 (2WqkYr7d0dfG0000000rUS) = 3,371 [T]</t>
  </si>
  <si>
    <t xml:space="preserve"> Staničení: 0,12797 - 0,13185: 1,36551737948648 (2WqkYr7d0dfG0000000XJL) = 1,366 [U]</t>
  </si>
  <si>
    <t xml:space="preserve"> Staničení: 0,10547 - 0,10752: 0,142 (2WqkYr7d0dfG0000000XKL) = 0,142 [V]</t>
  </si>
  <si>
    <t xml:space="preserve"> Staničení: 0,10563 - 0,10636: 0,201471596043084 (2WqkYr7d0dfG0000000XJz) = 0,201 [W]</t>
  </si>
  <si>
    <t xml:space="preserve"> Staničení: 0,6735 - 0,68367: 31,3627481103195 (2WqkYr7d0dfG0000000XFz) = 31,363 [X]</t>
  </si>
  <si>
    <t xml:space="preserve"> Staničení: 0,20389 - 0,20609: 1,48949116298995 (2WqkYr7d0dfG0000000XMX) = 1,489 [Y]</t>
  </si>
  <si>
    <t xml:space="preserve"> Celkové množství 216.932000 = 216,932 [Z]</t>
  </si>
  <si>
    <t>Materiál:
ŠDB:
podrobná specifikace:
GN:
Reference:
ČSN 73 6126-1, vzorové řezy, technická zpráva:
specifikace:
ŠDB fr. 0/32, tl. 300 mm:</t>
  </si>
  <si>
    <t xml:space="preserve"> Staničení: 1,11011 - 1,11711: 8,98830965359559 (2WqkYr7d0dfG0000000d1d) = 8,988 [A]</t>
  </si>
  <si>
    <t xml:space="preserve"> Celkové množství 8.988000 = 8,988 [B]</t>
  </si>
  <si>
    <t>Materiál:
ŠDB:
podrobná specifikace:
GN:
Reference:
ČSN 73 6126-1, vzorové řezy, technická zpráva:
specifikace:
ŠDB fr. 0/32, tl. 2x150 mm (celkem 300 mm):</t>
  </si>
  <si>
    <t xml:space="preserve"> Staničení: 0,085 - 0,08732: 0,293674055026924 (2WqkYr7d0dfG0000000XKv) = 0,294 [A]</t>
  </si>
  <si>
    <t xml:space="preserve"> Staničení: 0,11613 - 0,12596: 8,44639015392484 (2WqkYr7d0dfG0000000XHv) = 8,446 [B]</t>
  </si>
  <si>
    <t xml:space="preserve"> Staničení: 0,10563 - 0,10636: 0,049320092771255 (2WqkYr7d0dfG0000000YA7) = 0,049 [C]</t>
  </si>
  <si>
    <t xml:space="preserve"> Staničení: 0,7909 - 0,79309: 1,09051868436745 (2WqkYr7d0dfG0000000XU6) = 1,091 [D]</t>
  </si>
  <si>
    <t xml:space="preserve"> Staničení: 0,1061 - 0,1254: 36,604 (2WqkYr7d0dfG0000000XGb) = 36,604 [E]</t>
  </si>
  <si>
    <t xml:space="preserve"> Staničení: 0,12311 - 0,12797: 3,57841758112835 (2WqkYr7d0dfG0000000XIT) = 3,578 [F]</t>
  </si>
  <si>
    <t xml:space="preserve"> Staničení: 0,10752 - 0,11612: 5,29664329093133 (2WqkYr7d0dfG0000000YDU) = 5,297 [G]</t>
  </si>
  <si>
    <t xml:space="preserve"> Staničení: 0,10706 - 0,11264: 0,848358687317711 (2WqkYr7d0dfG0000000YAU) = 0,848 [H]</t>
  </si>
  <si>
    <t xml:space="preserve"> Staničení: 0,18749 - 0,18919: 0,834786103867699 (2WqkYr7d0dfG0000000Y99) = 0,835 [I]</t>
  </si>
  <si>
    <t xml:space="preserve"> Staničení: 0,10443 - 0,10636: 0,382616520421192 (2WqkYr7d0dfG0000000Y9u) = 0,383 [J]</t>
  </si>
  <si>
    <t xml:space="preserve"> Staničení: 0,85 - 0,98: 31,332003 (2WqkYr7d0dfG0000000rRC) = 31,332 [K]</t>
  </si>
  <si>
    <t xml:space="preserve"> Staničení: 0,12463 - 0,1277: 0,765346765932626 (2WqkYr7d0dfG0000000Y9a) = 0,765 [L]</t>
  </si>
  <si>
    <t xml:space="preserve"> Staničení: 0,18919 - 0,19654: 8,23618688875021 (2WqkYr7d0dfG0000000XM1) = 8,236 [M]</t>
  </si>
  <si>
    <t xml:space="preserve"> Staničení: 0,12501 - 0,13117: 3,68109545404839 (2WqkYr7d0dfG0000000XJ1) = 3,681 [N]</t>
  </si>
  <si>
    <t xml:space="preserve"> Staničení: 0,20395 - 0,20598: 0,789491126566876 (2WqkYr7d0dfG0000000Y9L) = 0,789 [O]</t>
  </si>
  <si>
    <t xml:space="preserve"> Staničení: 0,78141 - 0,7909: 0,383966821346708 (2WqkYr7d0dfG0000000XTU) = 0,384 [P]</t>
  </si>
  <si>
    <t xml:space="preserve"> Staničení: 0,20455 - 0,21033: 2,33261682239828 (2WqkYr7d0dfG0000000YBt) = 2,333 [Q]</t>
  </si>
  <si>
    <t xml:space="preserve"> Staničení: 0,11264 - 0,12225: 12,5412666541381 (2WqkYr7d0dfG0000000XKf) = 12,541 [R]</t>
  </si>
  <si>
    <t xml:space="preserve"> Staničení: 0,67352 - 0,68367: 22,2613371476381 (2WqkYr7d0dfG0000000XOh) = 22,261 [S]</t>
  </si>
  <si>
    <t xml:space="preserve"> Staničení: 0,18858 - 0,19654: 10,9103547819522 (2WqkYr7d0dfG0000000XNr) = 10,910 [T]</t>
  </si>
  <si>
    <t xml:space="preserve"> Staničení: 0,19654 - 0,20395: 8,26954160012027 (2WqkYr7d0dfG0000000XLr) = 8,270 [U]</t>
  </si>
  <si>
    <t xml:space="preserve"> Staničení: 0,19654 - 0,21033: 6,30686919500426 (2WqkYr7d0dfG0000000XMr) = 6,307 [V]</t>
  </si>
  <si>
    <t xml:space="preserve"> Staničení: 0,11878 - 0,12501: 2,72204042062333 (2WqkYr7d0dfG0000000XKr) = 2,722 [W]</t>
  </si>
  <si>
    <t xml:space="preserve"> Staničení: 0,12463 - 0,12637: 0,268768806962568 (2WqkYr7d0dfG0000000Y9i) = 0,269 [X]</t>
  </si>
  <si>
    <t xml:space="preserve"> Staničení: 0,12463 - 0,12552: 0,392363882892737 (2WqkYr7d0dfG0000000Y9e) = 0,392 [Y]</t>
  </si>
  <si>
    <t xml:space="preserve"> Staničení: 0,10587 - 0,10636: 0,00175073862238576 (2WqkYr7d0dfG0000000YAB) = 0,002 [Z]</t>
  </si>
  <si>
    <t xml:space="preserve"> Staničení: 0,19654 - 0,20455: 10,9790448108852 (2WqkYr7d0dfG0000000XN9) = 10,979 [AA]</t>
  </si>
  <si>
    <t xml:space="preserve"> Staničení: 0,18279 - 0,18858: 2,02350169254147 (2WqkYr7d0dfG0000000YCf) = 2,024 [AB]</t>
  </si>
  <si>
    <t xml:space="preserve"> Staničení: 0,10547 - 0,10752: 0,619580712556982 (2WqkYr7d0dfG0000000YA3) = 0,620 [AC]</t>
  </si>
  <si>
    <t xml:space="preserve"> Staničení: 0,77956 - 0,78141: 1,17907872444552 (2WqkYr7d0dfG0000000XU2) = 1,179 [AD]</t>
  </si>
  <si>
    <t xml:space="preserve"> Staničení: 0,11218 - 0,11878: 1,0136245340165 (2WqkYr7d0dfG0000000YAQ) = 1,014 [AE]</t>
  </si>
  <si>
    <t xml:space="preserve"> Staničení: 0,0955 - 0,098: 0,302036493143411 (2WqkYr7d0dfG0000000XKz) = 0,302 [AF]</t>
  </si>
  <si>
    <t xml:space="preserve"> Staničení: 0,12797 - 0,1317: 0,598543946721656 (2WqkYr7d0dfG0000000Y9q) = 0,599 [AG]</t>
  </si>
  <si>
    <t xml:space="preserve"> Staničení: 0,67352 - 0,68367: 0,469413523521023 (2WqkYr7d0dfG0000000XOV) = 0,469 [AH]</t>
  </si>
  <si>
    <t xml:space="preserve"> Staničení: 0,1828 - 0,19654: 6,26495852616756 (2WqkYr7d0dfG0000000XNX) = 6,265 [AI]</t>
  </si>
  <si>
    <t xml:space="preserve"> Staničení: 0,12596 - 0,12837: 0,308812220284761 (2WqkYr7d0dfG0000000Y9m) = 0,309 [AJ]</t>
  </si>
  <si>
    <t xml:space="preserve"> Staničení: 0,10587 - 0,10636: 0,0128622757961814 (2WqkYr7d0dfG0000000YAF) = 0,013 [AK]</t>
  </si>
  <si>
    <t xml:space="preserve"> Staničení: 0,78141 - 0,7909: 4,77076947571896 (2WqkYr7d0dfG0000000XTE) = 4,771 [AL]</t>
  </si>
  <si>
    <t xml:space="preserve"> Staničení: 0,67352 - 0,68367: 3,248 (2WqkYr7d0dfG0000000XSs) = 3,248 [AM]</t>
  </si>
  <si>
    <t xml:space="preserve"> Staničení: 0,187 - 0,18919: 0,797879669044174 (2WqkYr7d0dfG0000000Y9H) = 0,798 [AN]</t>
  </si>
  <si>
    <t xml:space="preserve"> Staničení: 0,78141 - 0,7909: 1,34471824152421 (2WqkYr7d0dfG0000000XTQ) = 1,345 [AO]</t>
  </si>
  <si>
    <t xml:space="preserve"> Staničení: 0,78141 - 0,7909: 3,33375824734423 (2WqkYr7d0dfG0000000rUz) = 3,334 [AP]</t>
  </si>
  <si>
    <t xml:space="preserve"> Staničení: 0,20389 - 0,20472: 0,528310724443694 (2WqkYr7d0dfG0000000Y9D) = 0,528 [AQ]</t>
  </si>
  <si>
    <t xml:space="preserve"> Celkové množství 206.416000 = 206,416 [AR]</t>
  </si>
  <si>
    <t>56360</t>
  </si>
  <si>
    <t>VOZOVKOVÉ VRSTVY Z RECYKLOVANÉHO MATERIÁLU</t>
  </si>
  <si>
    <t>Materiál:
R-Mat:
podrobná specifikace:
protříděný recyklát získaný frézováním stávajících vozovek:
Reference:
ČSN EN 13108-1, D.1.4 vzorové řezy, D.1.1 technická zpráva:
specifikace:
32 RA 0/16, tl. 100mm:</t>
  </si>
  <si>
    <t xml:space="preserve"> Staničení: 1,11011 - 1,11711: 3,20498141453848 (2WqkYr7d0dfG0000000d1Q) = 3,205 [A]</t>
  </si>
  <si>
    <t xml:space="preserve"> Celkové množství 3.205000 = 3,205 [B]</t>
  </si>
  <si>
    <t>Materiál:
R-Mat:
podrobná specifikace:
protříděný recyklát získaný frézováním stávajících vozovek:
Reference:
ČSN EN 13108-1, D.1.4 vzorové řezy, D.1.1 technická zpráva:
specifikace:
32 RA 0/16, tl. 50 mm:</t>
  </si>
  <si>
    <t xml:space="preserve"> Staničení: 0,10626 - 0,10636: 0,00510930073787227 (2WqkYr7d0dfG0000000XJv) = 0,005 [A]</t>
  </si>
  <si>
    <t xml:space="preserve"> Staničení: 0,10448 - 0,10636: 0,00230016682930235 (2WqkYr7d0dfG0000000XJb) = 0,002 [B]</t>
  </si>
  <si>
    <t xml:space="preserve"> Staničení: 0,11264 - 0,12225: 2,09021110902618 (2WqkYr7d0dfG0000000XKb) = 2,090 [C]</t>
  </si>
  <si>
    <t xml:space="preserve"> Staničení: 0,12596 - 0,12803: 0,0104780912359322 (2WqkYr7d0dfG0000000XIb) = 0,010 [D]</t>
  </si>
  <si>
    <t xml:space="preserve"> Staničení: 0,1828 - 0,19654: 1,04389907217932 (2WqkYr7d0dfG0000000XNT) = 1,044 [E]</t>
  </si>
  <si>
    <t xml:space="preserve"> Staničení: 0,10752 - 0,11612: 0,882773887488016 (2WqkYr7d0dfG0000000XKT) = 0,883 [F]</t>
  </si>
  <si>
    <t xml:space="preserve"> Staničení: 0,12463 - 0,12465: 0,00161506708041772 (2WqkYr7d0dfG0000000XHT) = 0,002 [G]</t>
  </si>
  <si>
    <t xml:space="preserve"> Staničení: 0,1052 - 0,1266: 6,45553241465506 (2WqkYr7d0dfG0000000XGT) = 6,456 [H]</t>
  </si>
  <si>
    <t xml:space="preserve"> Staničení: 0,12463 - 0,12602: 0,00968190316551959 (2WqkYr7d0dfG0000000XI1) = 0,010 [I]</t>
  </si>
  <si>
    <t xml:space="preserve"> Staničení: 0,77926 - 0,78141: 0,250555360861584 (2WqkYr7d0dfG0000000XTw) = 0,251 [J]</t>
  </si>
  <si>
    <t xml:space="preserve"> Staničení: 0,1828 - 0,18858: 0,0319068920999894 (2WqkYr7d0dfG0000000XNf) = 0,032 [K]</t>
  </si>
  <si>
    <t xml:space="preserve"> Staničení: 0,10448 - 0,10636: 0,0157482666139483 (2WqkYr7d0dfG0000000XJf) = 0,016 [L]</t>
  </si>
  <si>
    <t xml:space="preserve"> Staničení: 0,20395 - 0,20464: 0,0126413676006841 (2WqkYr7d0dfG0000000XNH) = 0,013 [M]</t>
  </si>
  <si>
    <t xml:space="preserve"> Staničení: 0,12463 - 0,1277: 0,00405726365951196 (2WqkYr7d0dfG0000000XHH) = 0,004 [N]</t>
  </si>
  <si>
    <t xml:space="preserve"> Staničení: 0,11257 - 0,11878: 0,0341959212654109 (2WqkYr7d0dfG0000000XVR) = 0,034 [O]</t>
  </si>
  <si>
    <t xml:space="preserve"> Staničení: 0,10634 - 0,10636: 0,000735151184601385 (2WqkYr7d0dfG0000000XJr) = 0,001 [P]</t>
  </si>
  <si>
    <t xml:space="preserve"> Staničení: 0,11613 - 0,12596: 1,40773169232298 (2WqkYr7d0dfG0000000XHr) = 1,408 [Q]</t>
  </si>
  <si>
    <t xml:space="preserve"> Staničení: 0,67352 - 0,68367: 3,71022285848039 (2WqkYr7d0dfG0000000XOd) = 3,710 [R]</t>
  </si>
  <si>
    <t xml:space="preserve"> Staničení: 0,18909 - 0,18919: 0,016039200209124 (2WqkYr7d0dfG0000000XM9) = 0,016 [S]</t>
  </si>
  <si>
    <t xml:space="preserve"> Staničení: 0,12797 - 0,13128: 0,0168428194729348 (2WqkYr7d0dfG0000000XJ9) = 0,017 [T]</t>
  </si>
  <si>
    <t xml:space="preserve"> Staničení: 0,10626 - 0,10752: 0,0163133298486049 (2WqkYr7d0dfG0000000XK9) = 0,016 [U]</t>
  </si>
  <si>
    <t xml:space="preserve"> Staničení: 0,7909 - 0,79309: 0,210290094227458 (2WqkYr7d0dfG0000000XT_) = 0,210 [V]</t>
  </si>
  <si>
    <t xml:space="preserve"> Staničení: 0,67352 - 0,68367: 0,697881960067316 (2WqkYr7d0dfG0000000XS_) = 0,698 [W]</t>
  </si>
  <si>
    <t xml:space="preserve"> Staničení: 0,19654 - 0,20455: 1,8298408018175 (2WqkYr7d0dfG0000000XN5) = 1,830 [X]</t>
  </si>
  <si>
    <t xml:space="preserve"> Staničení: 0,12797 - 0,13124: 0,00239376219499182 (2WqkYr7d0dfG0000000XJ5) = 0,002 [Y]</t>
  </si>
  <si>
    <t xml:space="preserve"> Staničení: 0,10633 - 0,10752: 0,00232760987773629 (2WqkYr7d0dfG0000000XK5) = 0,002 [Z]</t>
  </si>
  <si>
    <t xml:space="preserve"> Staničení: 0,1277 - 0,12786: 0,000703797468961021 (2WqkYr7d0dfG0000000XH5) = 0,001 [AA]</t>
  </si>
  <si>
    <t xml:space="preserve"> Staničení: 0,18858 - 0,19654: 1,81839246366201 (2WqkYr7d0dfG0000000XNn) = 1,818 [AB]</t>
  </si>
  <si>
    <t xml:space="preserve"> Staničení: 0,19654 - 0,20395: 1,37825693335548 (2WqkYr7d0dfG0000000XLn) = 1,378 [AC]</t>
  </si>
  <si>
    <t xml:space="preserve"> Staničení: 0,19654 - 0,21033: 1,05144144940327 (2WqkYr7d0dfG0000000XMn) = 1,051 [AD]</t>
  </si>
  <si>
    <t xml:space="preserve"> Staničení: 0,11878 - 0,12501: 0,46526120317444 (2WqkYr7d0dfG0000000XKn) = 0,465 [AE]</t>
  </si>
  <si>
    <t xml:space="preserve"> Staničení: 0,20389 - 0,20404: 0,0159035255737924 (2WqkYr7d0dfG0000000XMP) = 0,016 [AF]</t>
  </si>
  <si>
    <t xml:space="preserve"> Staničení: 0,12311 - 0,12797: 0,596402930188961 (2WqkYr7d0dfG0000000XIP) = 0,596 [AG]</t>
  </si>
  <si>
    <t xml:space="preserve"> Staničení: 0,18849 - 0,18919: 0,0126817927623484 (2WqkYr7d0dfG0000000XNz) = 0,013 [AH]</t>
  </si>
  <si>
    <t xml:space="preserve"> Staničení: 0,12463 - 0,1277: 0,0279487707986601 (2WqkYr7d0dfG0000000XHL) = 0,028 [AI]</t>
  </si>
  <si>
    <t xml:space="preserve"> Staničení: 0,18919 - 0,19654: 1,37269781479378 (2WqkYr7d0dfG0000000XLz) = 1,373 [AJ]</t>
  </si>
  <si>
    <t xml:space="preserve"> Staničení: 0,20455 - 0,21033: 0,0318973558489836 (2WqkYr7d0dfG0000000XMz) = 0,032 [AK]</t>
  </si>
  <si>
    <t xml:space="preserve"> Staničení: 0,12463 - 0,12598: 0,0014029361839101 (2WqkYr7d0dfG0000000XHz) = 0,001 [AL]</t>
  </si>
  <si>
    <t xml:space="preserve"> Staničení: 0,12501 - 0,13117: 0,488300664580321 (2WqkYr7d0dfG0000000XIz) = 0,488 [AM]</t>
  </si>
  <si>
    <t xml:space="preserve"> Staničení: 0,10745 - 0,11264: 0,028803553314309 (2WqkYr7d0dfG0000000XVl) = 0,029 [AN]</t>
  </si>
  <si>
    <t xml:space="preserve"> Staničení: 0,08763 - 0,0955: 5,39251199916441 (2WqkYr7d0dfG0000000XLX) = 5,393 [AO]</t>
  </si>
  <si>
    <t xml:space="preserve"> Staničení: 0,12463 - 0,12473: 0,0112247162045761 (2WqkYr7d0dfG0000000XHX) = 0,011 [AP]</t>
  </si>
  <si>
    <t xml:space="preserve"> Staničení: 0,12596 - 0,12799: 0,00149083150441349 (2WqkYr7d0dfG0000000XIX) = 0,001 [AQ]</t>
  </si>
  <si>
    <t xml:space="preserve"> Staničení: 0,78141 - 0,7909: 0,561778459507334 (2WqkYr7d0dfG0000000XTg) = 0,562 [AR]</t>
  </si>
  <si>
    <t xml:space="preserve"> Staničení: 0,78141 - 0,7909: 0,916937127812535 (2WqkYr7d0dfG0000000XTI) = 0,917 [AS]</t>
  </si>
  <si>
    <t xml:space="preserve"> Celkové množství 32.935000 = 32,935 [AT]</t>
  </si>
  <si>
    <t xml:space="preserve"> Staničení: 0,085 - 0,08763: 0,516594384581192 (2WqkYr7d0dfG0000000XLb) = 0,517 [A]</t>
  </si>
  <si>
    <t xml:space="preserve"> Staničení: 0,18772 - 0,18917: 0,736741035094906 (2WqkYr7d0dfG0000000XMb) = 0,737 [B]</t>
  </si>
  <si>
    <t xml:space="preserve"> Staničení: 0,10418 - 0,10448: 0,0293942925902963 (2WqkYr7d0dfG0000000XJT) = 0,029 [C]</t>
  </si>
  <si>
    <t xml:space="preserve"> Staničení: 0,1055 - 0,10586: 0,0142990107634494 (2WqkYr7d0dfG0000000YIu) = 0,014 [D]</t>
  </si>
  <si>
    <t xml:space="preserve"> Staničení: 0,11231 - 0,11877: 0,401939254821042 (2WqkYr7d0dfG0000000XW3) = 0,402 [E]</t>
  </si>
  <si>
    <t xml:space="preserve"> Staničení: 0,18724 - 0,18917: 0,5147827839473 (2WqkYr7d0dfG0000000XO1) = 0,515 [F]</t>
  </si>
  <si>
    <t xml:space="preserve"> Staničení: 0,10586 - 0,10751: 0,202555236727135 (2WqkYr7d0dfG0000000XK1) = 0,203 [G]</t>
  </si>
  <si>
    <t xml:space="preserve"> Staničení: 0,1055 - 0,10586: 0,0347778133158536 (2WqkYr7d0dfG0000000YIt) = 0,035 [H]</t>
  </si>
  <si>
    <t xml:space="preserve"> Staničení: 0,12786 - 0,134: 0,654920684655405 (2WqkYr7d0dfG0000000XGj) = 0,655 [I]</t>
  </si>
  <si>
    <t xml:space="preserve"> Staničení: 0,0955 - 0,098: 0,455436045127565 (2WqkYr7d0dfG0000000XLf) = 0,455 [J]</t>
  </si>
  <si>
    <t xml:space="preserve"> Staničení: 0,20391 - 0,20542: 0,736741035100554 (2WqkYr7d0dfG0000000XMf) = 0,737 [K]</t>
  </si>
  <si>
    <t xml:space="preserve"> Staničení: 0,0955 - 0,098: 0,187193832994102 (2WqkYr7d0dfG0000000XLH) = 0,187 [L]</t>
  </si>
  <si>
    <t xml:space="preserve"> Staničení: 0,12464 - 0,12626: 0,100180631103896 (2WqkYr7d0dfG0000000XIH) = 0,100 [M]</t>
  </si>
  <si>
    <t xml:space="preserve"> Staničení: 0,20456 - 0,21033: 0,968479306782527 (2WqkYr7d0dfG0000000YBi) = 0,968 [N]</t>
  </si>
  <si>
    <t xml:space="preserve"> Staničení: 0,101 - 0,10418: 0,0662758312617057 (2WqkYr7d0dfG0000000XGD) = 0,066 [O]</t>
  </si>
  <si>
    <t xml:space="preserve"> Staničení: 0,12597 - 0,12826: 0,123293667528016 (2WqkYr7d0dfG0000000XIr) = 0,123 [P]</t>
  </si>
  <si>
    <t xml:space="preserve"> Staničení: 0,18279 - 0,18857: 1,28681083795534 (2WqkYr7d0dfG0000000YCo) = 1,287 [Q]</t>
  </si>
  <si>
    <t xml:space="preserve"> Staničení: 0,12464 - 0,1277: 0,482901300106881 (2WqkYr7d0dfG0000000XW7) = 0,483 [R]</t>
  </si>
  <si>
    <t xml:space="preserve"> Staničení: 0,101 - 0,10418: 0,27922824565427 (2WqkYr7d0dfG0000000XG9) = 0,279 [S]</t>
  </si>
  <si>
    <t xml:space="preserve"> Staničení: 0,10719 - 0,11263: 0,338969205549143 (2WqkYr7d0dfG0000000XV$) = 0,339 [T]</t>
  </si>
  <si>
    <t xml:space="preserve"> Staničení: 0,10586 - 0,10635: 0,057561112416422 (2WqkYr7d0dfG0000000XJn) = 0,058 [U]</t>
  </si>
  <si>
    <t xml:space="preserve"> Staničení: 0,12786 - 0,134: 0,121906651790323 (2WqkYr7d0dfG0000000XGn) = 0,122 [V]</t>
  </si>
  <si>
    <t xml:space="preserve"> Staničení: 0,12798 - 0,13151: 0,19834708290761 (2WqkYr7d0dfG0000000XJP) = 0,198 [W]</t>
  </si>
  <si>
    <t xml:space="preserve"> Staničení: 0,12464 - 0,12514: 0,130969632366796 (2WqkYr7d0dfG0000000XHP) = 0,131 [X]</t>
  </si>
  <si>
    <t xml:space="preserve"> Staničení: 0,20396 - 0,20589: 0,513188578192771 (2WqkYr7d0dfG0000000XNL) = 0,513 [Y]</t>
  </si>
  <si>
    <t xml:space="preserve"> Staničení: 0,1277 - 0,12786: 0,0177256551179661 (2WqkYr7d0dfG0000000XGz) = 0,018 [Z]</t>
  </si>
  <si>
    <t xml:space="preserve"> Staničení: 0,10442 - 0,10635: 0,254440540849967 (2WqkYr7d0dfG0000000XVE) = 0,254 [AA]</t>
  </si>
  <si>
    <t xml:space="preserve"> Celkové množství 9.425000 = 9,425 [AB]</t>
  </si>
  <si>
    <t xml:space="preserve"> Staničení: 0,1828 - 0,21032: 174,548691264262 (2WqkYr7d0dfG0000000XWT) = 174,549 [A]</t>
  </si>
  <si>
    <t xml:space="preserve"> Staničení: 0,77927 - 0,79309: 40,1973845471811 (2WqkYr7d0dfG0000000Y87) = 40,197 [B]</t>
  </si>
  <si>
    <t xml:space="preserve"> Staničení: 0,67328 - 0,68367: 89,9355540228017 (2WqkYr7d0dfG0000000Y82) = 89,936 [C]</t>
  </si>
  <si>
    <t xml:space="preserve"> Staničení: 0,10418 - 0,13112: 256,034679968268 (2WqkYr7d0dfG0000000g5P) = 256,035 [D]</t>
  </si>
  <si>
    <t xml:space="preserve"> Staničení: 0,08763 - 0,09377: 109,999369853947 (2WqkYr7d0dfG0000000XWO) = 109,999 [E]</t>
  </si>
  <si>
    <t xml:space="preserve"> Celkové množství 670.716000 = 670,716 [F]</t>
  </si>
  <si>
    <t>Materiál:
asfaltový beton pro obrusnou vrstvu:
podrobná specifikace:
nemodifikovaný:
Reference:
ČSN EN 13108-1, D.1.4 vzorové řezy, D.1.1 technická zpráva:
specifikace:
ACO 11+ 50/70, tl. 50 mm:</t>
  </si>
  <si>
    <t xml:space="preserve"> Staničení: 0,18856 - 0,18919: 0,0018343517322061 (2WqkYr7d0dfG0000000XNv) = 0,002 [A]</t>
  </si>
  <si>
    <t xml:space="preserve"> Staničení: 0,18919 - 0,19654: 1,37269781479068 (2WqkYr7d0dfG0000000XLv) = 1,373 [B]</t>
  </si>
  <si>
    <t xml:space="preserve"> Staničení: 0,20455 - 0,21033: 0,00461515551416084 (2WqkYr7d0dfG0000000XMv) = 0,005 [C]</t>
  </si>
  <si>
    <t xml:space="preserve"> Staničení: 0,12501 - 0,13117: 0,488300664579195 (2WqkYr7d0dfG0000000XIv) = 0,488 [D]</t>
  </si>
  <si>
    <t xml:space="preserve"> Staničení: 0,1828 - 0,18858: 0,00461644962679785 (2WqkYr7d0dfG0000000XNb) = 0,005 [E]</t>
  </si>
  <si>
    <t xml:space="preserve"> Staničení: 0,19654 - 0,20455: 1,82984080181338 (2WqkYr7d0dfG0000000XN1) = 1,830 [F]</t>
  </si>
  <si>
    <t xml:space="preserve"> Staničení: 0,18858 - 0,19654: 1,81839246365788 (2WqkYr7d0dfG0000000XNj) = 1,818 [G]</t>
  </si>
  <si>
    <t xml:space="preserve"> Staničení: 0,19654 - 0,20395: 1,37825693335236 (2WqkYr7d0dfG0000000XLj) = 1,378 [H]</t>
  </si>
  <si>
    <t xml:space="preserve"> Staničení: 0,19654 - 0,21033: 1,05144144957341 (2WqkYr7d0dfG0000000XMj) = 1,051 [I]</t>
  </si>
  <si>
    <t xml:space="preserve"> Staničení: 0,11878 - 0,12501: 0,465261203227264 (2WqkYr7d0dfG0000000XKj) = 0,465 [J]</t>
  </si>
  <si>
    <t xml:space="preserve"> Staničení: 0,1075 - 0,11264: 0,0040974977444698 (2WqkYr7d0dfG0000000XVh) = 0,004 [K]</t>
  </si>
  <si>
    <t xml:space="preserve"> Staničení: 0,20395 - 0,20457: 0,00182849777801714 (2WqkYr7d0dfG0000000XND) = 0,002 [L]</t>
  </si>
  <si>
    <t xml:space="preserve"> Staničení: 0,11262 - 0,11878: 0,00487250289552639 (2WqkYr7d0dfG0000000XVN) = 0,005 [M]</t>
  </si>
  <si>
    <t xml:space="preserve"> Staničení: 0,78141 - 0,7909: 0,561778474475758 (2WqkYr7d0dfG0000000XTc) = 0,562 [N]</t>
  </si>
  <si>
    <t xml:space="preserve"> Staničení: 0,78141 - 0,7909: 0,948212963810917 (2WqkYr7d0dfG0000000XTA) = 0,948 [O]</t>
  </si>
  <si>
    <t xml:space="preserve"> Staničení: 0,18916 - 0,18919: 0,00230408816504746 (2WqkYr7d0dfG0000000XM5) = 0,002 [P]</t>
  </si>
  <si>
    <t xml:space="preserve"> Staničení: 0,11613 - 0,12596: 1,4077316923197 (2WqkYr7d0dfG0000000XHn) = 1,408 [Q]</t>
  </si>
  <si>
    <t xml:space="preserve"> Staničení: 0,1828 - 0,19654: 1,04389907345263 (2WqkYr7d0dfG0000000XNP) = 1,044 [R]</t>
  </si>
  <si>
    <t xml:space="preserve"> Staničení: 0,10752 - 0,11612: 0,882773874012487 (2WqkYr7d0dfG0000000XKP) = 0,883 [S]</t>
  </si>
  <si>
    <t xml:space="preserve"> Staničení: 0,1044 - 0,1277: 6,5353737935111 (2WqkYr7d0dfG0000000XGP) = 6,535 [T]</t>
  </si>
  <si>
    <t xml:space="preserve"> Staničení: 0,67352 - 0,68367: 3,71022285847183 (2WqkYr7d0dfG0000000XOZ) = 3,710 [U]</t>
  </si>
  <si>
    <t xml:space="preserve"> Staničení: 0,08763 - 0,0955: 5,42645755938505 (2WqkYr7d0dfG0000000XLL) = 5,426 [V]</t>
  </si>
  <si>
    <t xml:space="preserve"> Staničení: 0,20389 - 0,20397: 0,00225883424009085 (2WqkYr7d0dfG0000000XML) = 0,002 [W]</t>
  </si>
  <si>
    <t xml:space="preserve"> Staničení: 0,12311 - 0,12797: 0,59640293018762 (2WqkYr7d0dfG0000000XIL) = 0,596 [X]</t>
  </si>
  <si>
    <t xml:space="preserve"> Staničení: 0,11264 - 0,12225: 2,09021110902146 (2WqkYr7d0dfG0000000XKX) = 2,090 [Y]</t>
  </si>
  <si>
    <t xml:space="preserve"> Staničení: 0,7909 - 0,79309: 0,217465792931799 (2WqkYr7d0dfG0000000XTs) = 0,217 [Z]</t>
  </si>
  <si>
    <t xml:space="preserve"> Staničení: 0,77926 - 0,78141: 0,257585824804031 (2WqkYr7d0dfG0000000XTo) = 0,258 [AA]</t>
  </si>
  <si>
    <t xml:space="preserve"> Staničení: 0,67352 - 0,68367: 0,732061861702451 (2WqkYr7d0dfG0000000XSo) = 0,732 [AB]</t>
  </si>
  <si>
    <t xml:space="preserve"> Celkové množství 32.839000 = 32,839 [AC]</t>
  </si>
  <si>
    <t>935822</t>
  </si>
  <si>
    <t>ŽLABY A RIGOLY DLÁŽDĚNÉ Z KOSTEK VELKÝCH DO BETONU TL 100MM</t>
  </si>
  <si>
    <t>Materiál:
žulové kostky 120 mm:
podrobná specifikace:
žulové kostky 120x120x120mm s vyspárováním MC25-XF4(dle TKP 18):
Reference:
ČSN 73 6131, ČSN 73 6126-1,TKP 18, D.2.4 vzorové řezy, D.2.1 technická zpráva:
specifikace:
pojížděný žlab ze žulových kostek do betonového lože C30/37-XF3:</t>
  </si>
  <si>
    <t xml:space="preserve"> Staničení: 0,78141 - 0,7909: 1 (2WqkYr7d0dfG0000000XTM) = 1,000 [A]</t>
  </si>
  <si>
    <t xml:space="preserve"> Staničení: 0,67352 - 0,68367: 1 (2WqkYr7d0dfG0000000XON) = 1,000 [B]</t>
  </si>
  <si>
    <t xml:space="preserve"> Staničení: 0,68367 - 0,68468: 1 (2WqkYr7d0dfG0000000XWK) = 1,000 [C]</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</si>
  <si>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</si>
  <si>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Kategorie stavebního výrobku:
Klasifikace dle CCI:
Materiál:
žulové kostky 120 mm:
podrobná specifikace:
žulové kostky 120x120x120mm s vyspárováním MC25-XF4(dle TKP 18):
Podrobná specifikace:
betonová tvárnice z betonu C30/37-XF4:
Reference:
ČSN 73 6131, ČSN 73 6126-1,TKP 18, D.2.4 vzorové řezy, D.2.1 technická zpráva:
specifikace:
skluz mezi pojížděným žlabem a příkopem ze žulových kostek do betonového lože C30/37-XF3 (včetně):
Specifikace:
betonová tvárnice z betonu C30/37-XF4 do ŠP. lože. 0,10m, ŠPb, FR. 0/16 Gn dle ČSN EN 13 285 ED.2:
Stavební výrobek:
tvárnice dle VL1 41-02, š. 0.6m:
Typ stavebního výrobku:
příkopová tvárnice betonová :
Výrobce:
Nd:</t>
  </si>
  <si>
    <t xml:space="preserve"> Staničení: 0,78996 - 0,79314: 4,9515501654004666666666666667 (2WqkYr7d0dfG0000000XUD) = 4,952 [A]</t>
  </si>
  <si>
    <t xml:space="preserve"> Celkové množství 4.952000 = 4,952 [B]</t>
  </si>
  <si>
    <t>Materiál:
ornice/místní materiál:
podrobná specifikace:
ornice získaná skrývkou ornice z pozemků s ochranou ZPF/ nedostatek řešen nákupem
Reference:
D.1.6, D.1.7, D.1.4 vzorové řezy, D.1.1 technická zpráva:
specifikace:
ornice/humozní vrstva, tl. 150mm:</t>
  </si>
  <si>
    <t xml:space="preserve"> Staničení: 0,12754 - 0,13103: 0,0250171980213777 (2c7dpI16IXu000000018Lf) = 0,025 [A]</t>
  </si>
  <si>
    <t xml:space="preserve"> Staničení: 0,1255 - 0,12786: 0,60614700514027 (2c7dpI16IXu000000018Lr) = 0,606 [B]</t>
  </si>
  <si>
    <t xml:space="preserve"> Staničení: 0,12694 - 0,13103: 1,02153964908954 (2c7dpI16IXu000000018M1) = 1,022 [C]</t>
  </si>
  <si>
    <t xml:space="preserve"> Staničení: 0,20589 - 0,20726: 0,23055836727654 (2c7dpI16IXu000000018QK) = 0,231 [D]</t>
  </si>
  <si>
    <t xml:space="preserve"> Staničení: 0,1523 - 0,1634: 10,2156832724417 (2c7dpI16IXu000000018NK) = 10,216 [E]</t>
  </si>
  <si>
    <t xml:space="preserve"> Staničení: 0,2054 - 0,20735: 0,191219484548108 (2c7dpI16IXu000000018QW) = 0,191 [F]</t>
  </si>
  <si>
    <t xml:space="preserve"> Staničení: 0,179 - 0,18281: 1,61679396673616 (2c7dpI16IXu000000018NW) = 1,617 [G]</t>
  </si>
  <si>
    <t xml:space="preserve"> Staničení: 0,21033 - 0,2136: 0,131143670246843 (2c7dpI16IXu000000018Qi) = 0,131 [H]</t>
  </si>
  <si>
    <t xml:space="preserve"> Staničení: 0,18272 - 0,18508: 0,660162948255733 (2c7dpI16IXu000000018Ni) = 0,660 [I]</t>
  </si>
  <si>
    <t xml:space="preserve"> Staničení: 0,2115 - 0,2136: 0,0103132798298541 (2c7dpI16IXu000000018Qu) = 0,010 [J]</t>
  </si>
  <si>
    <t xml:space="preserve"> Staničení: 0,18502 - 0,18772: 0,60076760877302 (2c7dpI16IXu000000018Nu) = 0,601 [K]</t>
  </si>
  <si>
    <t xml:space="preserve"> Staničení: 0,2054 - 0,20735: 0,0378447690801441 (2c7dpI16IXu000000018Q8) = 0,038 [L]</t>
  </si>
  <si>
    <t xml:space="preserve"> Staničení: 0,16499 - 0,1711: 2,14007688488657 (2c7dpI16IXu000000018N8) = 2,140 [M]</t>
  </si>
  <si>
    <t xml:space="preserve"> Staničení: 0,10096 - 0,10418: 0,179477040192161 (2c7dpI16IXu000000018MD) = 0,179 [N]</t>
  </si>
  <si>
    <t xml:space="preserve"> Staničení: 0,10418 - 0,10551: 0,0699281632073727 (2c7dpI16IXu000000018MP) = 0,070 [O]</t>
  </si>
  <si>
    <t xml:space="preserve"> Staničení: 0,21283 - 0,2136: 0,408295506514348 (2c7dpI16IXu000000018PC) = 0,408 [P]</t>
  </si>
  <si>
    <t xml:space="preserve"> Staničení: 0,21032 - 0,2136: 0,10876066629564 (2c7dpI16IXu000000018PO) = 0,109 [Q]</t>
  </si>
  <si>
    <t xml:space="preserve"> Staničení: 0,20705 - 0,21033: 1,25702866164419 (2c7dpI16IXu000000018Pa) = 1,257 [R]</t>
  </si>
  <si>
    <t xml:space="preserve"> Staničení: 0,20542 - 0,20641: 0,21675165260279 (2c7dpI16IXu000000018Pm) = 0,217 [S]</t>
  </si>
  <si>
    <t xml:space="preserve"> Staničení: 0,20728 - 0,20857: 0,00938608680463077 (2c7dpI16IXu000000018Py) = 0,009 [T]</t>
  </si>
  <si>
    <t xml:space="preserve"> Staničení: 0,16499 - 0,1711: 0,306894237339164 (2c7dpI16IXu000000018My) = 0,307 [U]</t>
  </si>
  <si>
    <t xml:space="preserve"> Staničení: 0,18621 - 0,18772: 0,432066795211433 (2c7dpI16IXu000000018P0) = 0,432 [V]</t>
  </si>
  <si>
    <t xml:space="preserve"> Staničení: 0,179 - 0,18281: 0,0215246076366408 (2c7dpI16IXu000000018S0) = 0,022 [W]</t>
  </si>
  <si>
    <t xml:space="preserve"> Staničení: 0,10096 - 0,10551: 0,487736040085736 (2c7dpI16IXu000000018Mb) = 0,488 [X]</t>
  </si>
  <si>
    <t xml:space="preserve"> Staničení: 0,179 - 0,18281: 0,783772863141463 (2c7dpI16IXu000000018RG) = 0,784 [Y]</t>
  </si>
  <si>
    <t xml:space="preserve"> Staničení: 0,179 - 0,1801: 0,553078135452471 (2c7dpI16IXu000000018OG) = 0,553 [Z]</t>
  </si>
  <si>
    <t xml:space="preserve"> Staničení: 0,179 - 0,18281: 1,54770872027258 (2c7dpI16IXu000000018RS) = 1,548 [AA]</t>
  </si>
  <si>
    <t xml:space="preserve"> Staničení: 0,179 - 0,18287: 0,940672143931523 (2c7dpI16IXu000000018OS) = 0,941 [AB]</t>
  </si>
  <si>
    <t xml:space="preserve"> Staničení: 0,21033 - 0,2136: 1,12307847848648 (2c7dpI16IXu000000018Re) = 1,123 [AC]</t>
  </si>
  <si>
    <t xml:space="preserve"> Staničení: 0,18279 - 0,18674: 1,31674941473197 (2c7dpI16IXu000000018Oe) = 1,317 [AD]</t>
  </si>
  <si>
    <t xml:space="preserve"> Staničení: 0,179 - 0,18281: 0,0078825595158915 (2c7dpI16IXu000000018Rq) = 0,008 [AE]</t>
  </si>
  <si>
    <t xml:space="preserve"> Staničení: 0,18579 - 0,18765: 0,320102370936894 (2c7dpI16IXu000000018Oq) = 0,320 [AF]</t>
  </si>
  <si>
    <t xml:space="preserve"> Staničení: 0,21175 - 0,2136: 0,0236217026999391 (2c7dpI16IXu000000018R4) = 0,024 [AG]</t>
  </si>
  <si>
    <t xml:space="preserve"> Staničení: 0,18621 - 0,18772: 0,0577366292615278 (2c7dpI16IXu000000018O4) = 0,058 [AH]</t>
  </si>
  <si>
    <t xml:space="preserve"> Celkové množství 27.662000 = 27,662 [AI]</t>
  </si>
  <si>
    <t xml:space="preserve"> Staničení: 1,13948 - 1,14103: 2,9909847218607 (2c7dpI16IXu00000000ycP) = 2,991 [A]</t>
  </si>
  <si>
    <t xml:space="preserve"> Staničení: 0,9529 - 0,9551: 3,26109654580498 (2c7dpI16IXu00000000bu9) = 3,261 [B]</t>
  </si>
  <si>
    <t xml:space="preserve"> Staničení: 1,10829 - 1,10984: 4,25285794326533 (2c7dpI16IXu00000000eEP) = 4,253 [C]</t>
  </si>
  <si>
    <t xml:space="preserve"> Staničení: 0,86176 - 0,86395: 4,03722629583099 (2c7dpI16IXu00000000cdM) = 4,037 [D]</t>
  </si>
  <si>
    <t xml:space="preserve"> Staničení: 0,8454 - 0,84759: 3,31531516915036 (2c7dpI16IXu00000000Wf8) = 3,315 [E]</t>
  </si>
  <si>
    <t xml:space="preserve"> Staničení: 1,10887 - 1,11042: 4,0104561026054 (2c7dpI16IXu00000000YLs) = 4,010 [F]</t>
  </si>
  <si>
    <t xml:space="preserve"> Staničení: 0,99722 - 0,99877: 4,55943739721814 (2c7dpI16IXu00000000bcx) = 4,559 [G]</t>
  </si>
  <si>
    <t xml:space="preserve"> Staničení: 0,95323 - 0,95478: 4,59496359569406 (2c7dpI16IXu00000000tPh) = 4,595 [H]</t>
  </si>
  <si>
    <t xml:space="preserve"> Staničení: 0,67192 - 0,67355: 4,83603781829494 (2c7dpI16IXu00000000zDc) = 4,836 [I]</t>
  </si>
  <si>
    <t xml:space="preserve"> Staničení: 1,13946 - 1,14107: 2,89796384045969 (2c7dpI16IXu00000000WbE) = 2,898 [J]</t>
  </si>
  <si>
    <t xml:space="preserve"> Staničení: 1,0849 - 1,0871: 3,30134656696339 (2c7dpI16IXu00000000Z5b) = 3,301 [K]</t>
  </si>
  <si>
    <t xml:space="preserve"> Staničení: 0,68124 - 0,68339: 4,20804547577173 (2c7dpI16IXu00000000Wf3) = 4,208 [L]</t>
  </si>
  <si>
    <t xml:space="preserve"> Staničení: 0,7921 - 0,79367: 4,24368992632121 (2c7dpI16IXu00000000Wf9) = 4,244 [M]</t>
  </si>
  <si>
    <t xml:space="preserve"> Staničení: 1,04089 - 1,04309: 3,07521767248871 (2c7dpI16IXu00000000rsI) = 3,075 [N]</t>
  </si>
  <si>
    <t xml:space="preserve"> Staničení: 0,77714 - 0,7793: 4,67310346124783 (2c7dpI16IXu00000000wuh) = 4,673 [O]</t>
  </si>
  <si>
    <t xml:space="preserve"> Staničení: 0,75886 - 0,76046: 3,77865208466882 (2c7dpI16IXu00000000whv) = 3,779 [P]</t>
  </si>
  <si>
    <t xml:space="preserve"> Staničení: 0,67125 - 0,67288: 3,0872707457385 (2c7dpI16IXu00000000zCg) = 3,087 [Q]</t>
  </si>
  <si>
    <t xml:space="preserve"> Staničení: 0,75893 - 0,76056: 3,11568363092249 (2c7dpI16IXu000000010lS) = 3,116 [R]</t>
  </si>
  <si>
    <t xml:space="preserve"> Staničení: 0,9969 - 0,9991: 3,28178248809733 (2c7dpI16IXu00000000bTq) = 3,282 [S]</t>
  </si>
  <si>
    <t xml:space="preserve"> Staničení: 0,91186 - 0,91405: 3,33155428736685 (2c7dpI16IXu00000000cIl) = 3,332 [T]</t>
  </si>
  <si>
    <t xml:space="preserve"> Staničení: 0,71753 - 0,71915: 4,47845081289877 (2c7dpI16IXu00000000dzs) = 4,478 [U]</t>
  </si>
  <si>
    <t xml:space="preserve"> Staničení: 1,0409 - 1,0431: 3,27123998237265 (2c7dpI16IXu00000000WcU) = 3,271 [V]</t>
  </si>
  <si>
    <t xml:space="preserve"> Staničení: 0,86218 - 0,86436: 3,31304510035699 (2c7dpI16IXu00000000Wf5) = 3,313 [W]</t>
  </si>
  <si>
    <t xml:space="preserve"> Staničení: 1,08523 - 1,08678: 3,96911224722322 (2c7dpI16IXu00000000Zl2) = 3,969 [X]</t>
  </si>
  <si>
    <t xml:space="preserve"> Staničení: 0,97777 - 0,97996: 4,19373193137382 (2c7dpI16IXu00000000x4s) = 4,194 [Y]</t>
  </si>
  <si>
    <t xml:space="preserve"> Staničení: 0,9109 - 0,91251: 3,69107477434758 (2c7dpI16IXu00000000igr) = 3,691 [Z]</t>
  </si>
  <si>
    <t xml:space="preserve"> Staničení: 1,10854 - 1,11074: 3,19755013047363 (2c7dpI16IXu00000000YDa) = 3,198 [AA]</t>
  </si>
  <si>
    <t xml:space="preserve"> Staničení: 0,84526 - 0,84745: 3,32741725760634 (2c7dpI16IXu00000000d1t) = 3,327 [AB]</t>
  </si>
  <si>
    <t xml:space="preserve"> Celkové množství 104.293000 = 104,293 [AC]</t>
  </si>
  <si>
    <t>132832</t>
  </si>
  <si>
    <t>HLOUBENÍ RÝH ŠÍŘ DO 2M PAŽ I NEPAŽ TŘ. II, ODVOZ DO 2KM</t>
  </si>
  <si>
    <t>Další specifikace:
Zpětné použití do násypů:
Klasifikace zemin / hornin:
F4 CS, S5 SC, F5ML/MI, F6 CI, S4 SM, S3 S-F, G3 G-F, R6-R4:
Třída těžitelnosti:
2:</t>
  </si>
  <si>
    <t xml:space="preserve"> Staničení: 0,97913 - 0,99021: 19,3870445124996 (2c7dpI16IXu00000000x5N) = 19,387 [A]</t>
  </si>
  <si>
    <t xml:space="preserve"> Staničení: 0,76046 - 0,76065: 0,032958510773902 (2c7dpI16IXu00000000wjk) = 0,033 [B]</t>
  </si>
  <si>
    <t xml:space="preserve"> Staničení: 0,91323 - 0,92278: 13,4557343946172 (2c7dpI16IXu00000000WaW) = 13,456 [C]</t>
  </si>
  <si>
    <t xml:space="preserve"> Staničení: 1,08633 - 1,09598: 13,0507262577314 (2c7dpI16IXu00000000ejz) = 13,051 [D]</t>
  </si>
  <si>
    <t xml:space="preserve"> Staničení: 1,08678 - 1,08695: 0,0262471461263252 (2c7dpI16IXu00000000eoi) = 0,026 [E]</t>
  </si>
  <si>
    <t xml:space="preserve"> Staničení: 0,71808 - 0,72003: 2,34743264270972 (2c7dpI16IXu00000000dzr) = 2,347 [F]</t>
  </si>
  <si>
    <t xml:space="preserve"> Staničení: 0,95478 - 0,95495: 0,0300276822869623 (2c7dpI16IXu00000000ft$) = 0,030 [G]</t>
  </si>
  <si>
    <t xml:space="preserve"> Staničení: 0,8632 - 0,86789: 5,46669493064476 (2c7dpI16IXu00000000WaT) = 5,467 [H]</t>
  </si>
  <si>
    <t xml:space="preserve"> Staničení: 0,99877 - 0,99895: 0,0309801319730222 (2c7dpI16IXu00000000fHx) = 0,031 [I]</t>
  </si>
  <si>
    <t xml:space="preserve"> Staničení: 0,84664 - 0,8591: 15,9597718937211 (2c7dpI16IXu00000000WaS) = 15,960 [J]</t>
  </si>
  <si>
    <t xml:space="preserve"> Staničení: 0,95433 - 0,96399: 14,215958591686 (2c7dpI16IXu00000000fhU) = 14,216 [K]</t>
  </si>
  <si>
    <t xml:space="preserve"> Staničení: 0,79314 - 0,79435: 0,485833451399399 (2c7dpI16IXu00000000dow) = 0,486 [L]</t>
  </si>
  <si>
    <t xml:space="preserve"> Staničení: 0,15378 - 0,17103: 42,3923465074597 (2c7dpI16IXu000000018SC) = 42,392 [M]</t>
  </si>
  <si>
    <t xml:space="preserve"> Staničení: 0,15516 - 0,16087: 0,138929097341742 (2c7dpI16IXu000000018jO) = 0,139 [N]</t>
  </si>
  <si>
    <t xml:space="preserve"> Staničení: 0,77849 - 0,78949: 14,8176004959596 (2c7dpI16IXu00000000wuv) = 14,818 [O]</t>
  </si>
  <si>
    <t xml:space="preserve"> Staničení: 0,99833 - 1,00799: 14,5264150090292 (2c7dpI16IXu00000000f5L) = 14,526 [P]</t>
  </si>
  <si>
    <t xml:space="preserve"> Staničení: 1,10997 - 1,11955: 12,6991786345546 (2c7dpI16IXu00000000hSA) = 12,699 [Q]</t>
  </si>
  <si>
    <t xml:space="preserve"> Staničení: 1,1093 - 1,12123: 17,3768645814834 (2c7dpI16IXu00000000zHY) = 17,377 [R]</t>
  </si>
  <si>
    <t xml:space="preserve"> Staničení: 1,04233 - 1,05199: 13,9029758387825 (2c7dpI16IXu00000000eyY) = 13,903 [S]</t>
  </si>
  <si>
    <t xml:space="preserve"> Staničení: 0,75893 - 0,76056: 2,87543363759279 (2c7dpI16IXu00000000xIm) = 2,875 [T]</t>
  </si>
  <si>
    <t xml:space="preserve"> Staničení: 0,10096 - 0,13103: 41,8229229534519 (2c7dpI16IXu000000018Mn) = 41,823 [U]</t>
  </si>
  <si>
    <t xml:space="preserve"> Staničení: 1,11042 - 1,1106: 0,0278455927965469 (2c7dpI16IXu00000000h2b) = 0,028 [V]</t>
  </si>
  <si>
    <t xml:space="preserve"> Staničení: 1,14053 - 1,14082: 0,0826052353308312 (2c7dpI16IXu00000000ylk) = 0,083 [W]</t>
  </si>
  <si>
    <t xml:space="preserve"> Staničení: 0,84678 - 0,85111: 4,61059698280973 (2c7dpI16IXu00000000dk_) = 4,611 [X]</t>
  </si>
  <si>
    <t xml:space="preserve"> Staničení: 0,86361 - 0,87733: 13,9436018191737 (2c7dpI16IXu00000000WaU) = 13,944 [Y]</t>
  </si>
  <si>
    <t xml:space="preserve"> Staničení: 0,68254 - 0,69272: 16,3973271991533 (2c7dpI16IXu00000000e1M) = 16,397 [Z]</t>
  </si>
  <si>
    <t xml:space="preserve"> Staničení: 1,04264 - 1,04295: 0,0906758000191001 (2c7dpI16IXu00000000ewA) = 0,091 [AA]</t>
  </si>
  <si>
    <t xml:space="preserve"> Staničení: 0,6735 - 0,6848: 13,2682101647889 (2c7dpI16IXu00000000zE1) = 13,268 [AB]</t>
  </si>
  <si>
    <t xml:space="preserve"> Staničení: 0,18009 - 0,21283: 84,4503494416182 (2c7dpI16IXu000000018SN) = 84,450 [AC]</t>
  </si>
  <si>
    <t xml:space="preserve"> Celkové množství 377.914000 = 377,914 [AD]</t>
  </si>
  <si>
    <t xml:space="preserve"> Staničení: 0,97913 - 0,99021: 19,3870445124996 (2c7dpI16IXu00000000x5N) = 19,387 [B]</t>
  </si>
  <si>
    <t xml:space="preserve"> Staničení: 0,76046 - 0,76065: 0,032958510773902 (2c7dpI16IXu00000000wjk) = 0,033 [C]</t>
  </si>
  <si>
    <t xml:space="preserve"> Staničení: 0,9529 - 0,9551: 3,26109654580498 (2c7dpI16IXu00000000bu9) = 3,261 [D]</t>
  </si>
  <si>
    <t xml:space="preserve"> Staničení: 0,91323 - 0,92278: 13,4557343946172 (2c7dpI16IXu00000000WaW) = 13,456 [E]</t>
  </si>
  <si>
    <t xml:space="preserve"> Staničení: 1,10829 - 1,10984: 4,25285794326533 (2c7dpI16IXu00000000eEP) = 4,253 [F]</t>
  </si>
  <si>
    <t xml:space="preserve"> Staničení: 1,08633 - 1,09598: 13,0507262577314 (2c7dpI16IXu00000000ejz) = 13,051 [G]</t>
  </si>
  <si>
    <t xml:space="preserve"> Staničení: 0,86176 - 0,86395: 4,03722629583099 (2c7dpI16IXu00000000cdM) = 4,037 [H]</t>
  </si>
  <si>
    <t xml:space="preserve"> Staničení: 0,8454 - 0,84759: 3,31531516915036 (2c7dpI16IXu00000000Wf8) = 3,315 [I]</t>
  </si>
  <si>
    <t xml:space="preserve"> Staničení: 1,10887 - 1,11042: 4,0104561026054 (2c7dpI16IXu00000000YLs) = 4,010 [J]</t>
  </si>
  <si>
    <t xml:space="preserve"> Staničení: 1,08678 - 1,08695: 0,0262471461263252 (2c7dpI16IXu00000000eoi) = 0,026 [K]</t>
  </si>
  <si>
    <t xml:space="preserve"> Staničení: 0,71808 - 0,72003: 2,34743264270972 (2c7dpI16IXu00000000dzr) = 2,347 [L]</t>
  </si>
  <si>
    <t xml:space="preserve"> Staničení: 0,99722 - 0,99877: 4,55943739721814 (2c7dpI16IXu00000000bcx) = 4,559 [M]</t>
  </si>
  <si>
    <t xml:space="preserve"> Staničení: 0,95478 - 0,95495: 0,0300276822869623 (2c7dpI16IXu00000000ft$) = 0,030 [N]</t>
  </si>
  <si>
    <t xml:space="preserve"> Staničení: 0,95323 - 0,95478: 4,59496359569406 (2c7dpI16IXu00000000tPh) = 4,595 [O]</t>
  </si>
  <si>
    <t xml:space="preserve"> Staničení: 0,8632 - 0,86789: 5,46669493064476 (2c7dpI16IXu00000000WaT) = 5,467 [P]</t>
  </si>
  <si>
    <t xml:space="preserve"> Staničení: 0,99877 - 0,99895: 0,0309801319730222 (2c7dpI16IXu00000000fHx) = 0,031 [Q]</t>
  </si>
  <si>
    <t xml:space="preserve"> Staničení: 0,67192 - 0,67355: 4,83603781829494 (2c7dpI16IXu00000000zDc) = 4,836 [R]</t>
  </si>
  <si>
    <t xml:space="preserve"> Staničení: 1,13946 - 1,14107: 2,89796384045969 (2c7dpI16IXu00000000WbE) = 2,898 [S]</t>
  </si>
  <si>
    <t xml:space="preserve"> Staničení: 0,84664 - 0,8591: 15,9597718937211 (2c7dpI16IXu00000000WaS) = 15,960 [T]</t>
  </si>
  <si>
    <t xml:space="preserve"> Staničení: 1,0849 - 1,0871: 3,30134656696339 (2c7dpI16IXu00000000Z5b) = 3,301 [U]</t>
  </si>
  <si>
    <t xml:space="preserve"> Staničení: 0,68124 - 0,68339: 4,20804547577173 (2c7dpI16IXu00000000Wf3) = 4,208 [V]</t>
  </si>
  <si>
    <t xml:space="preserve"> Staničení: 0,95433 - 0,96399: 14,215958591686 (2c7dpI16IXu00000000fhU) = 14,216 [W]</t>
  </si>
  <si>
    <t xml:space="preserve"> Staničení: 0,79314 - 0,79435: 0,485833451399399 (2c7dpI16IXu00000000dow) = 0,486 [X]</t>
  </si>
  <si>
    <t xml:space="preserve"> Staničení: 0,7921 - 0,79367: 4,24368992632121 (2c7dpI16IXu00000000Wf9) = 4,244 [Y]</t>
  </si>
  <si>
    <t xml:space="preserve"> Staničení: 0,15378 - 0,17103: 42,3923465074597 (2c7dpI16IXu000000018SC) = 42,392 [Z]</t>
  </si>
  <si>
    <t xml:space="preserve"> Staničení: 1,04089 - 1,04309: 3,07521767248871 (2c7dpI16IXu00000000rsI) = 3,075 [AA]</t>
  </si>
  <si>
    <t xml:space="preserve"> Staničení: 0,15516 - 0,16087: 0,138929097341742 (2c7dpI16IXu000000018jO) = 0,139 [AB]</t>
  </si>
  <si>
    <t xml:space="preserve"> Staničení: 0,77714 - 0,7793: 4,67310346124783 (2c7dpI16IXu00000000wuh) = 4,673 [AC]</t>
  </si>
  <si>
    <t xml:space="preserve"> Staničení: 0,77849 - 0,78949: 14,8176004959596 (2c7dpI16IXu00000000wuv) = 14,818 [AD]</t>
  </si>
  <si>
    <t xml:space="preserve"> Staničení: 0,75886 - 0,76046: 3,77865208466882 (2c7dpI16IXu00000000whv) = 3,779 [AE]</t>
  </si>
  <si>
    <t xml:space="preserve"> Staničení: 0,99833 - 1,00799: 14,5264150090292 (2c7dpI16IXu00000000f5L) = 14,526 [AF]</t>
  </si>
  <si>
    <t xml:space="preserve"> Staničení: 1,10997 - 1,11955: 12,6991786345546 (2c7dpI16IXu00000000hSA) = 12,699 [AG]</t>
  </si>
  <si>
    <t xml:space="preserve"> Staničení: 1,1093 - 1,12123: 17,3768645814834 (2c7dpI16IXu00000000zHY) = 17,377 [AH]</t>
  </si>
  <si>
    <t xml:space="preserve"> Staničení: 1,04233 - 1,05199: 13,9029758387825 (2c7dpI16IXu00000000eyY) = 13,903 [AI]</t>
  </si>
  <si>
    <t xml:space="preserve"> Staničení: 0,75893 - 0,76056: 2,87543363759279 (2c7dpI16IXu00000000xIm) = 2,875 [AJ]</t>
  </si>
  <si>
    <t xml:space="preserve"> Staničení: 0,67125 - 0,67288: 3,0872707457385 (2c7dpI16IXu00000000zCg) = 3,087 [AK]</t>
  </si>
  <si>
    <t xml:space="preserve"> Staničení: 0,75893 - 0,76056: 3,11568363092249 (2c7dpI16IXu000000010lS) = 3,116 [AL]</t>
  </si>
  <si>
    <t xml:space="preserve"> Staničení: 0,10096 - 0,13103: 41,8229229534519 (2c7dpI16IXu000000018Mn) = 41,823 [AM]</t>
  </si>
  <si>
    <t xml:space="preserve"> Staničení: 1,11042 - 1,1106: 0,0278455927965469 (2c7dpI16IXu00000000h2b) = 0,028 [AN]</t>
  </si>
  <si>
    <t xml:space="preserve"> Staničení: 1,14053 - 1,14082: 0,0826052353308312 (2c7dpI16IXu00000000ylk) = 0,083 [AO]</t>
  </si>
  <si>
    <t xml:space="preserve"> Staničení: 0,9969 - 0,9991: 3,28178248809733 (2c7dpI16IXu00000000bTq) = 3,282 [AP]</t>
  </si>
  <si>
    <t xml:space="preserve"> Staničení: 0,91186 - 0,91405: 3,33155428736685 (2c7dpI16IXu00000000cIl) = 3,332 [AQ]</t>
  </si>
  <si>
    <t xml:space="preserve"> Staničení: 0,84678 - 0,85111: 4,61059698280973 (2c7dpI16IXu00000000dk_) = 4,611 [AR]</t>
  </si>
  <si>
    <t xml:space="preserve"> Staničení: 0,71753 - 0,71915: 4,47845081289877 (2c7dpI16IXu00000000dzs) = 4,478 [AS]</t>
  </si>
  <si>
    <t xml:space="preserve"> Staničení: 0,86361 - 0,87733: 13,9436018191737 (2c7dpI16IXu00000000WaU) = 13,944 [AT]</t>
  </si>
  <si>
    <t xml:space="preserve"> Staničení: 1,0409 - 1,0431: 3,27123998237265 (2c7dpI16IXu00000000WcU) = 3,271 [AU]</t>
  </si>
  <si>
    <t xml:space="preserve"> Staničení: 0,86218 - 0,86436: 3,31304510035699 (2c7dpI16IXu00000000Wf5) = 3,313 [AV]</t>
  </si>
  <si>
    <t xml:space="preserve"> Staničení: 1,08523 - 1,08678: 3,96911224722322 (2c7dpI16IXu00000000Zl2) = 3,969 [AW]</t>
  </si>
  <si>
    <t xml:space="preserve"> Staničení: 0,68254 - 0,69272: 16,3973271991533 (2c7dpI16IXu00000000e1M) = 16,397 [AX]</t>
  </si>
  <si>
    <t xml:space="preserve"> Staničení: 0,97777 - 0,97996: 4,19373193137382 (2c7dpI16IXu00000000x4s) = 4,194 [AY]</t>
  </si>
  <si>
    <t xml:space="preserve"> Staničení: 0,9109 - 0,91251: 3,69107477434758 (2c7dpI16IXu00000000igr) = 3,691 [AZ]</t>
  </si>
  <si>
    <t xml:space="preserve"> Staničení: 1,10854 - 1,11074: 3,19755013047363 (2c7dpI16IXu00000000YDa) = 3,198 [BA]</t>
  </si>
  <si>
    <t xml:space="preserve"> Staničení: 1,04264 - 1,04295: 0,0906758000191001 (2c7dpI16IXu00000000ewA) = 0,091 [BB]</t>
  </si>
  <si>
    <t xml:space="preserve"> Staničení: 0,84526 - 0,84745: 3,32741725760634 (2c7dpI16IXu00000000d1t) = 3,327 [BC]</t>
  </si>
  <si>
    <t xml:space="preserve"> Staničení: 0,6735 - 0,6848: 13,2682101647889 (2c7dpI16IXu00000000zE1) = 13,268 [BD]</t>
  </si>
  <si>
    <t xml:space="preserve"> Staničení: 0,18009 - 0,21283: 84,4503494416182 (2c7dpI16IXu000000018SN) = 84,450 [BE]</t>
  </si>
  <si>
    <t xml:space="preserve"> Celkové množství 482.207000 = 482,207 [BF]</t>
  </si>
  <si>
    <t>Další specifikace:
Nd:
Klasifikace zemin / hornin:
G1:
Materiál:
hutněná lomová výsivka nebo štěrk G1 dobře zrněný 0/20:
podrobná specifikace:
zásyp hutněný po vrstvách:
Reference:
ČSN 73 6126-1, D.1.6, D.1.7, D.1.1, technická zpráva:
specifikace:
hutněno na 95%PS:
Třída těžitelnosti:
1:</t>
  </si>
  <si>
    <t xml:space="preserve"> Staničení: 0,12793 - 0,12911: 0,360061927511973 (2c7dpI16IXu000000018Sw) = 0,360 [A]</t>
  </si>
  <si>
    <t xml:space="preserve"> Staničení: 0,10467 - 0,12729: 12,4993801716269 (2c7dpI16IXu000000018TI) = 12,499 [B]</t>
  </si>
  <si>
    <t xml:space="preserve"> Staničení: 0,20861 - 0,20993: 0,674333494058662 (2c7dpI16IXu000000018Uc) = 0,674 [C]</t>
  </si>
  <si>
    <t xml:space="preserve"> Staničení: 0,15828 - 0,15979: 0,31632339103486 (2c7dpI16IXu000000018U2) = 0,316 [D]</t>
  </si>
  <si>
    <t xml:space="preserve"> Staničení: 0,15763 - 0,16982: 109,474217894016 (2c7dpI16IXu000000018TU) = 109,474 [E]</t>
  </si>
  <si>
    <t xml:space="preserve"> Staničení: 0,18296 - 0,18427: 0,620152622112666 (2c7dpI16IXu000000018Uo) = 0,620 [F]</t>
  </si>
  <si>
    <t xml:space="preserve"> Staničení: 0,18459 - 0,20828: 69,624934240773 (2c7dpI16IXu000000018VA) = 69,625 [G]</t>
  </si>
  <si>
    <t xml:space="preserve"> Staničení: 0,15766 - 0,15925: 0,788958300121372 (2c7dpI16IXu000000018Tg) = 0,789 [H]</t>
  </si>
  <si>
    <t xml:space="preserve"> Staničení: 0,10289 - 0,10414: 0,395077966324666 (2c7dpI16IXu000000018T6) = 0,395 [I]</t>
  </si>
  <si>
    <t xml:space="preserve"> Staničení: 0,1046 - 0,10537: 0,119868508375564 (2c7dpI16IXu000000018SY) = 0,120 [J]</t>
  </si>
  <si>
    <t xml:space="preserve"> Staničení: 0,16759 - 0,16914: 0,286023304360323 (2c7dpI16IXu000000018Ts) = 0,286 [K]</t>
  </si>
  <si>
    <t xml:space="preserve"> Staničení: 0,16815 - 0,16982: 1,02707433529488 (2c7dpI16IXu000000018UE) = 1,027 [L]</t>
  </si>
  <si>
    <t xml:space="preserve"> Staničení: 0,20726 - 0,20813: 0,249872377522749 (2c7dpI16IXu000000018U_) = 0,250 [M]</t>
  </si>
  <si>
    <t xml:space="preserve"> Staničení: 0,18473 - 0,18567: 0,264379591318525 (2c7dpI16IXu000000018UQ) = 0,264 [N]</t>
  </si>
  <si>
    <t xml:space="preserve"> Staničení: 0,12663 - 0,12744: 0,121193184731454 (2c7dpI16IXu000000018Sk) = 0,121 [O]</t>
  </si>
  <si>
    <t xml:space="preserve"> Celkové množství 196.820000 = 196,820 [P]</t>
  </si>
  <si>
    <t>Materiál:
ŠDA:
podrobná specifikace:
GE, zásyp hutněný po vrstvách:
Reference:
ČSN 73 6126-1, ČSN EN 1401-1, ČSN 75 6909, ČSN EN 1610, D.1.2 situace, D.1.1 technická zpráva, D.1.13 vzorové uložení přípojek,:
specifikace:
ŠDA fr. 0/63:</t>
  </si>
  <si>
    <t xml:space="preserve"> Staničení: 0,77849 - 0,78951: 5,57506334702139 (2c7dpI16IXu00000000$94) = 5,575 [C]</t>
  </si>
  <si>
    <t xml:space="preserve"> Staničení: 0,71914 - 0,71962: 0,0777217224741269 (2c7dpI16IXu00000000mIU) = 0,078 [F]</t>
  </si>
  <si>
    <t xml:space="preserve"> Staničení: 0,76046 - 0,76068: 0,0327103062370798 (2c7dpI16IXu00000000wjl) = 0,033 [G]</t>
  </si>
  <si>
    <t xml:space="preserve"> Staničení: 0,6735 - 0,6848: 7,90888680044008 (2c7dpI16IXu00000000$2W) = 7,909 [I]</t>
  </si>
  <si>
    <t xml:space="preserve"> Staničení: 0,86361 - 0,87638: 1,76229778897707 (2c7dpI16IXu00000000jC2) = 1,762 [K]</t>
  </si>
  <si>
    <t xml:space="preserve"> Staničení: 0,79313 - 0,79435: 0,155234851664798 (2c7dpI16IXu00000000kyx) = 0,155 [M]</t>
  </si>
  <si>
    <t xml:space="preserve"> Staničení: 0,84678 - 0,85111: 1,23831193606147 (2c7dpI16IXu00000000kDx) = 1,238 [N]</t>
  </si>
  <si>
    <t xml:space="preserve"> Staničení: 0,84664 - 0,8591: 4,82325713210505 (2c7dpI16IXu00000000dZn) = 4,823 [O]</t>
  </si>
  <si>
    <t xml:space="preserve"> Staničení: 0,86319 - 0,86789: 2,01838740388908 (2c7dpI16IXu00000000cte) = 2,018 [R]</t>
  </si>
  <si>
    <t xml:space="preserve"> Staničení: 0,86361 - 0,87692: 5,47879541866556 (2c7dpI16IXu00000000jFs) = 5,479 [S]</t>
  </si>
  <si>
    <t xml:space="preserve"> Staničení: 0,68253 - 0,69272: 6,94163245439264 (2c7dpI16IXu00000000m_L) = 6,942 [W]</t>
  </si>
  <si>
    <t xml:space="preserve"> Mezisoučet 36.012000 = 36,012 [A]</t>
  </si>
  <si>
    <t xml:space="preserve"> Staničení: 0,86218 - 0,86436: 1,63101597790686 (2c7dpI16IXu00000000rlY) = 1,631 [A]</t>
  </si>
  <si>
    <t xml:space="preserve"> Staničení: 0,68124 - 0,68339: 3,25265262599642 (2c7dpI16IXu00000000rn9) = 3,253 [B]</t>
  </si>
  <si>
    <t xml:space="preserve"> Staničení: 0,91186 - 0,91405: 1,65106923573659 (2c7dpI16IXu00000000rgO) = 1,651 [C]</t>
  </si>
  <si>
    <t xml:space="preserve"> Staničení: 1,0409 - 1,0431: 1,59591707900492 (2c7dpI16IXu00000000rcw) = 1,596 [D]</t>
  </si>
  <si>
    <t xml:space="preserve"> Staničení: 0,75886 - 0,76046: 2,33026876631499 (2c7dpI16IXu00000000xa$) = 2,330 [E]</t>
  </si>
  <si>
    <t xml:space="preserve"> Staničení: 0,67192 - 0,67355: 3,77682102796135 (2c7dpI16IXu000000018t7) = 3,777 [F]</t>
  </si>
  <si>
    <t xml:space="preserve"> Staničení: 0,77714 - 0,7793: 3,39084913516873 (2c7dpI16IXu00000000xoi) = 3,391 [G]</t>
  </si>
  <si>
    <t xml:space="preserve"> Staničení: 0,67125 - 0,67287: 1,52590741681329 (2c7dpI16IXu00000000zDK) = 1,526 [H]</t>
  </si>
  <si>
    <t xml:space="preserve"> Staničení: 0,86176 - 0,86395: 2,28864787518953 (2c7dpI16IXu00000000rl2) = 2,289 [I]</t>
  </si>
  <si>
    <t xml:space="preserve"> Staničení: 1,0849 - 1,0871: 1,6126602850239 (2c7dpI16IXu00000000rc2) = 1,613 [J]</t>
  </si>
  <si>
    <t xml:space="preserve"> Staničení: 1,04089 - 1,04309: 2,167684546106 (2c7dpI16IXu00000000tPH) = 2,168 [K]</t>
  </si>
  <si>
    <t xml:space="preserve"> Staničení: 0,75893 - 0,76056: 2,54099650819958 (2c7dpI16IXu00000000$ak) = 2,541 [L]</t>
  </si>
  <si>
    <t xml:space="preserve"> Staničení: 1,13948 - 1,14103: 1,96089251197823 (2c7dpI16IXu00000000yg_) = 1,961 [M]</t>
  </si>
  <si>
    <t xml:space="preserve"> Staničení: 0,9529 - 0,9551: 1,57470463375092 (2c7dpI16IXu00000000reC) = 1,575 [N]</t>
  </si>
  <si>
    <t xml:space="preserve"> Staničení: 0,9109 - 0,91251: 2,05330543582316 (2c7dpI16IXu00000000rgi) = 2,053 [O]</t>
  </si>
  <si>
    <t xml:space="preserve"> Staničení: 0,9969 - 0,9991: 1,59461387142009 (2c7dpI16IXu00000000rdI) = 1,595 [P]</t>
  </si>
  <si>
    <t xml:space="preserve"> Staničení: 0,71753 - 0,71915: 2,70918847502386 (2c7dpI16IXu00000000rn8) = 2,709 [Q]</t>
  </si>
  <si>
    <t xml:space="preserve"> Staničení: 0,99722 - 0,99877: 2,77020831885432 (2c7dpI16IXu00000000rf4) = 2,770 [R]</t>
  </si>
  <si>
    <t xml:space="preserve"> Staničení: 0,7921 - 0,79367: 2,2788487038931 (2c7dpI16IXu00000000yKn) = 2,279 [S]</t>
  </si>
  <si>
    <t xml:space="preserve"> Staničení: 1,10829 - 1,10984: 3,250115442784 (2c7dpI16IXu00000000zH9) = 3,250 [T]</t>
  </si>
  <si>
    <t xml:space="preserve"> Staničení: 0,8454 - 0,84759: 1,6329647944239 (2c7dpI16IXu00000000rlk) = 1,633 [U]</t>
  </si>
  <si>
    <t xml:space="preserve"> Staničení: 0,95323 - 0,95478: 2,90329324119707 (2c7dpI16IXu00000000rdk) = 2,903 [V]</t>
  </si>
  <si>
    <t xml:space="preserve"> Staničení: 1,10887 - 1,11042: 2,38694940616657 (2c7dpI16IXu00000000reg) = 2,387 [W]</t>
  </si>
  <si>
    <t xml:space="preserve"> Staničení: 1,08523 - 1,08678: 2,3509544786528 (2c7dpI16IXu00000000rbg) = 2,351 [X]</t>
  </si>
  <si>
    <t xml:space="preserve"> Staničení: 0,84526 - 0,84745: 1,65003763657007 (2c7dpI16IXu00000000rlG) = 1,650 [Y]</t>
  </si>
  <si>
    <t xml:space="preserve"> Staničení: 1,10854 - 1,11074: 1,66526688659759 (2c7dpI16IXu00000000rbG) = 1,665 [Z]</t>
  </si>
  <si>
    <t xml:space="preserve"> Staničení: 0,97777 - 0,97996: 3,29151319103577 (2c7dpI16IXu00000000x5M) = 3,292 [AA]</t>
  </si>
  <si>
    <t xml:space="preserve"> Staničení: 1,13946 - 1,14107: 2,08444738084493 (2c7dpI16IXu00000000WbD) = 2,084 [AB]</t>
  </si>
  <si>
    <t xml:space="preserve"> Celkové množství 63.923000 = 63,923 [AC]</t>
  </si>
  <si>
    <t>17491</t>
  </si>
  <si>
    <t>ZÁSYP JAM A RÝH Z JINÝCH MATERIÁLŮ</t>
  </si>
  <si>
    <t>Materiál:
ŠDA, ŠD získaná demolicí vrstev ŠD ze stáv. II/353
podrobná specifikace:
GE, zásyp hutněný po vrstvách:
Reference:
ČSN 73 6126-1, ČSN EN 1401-1, ČSN 75 6909, ČSN EN 1610, D.1.2 situace, D.1.1 technická zpráva, D.1.13 vzorové uložení přípojek,:
specifikace:
ŠDA fr. 0/63:</t>
  </si>
  <si>
    <t xml:space="preserve"> Staničení: 0,99877 - 0,99896: 0,00743522626328729 (2c7dpI16IXu00000000fGp) = 0,007 [A]</t>
  </si>
  <si>
    <t xml:space="preserve"> Staničení: 1,11042 - 1,11061: 0,00908191918343239 (2c7dpI16IXu00000001AFD) = 0,009 [B]</t>
  </si>
  <si>
    <t xml:space="preserve"> Staničení: 1,14051 - 1,14082: 0,0293941823094471 (2c7dpI16IXu00000000ylm) = 0,029 [D]</t>
  </si>
  <si>
    <t xml:space="preserve"> Staničení: 1,08678 - 1,08696: 0,00916617939402345 (2c7dpI16IXu00000001AGp) = 0,009 [E]</t>
  </si>
  <si>
    <t xml:space="preserve"> Staničení: 1,04233 - 1,05199: 5,39389276096414 (2c7dpI16IXu00000001AJG) = 5,394 [H]</t>
  </si>
  <si>
    <t xml:space="preserve"> Staničení: 1,10929 - 1,12123: 7,19782599877773 (2c7dpI16IXu00000000$FW) = 7,198 [J]</t>
  </si>
  <si>
    <t xml:space="preserve"> Staničení: 0,99833 - 1,00799: 6,03250403978454 (2c7dpI16IXu00000001AJt) = 6,033 [L]</t>
  </si>
  <si>
    <t xml:space="preserve"> Staničení: 0,95478 - 0,95496: 0,0131467039917318 (2c7dpI16IXu00000000fsh) = 0,013 [P]</t>
  </si>
  <si>
    <t xml:space="preserve"> Staničení: 1,04264 - 1,04296: 0,0277260217533335 (2c7dpI16IXu00000001AIJ) = 0,028 [Q]</t>
  </si>
  <si>
    <t xml:space="preserve"> Staničení: 1,08632 - 1,09598: 4,52528114092006 (2c7dpI16IXu00000001AGC) = 4,525 [T]</t>
  </si>
  <si>
    <t xml:space="preserve"> Staničení: 0,95433 - 0,96399: 5,71432902493986 (2c7dpI16IXu00000000feH) = 5,714 [U]</t>
  </si>
  <si>
    <t xml:space="preserve"> Staničení: 0,97913 - 0,99022: 9,21911205106144 (2c7dpI16IXu00000000xl1) = 9,219 [V]</t>
  </si>
  <si>
    <t xml:space="preserve"> Mezisoučet 38.178000 = 38,178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</si>
  <si>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</si>
  <si>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17581</t>
  </si>
  <si>
    <t>OBSYP POTRUBÍ A OBJEKTŮ Z NAKUPOVANÝCH MATERIÁLŮ</t>
  </si>
  <si>
    <t>Materiál:
ŠDB :
podrobná specifikace:
GN:
Reference:
ČSN 73 6126-1, D.1.13 vzorové uložení přípojek, D.1.1 technická zpráva:
specifikace:
ŠDB fr. 0/32:</t>
  </si>
  <si>
    <t xml:space="preserve"> Staničení: 0,9546 - 0,96399: 1,37439325608422 (2c7dpI16IXu00000000fo6) = 1,374 [A]</t>
  </si>
  <si>
    <t xml:space="preserve"> Staničení: 0,99877 - 0,99896: 0,0140569757471604 (2c7dpI16IXu00000000fFj) = 0,014 [B]</t>
  </si>
  <si>
    <t xml:space="preserve"> Staničení: 1,04233 - 1,05146: 1,33056015513709 (2c7dpI16IXu00000001AJg) = 1,331 [C]</t>
  </si>
  <si>
    <t xml:space="preserve"> Staničení: 1,04264 - 1,04296: 0,0165483659139736 (2c7dpI16IXu00000001AJ3) = 0,017 [D]</t>
  </si>
  <si>
    <t xml:space="preserve"> Staničení: 0,95433 - 0,96346: 1,33055273838093 (2c7dpI16IXu00000000fom) = 1,331 [E]</t>
  </si>
  <si>
    <t xml:space="preserve"> Staničení: 1,08659 - 1,09598: 1,37403626077228 (2c7dpI16IXu00000001AGP) = 1,374 [F]</t>
  </si>
  <si>
    <t xml:space="preserve"> Staničení: 1,11042 - 1,1106: 0,00821022743630566 (2c7dpI16IXu00000001AFz) = 0,008 [G]</t>
  </si>
  <si>
    <t xml:space="preserve"> Staničení: 0,79367 - 0,79435: 0,0637979546445116 (2c7dpI16IXu00000000l2l) = 0,064 [H]</t>
  </si>
  <si>
    <t xml:space="preserve"> Staničení: 0,71914 - 0,71962: 0,0335015236448159 (2c7dpI16IXu00000000mOo) = 0,034 [I]</t>
  </si>
  <si>
    <t xml:space="preserve"> Staničení: 0,99833 - 1,00746: 1,33055038062541 (2c7dpI16IXu00000001ALL) = 1,331 [J]</t>
  </si>
  <si>
    <t xml:space="preserve"> Staničení: 0,68254 - 0,69218: 1,48515114174158 (2c7dpI16IXu00000000nAd) = 1,485 [K]</t>
  </si>
  <si>
    <t xml:space="preserve"> Staničení: 0,84678 - 0,85057: 0,510131285284959 (2c7dpI16IXu00000000kON) = 0,510 [L]</t>
  </si>
  <si>
    <t xml:space="preserve"> Staničení: 0,86386 - 0,87691: 1,80702848303386 (2c7dpI16IXu00000000jKo) = 1,807 [M]</t>
  </si>
  <si>
    <t xml:space="preserve"> Staničení: 0,9794 - 0,99021: 1,65031667179179 (2c7dpI16IXu00000000x5X) = 1,650 [N]</t>
  </si>
  <si>
    <t xml:space="preserve"> Staničení: 0,6735 - 0,6848: 1,33017940867925 (2c7dpI16IXu000000018tj) = 1,330 [O]</t>
  </si>
  <si>
    <t xml:space="preserve"> Staničení: 0,84664 - 0,8591: 3,52635185822238 (2c7dpI16IXu00000000dWO) = 3,526 [P]</t>
  </si>
  <si>
    <t xml:space="preserve"> Staničení: 0,79314 - 0,79381: 0,0198880586261568 (2c7dpI16IXu00000000l7$) = 0,020 [Q]</t>
  </si>
  <si>
    <t xml:space="preserve"> Staničení: 1,08678 - 1,08696: 0,00743693539094191 (2c7dpI16IXu00000001AHb) = 0,007 [R]</t>
  </si>
  <si>
    <t xml:space="preserve"> Staničení: 1,14052 - 1,14102: 0,0236700824197244 (2c7dpI16IXu00000000yG1) = 0,024 [S]</t>
  </si>
  <si>
    <t xml:space="preserve"> Staničení: 0,76046 - 0,76067: 0,00637271004049406 (2c7dpI16IXu00000000wgn) = 0,006 [T]</t>
  </si>
  <si>
    <t xml:space="preserve"> Staničení: 0,77849 - 0,78896: 1,54013768758917 (2c7dpI16IXu00000000wut) = 1,540 [U]</t>
  </si>
  <si>
    <t xml:space="preserve"> Staničení: 1,0426 - 1,05199: 1,37440351023609 (2c7dpI16IXu00000001AJT) = 1,374 [V]</t>
  </si>
  <si>
    <t xml:space="preserve"> Staničení: 0,86319 - 0,86789: 1,09010046825099 (2c7dpI16IXu00000000ctu) = 1,090 [W]</t>
  </si>
  <si>
    <t xml:space="preserve"> Staničení: 0,95478 - 0,95496: 0,00747422654419957 (2c7dpI16IXu00000000ftL) = 0,007 [X]</t>
  </si>
  <si>
    <t xml:space="preserve"> Staničení: 1,10997 - 1,11955: 6,89084888987539 (2c7dpI16IXu00000000hEm) = 6,891 [Y]</t>
  </si>
  <si>
    <t xml:space="preserve"> Staničení: 0,84704 - 0,85111: 0,554856738435618 (2c7dpI16IXu00000000kJP) = 0,555 [Z]</t>
  </si>
  <si>
    <t xml:space="preserve"> Staničení: 1,08632 - 1,09545: 1,33016069208923 (2c7dpI16IXu00000001AGc) = 1,330 [AA]</t>
  </si>
  <si>
    <t xml:space="preserve"> Staničení: 0,77876 - 0,78949: 1,58396127147601 (2c7dpI16IXu00000000wuu) = 1,584 [AB]</t>
  </si>
  <si>
    <t xml:space="preserve"> Staničení: 0,68282 - 0,69272: 1,52893514401775 (2c7dpI16IXu00000000n4l) = 1,529 [AC]</t>
  </si>
  <si>
    <t xml:space="preserve"> Staničení: 1,1093 - 1,12123: 3,35678541196446 (2c7dpI16IXu00000000zGb) = 3,357 [AD]</t>
  </si>
  <si>
    <t xml:space="preserve"> Staničení: 0,9986 - 1,00799: 1,37439876153909 (2c7dpI16IXu00000001AKd) = 1,374 [AE]</t>
  </si>
  <si>
    <t xml:space="preserve"> Staničení: 0,67352 - 0,68478: 1,3238602840087 (2c7dpI16IXu000000018tq) = 1,324 [AF]</t>
  </si>
  <si>
    <t xml:space="preserve"> Staničení: 0,97913 - 0,9897: 1,60789543982635 (2c7dpI16IXu00000000x5Y) = 1,608 [AG]</t>
  </si>
  <si>
    <t xml:space="preserve"> Staničení: 0,91323 - 0,92279: 7,71717106024562 (2c7dpI16IXu00000000cPK) = 7,717 [AH]</t>
  </si>
  <si>
    <t xml:space="preserve"> Celkové množství 48.523000 = 48,523 [AI]</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</si>
  <si>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</si>
  <si>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Materiál:
ornice/místní materiál:
podrobná specifikace:
ornice získaná skrývkou ornice z pozemků s ochranou ZPF/ humozní vrstva získaná odhumusováním z prostoru lesních pozemků a silničních pozemků podél trasy:
Reference:
D.1.6, D.1.7, D.1.4 vzorové řezy, D.1.1 technická zpráva:
specifikace:
ornice/humozní vrstva skrytá mimo pozemky ZPF, tl. 150mm:</t>
  </si>
  <si>
    <t>21461C</t>
  </si>
  <si>
    <t>SEPARAČNÍ GEOTEXTILIE DO 300G/M2</t>
  </si>
  <si>
    <t>Materiál:
separační netkaná geotextile:
podrobná specifikace:
odolnost proti statickému protlačení (CBR) &gt; 4 kN (dle ČSN EN ISO 12236); hmotnost &gt; min.300g/m2:
Reference:
TP 97; D.1.6, D.1.7, D.1.1 technická zpráva:
specifikace:
propustnost D &gt; 10 na -4 m/s; pevnost v tahu (Tf) &gt; 10 kN/m (dle ČSN EN ISO 10319); průtažnost (ef)&gt; 50 % (při oddělení hrubozrnné sypaniny na měkkém podloží) &gt; 10 % (při oddělení hrubozrnné sypaniny od jemnozrnné zeminy):</t>
  </si>
  <si>
    <t xml:space="preserve"> Staničení: 0,18422 - 0,20863: 52,1036375803722 (2c7dpI16IXu00000000$jK) = 52,104 [A]</t>
  </si>
  <si>
    <t xml:space="preserve"> Staničení: 0,10406 - 0,12796: 40,110687075316 (2c7dpI16IXu00000000$jI) = 40,111 [B]</t>
  </si>
  <si>
    <t xml:space="preserve"> Staničení: 0,15763 - 0,16982: 58,8167986597925 (2c7dpI16IXu00000000$jJ) = 58,817 [C]</t>
  </si>
  <si>
    <t xml:space="preserve"> Celkové množství 151.032000 = 151,032 [D]</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</si>
  <si>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</si>
  <si>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451312</t>
  </si>
  <si>
    <t>PODKLADNÍ A VÝPLŇOVÉ VRSTVY Z PROSTÉHO BETONU C12/15</t>
  </si>
  <si>
    <t>Beton:
C12/15:
Množství betonářské výztuže:
Nd:
Množství betonářské výztuže na m3:
Nd:
Množství předpínací výztuže:
Nd:
Návrhová životnost:
min 25 let:
Referencované výkresy:
D.1.6, D.1.7:
Specifikace:
Podkladní beton C12/15-X0, tl. 100 mm:
Typ betonářské vyztuže:
Nd:
Typ předpínací vyztuže:
Nd:</t>
  </si>
  <si>
    <t xml:space="preserve"> Staničení: 0,20802 - 0,20872: 0,075600000062449 (2c7dpI16IXu000000018e4) = 0,076 [A]</t>
  </si>
  <si>
    <t xml:space="preserve"> Staničení: 0,15805 - 0,15948: 0,0895999999588354 (2c7dpI16IXu000000018dZ) = 0,090 [B]</t>
  </si>
  <si>
    <t xml:space="preserve"> Staničení: 0,10399 - 0,10474: 0,0475999998247275 (2c7dpI16IXu000000018dD) = 0,048 [C]</t>
  </si>
  <si>
    <t xml:space="preserve"> Staničení: 0,18414 - 0,18486: 0,075600000062449 (2c7dpI16IXu000000018dv) = 0,076 [D]</t>
  </si>
  <si>
    <t xml:space="preserve"> Staničení: 0,12732 - 0,12805: 0,0475999998247275 (2c7dpI16IXu000000018dO) = 0,048 [E]</t>
  </si>
  <si>
    <t xml:space="preserve"> Staničení: 0,16791 - 0,16939: 0,0895999999588354 (2c7dpI16IXu000000018dk) = 0,090 [F]</t>
  </si>
  <si>
    <t xml:space="preserve"> Celkové množství 0.428000 = 0,428 [G]</t>
  </si>
  <si>
    <t>45131A</t>
  </si>
  <si>
    <t>PODKLADNÍ A VÝPLŇOVÉ VRSTVY Z PROSTÉHO BETONU C20/25</t>
  </si>
  <si>
    <t>Beton:
C20/25n:
Materiál:
prostý beton:
Množství betonářské výztuže:
Nd:
Množství betonářské výztuže na m3:
Nd:
Množství předpínací výztuže:
Nd:
Návrhová životnost:
min 25 let:
podrobná specifikace:
XF3, tl. 100 mm:
Reference:
D.1.6, D.1.7:
Referencované výkresy:
D.1.6, D.1.7:
specifikace:
C20/25n:
Specifikace:
Podkladní beton C20/25n-XF3, tl. 100 mm:
Typ betonářské vyztuže:
Nd:
Typ předpínací vyztuže:
Nd:</t>
  </si>
  <si>
    <t xml:space="preserve"> Staničení: 0,16531 - 0,17073: 1,01775874086143 (2c7dpI16IXu000000018hK) = 1,018 [A]</t>
  </si>
  <si>
    <t xml:space="preserve"> Staničení: 0,16664 - 0,1708: 0,158252618705804 (2c7dpI16IXu000000018h8) = 0,158 [B]</t>
  </si>
  <si>
    <t xml:space="preserve"> Staničení: 0,20701 - 0,20846: 0,361348768843549 (2c7dpI16IXu000000018gC) = 0,361 [C]</t>
  </si>
  <si>
    <t xml:space="preserve"> Staničení: 0,20679 - 0,21151: 1,51221613589438 (2c7dpI16IXu000000018gO) = 1,512 [D]</t>
  </si>
  <si>
    <t xml:space="preserve"> Staničení: 0,1844 - 0,18678: 0,410776863234399 (2c7dpI16IXu000000018ga) = 0,411 [E]</t>
  </si>
  <si>
    <t xml:space="preserve"> Staničení: 0,1814 - 0,18608: 1,34792750304774 (2c7dpI16IXu000000018gm) = 1,348 [F]</t>
  </si>
  <si>
    <t xml:space="preserve"> Staničení: 0,15399 - 0,16179: 3,07791354320844 (2c7dpI16IXu000000018gy) = 3,078 [G]</t>
  </si>
  <si>
    <t xml:space="preserve"> Staničení: 0,10237 - 0,10521: 0,440675673431637 (2c7dpI16IXu000000018g0) = 0,441 [H]</t>
  </si>
  <si>
    <t xml:space="preserve"> Staničení: 0,12598 - 0,12779: 0,109079288698574 (2c7dpI16IXu000000018fS) = 0,109 [I]</t>
  </si>
  <si>
    <t xml:space="preserve"> Staničení: 0,12675 - 0,12969: 0,454174519153043 (2c7dpI16IXu000000018fe) = 0,454 [J]</t>
  </si>
  <si>
    <t xml:space="preserve"> Staničení: 0,10443 - 0,10588: 0,0844157412982248 (2c7dpI16IXu000000018fq) = 0,084 [K]</t>
  </si>
  <si>
    <t xml:space="preserve"> Celkové množství 8.974000 = 8,974 [L]</t>
  </si>
  <si>
    <t>451382</t>
  </si>
  <si>
    <t>PODKL VRSTVY ZE ŽELEZOBET DO C12/15 VČET VÝZTUŽE</t>
  </si>
  <si>
    <t>Beton:
C12/15:
Množství betonářské výztuže:
Nd:
Množství betonářské výztuže na m3:
Nd:
Množství předpínací výztuže:
Nd:
Návrhová životnost:
min 25 let:
Referencované výkresy:
D.1.6, D.1.7:
Specifikace:
Podkladní beton C12/15-S1, tl. 150 mm:
Typ betonářské vyztuže:
vyztužení KARI sítí, síť 100x100x6 s krytím 50 mm:
Typ předpínací vyztuže:
Nd:</t>
  </si>
  <si>
    <t xml:space="preserve"> Staničení: 0,10406 - 0,12796: 6,01456869263389 (2c7dpI16IXu000000018eF) = 6,015 [A]</t>
  </si>
  <si>
    <t xml:space="preserve"> Celkové množství 6.015000 = 6,015 [B]</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</si>
  <si>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</si>
  <si>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45152</t>
  </si>
  <si>
    <t>PODKLADNÍ A VÝPLŇOVÉ VRSTVY Z KAMENIVA DRCENÉHO</t>
  </si>
  <si>
    <t>Materiál:
štěrkodrť:
podrobná specifikace:
hutněno na míru ulehlosti ld=0.85:
Reference:
ČSN 736133, D.1.6, D.1.7, D.1.1 technická zpráva:
specifikace:
ŠD 0/63, tl. 0.2m:</t>
  </si>
  <si>
    <t xml:space="preserve"> Staničení: 0,10406 - 0,12796: 7,67792375609632 (2c7dpI16IXu000000018eQ) = 7,678 [A]</t>
  </si>
  <si>
    <t xml:space="preserve"> Celkové množství 7.678000 = 7,678 [B]</t>
  </si>
  <si>
    <t>Materiál:
štěrkodrť:
podrobná specifikace:
hutněno na míru ulehlosti ld=0.85:
Reference:
ČSN 736133, D.1.6, D.1.7, D.1.1 technická zpráva:
specifikace:
ŠD 0/125, tl. 0.3m:</t>
  </si>
  <si>
    <t xml:space="preserve"> Staničení: 0,10406 - 0,12796: 11,6193849006463 (2c7dpI16IXu000000018ex) = 11,619 [A]</t>
  </si>
  <si>
    <t xml:space="preserve"> Staničení: 0,15763 - 0,16982: 16,755947503188 (2c7dpI16IXu000000018f6) = 16,756 [B]</t>
  </si>
  <si>
    <t xml:space="preserve"> Staničení: 0,18422 - 0,20863: 14,8924429728542 (2c7dpI16IXu000000018fH) = 14,892 [C]</t>
  </si>
  <si>
    <t xml:space="preserve"> Celkové množství 43.267000 = 43,267 [D]</t>
  </si>
  <si>
    <t>Beton:
Nd:
Materiál:
štěrkodrť:
Množství betonářské výztuže:
Nd:
Množství betonářské výztuže na m3:
Nd:
Množství předpínací výztuže:
Nd:
Návrhová životnost:
Nd:
podrobná specifikace:
GN:
Reference:
ČSN 736133, D.1.6, D.1.7, D.1.1 technická zpráva:
Referencované výkresy:
Nd:
specifikace:
ŠDB 0/32, tl. 0.1m:
Specifikace:
Nd:
Typ betonářské vyztuže:
Nd:
Typ předpínací vyztuže:
Nd:</t>
  </si>
  <si>
    <t xml:space="preserve"> Staničení: 0,20792 - 0,20882: 0,0864000000758596 (2c7dpI16IXu000000018jC) = 0,086 [A]</t>
  </si>
  <si>
    <t xml:space="preserve"> Staničení: 0,18404 - 0,18496: 0,0864000000758596 (2c7dpI16IXu000000018j0) = 0,086 [B]</t>
  </si>
  <si>
    <t xml:space="preserve"> Staničení: 0,10389 - 0,10484: 0,0543999998025181 (2c7dpI16IXu000000018iG) = 0,054 [C]</t>
  </si>
  <si>
    <t xml:space="preserve"> Staničení: 0,12722 - 0,12815: 0,0543999998025181 (2c7dpI16IXu000000018iS) = 0,054 [D]</t>
  </si>
  <si>
    <t xml:space="preserve"> Staničení: 0,15802 - 0,15951: 0,102399999939535 (2c7dpI16IXu000000018ie) = 0,102 [E]</t>
  </si>
  <si>
    <t xml:space="preserve"> Staničení: 0,16786 - 0,16943: 0,102399999939535 (2c7dpI16IXu000000018iq) = 0,102 [F]</t>
  </si>
  <si>
    <t xml:space="preserve"> Celkové množství 0.484000 = 0,484 [G]</t>
  </si>
  <si>
    <t>Beton:
Nd:
Materiál:
štěrkopísek:
Množství betonářské výztuže:
Nd:
Množství betonářské výztuže na m3:
Nd:
Množství předpínací výztuže:
Nd:
Návrhová životnost:
Nd:
podrobná specifikace:
Nd:
Reference:
D.1.6, D.1.7:
Referencované výkresy:
Nd:
specifikace:
tl. 100:
Specifikace:
Nd:
Typ betonářské vyztuže:
Nd:
Typ předpínací vyztuže:
Nd:</t>
  </si>
  <si>
    <t xml:space="preserve"> Staničení: 0,1814 - 0,18595: 1,32743755189519 (2c7dpI16IXu000000018i4) = 1,327 [A]</t>
  </si>
  <si>
    <t xml:space="preserve"> Staničení: 0,1269 - 0,12969: 0,44021560721893 (2c7dpI16IXu000000018hW) = 0,440 [B]</t>
  </si>
  <si>
    <t xml:space="preserve"> Staničení: 0,10237 - 0,10507: 0,427606366399566 (2c7dpI16IXu000000018hi) = 0,428 [C]</t>
  </si>
  <si>
    <t xml:space="preserve"> Staničení: 0,20691 - 0,21151: 1,49932128152472 (2c7dpI16IXu000000018hu) = 1,499 [D]</t>
  </si>
  <si>
    <t xml:space="preserve"> Celkové množství 3.694000 = 3,694 [E]</t>
  </si>
  <si>
    <t>Materiál:
štěrkopísek:
podrobná specifikace:
HUTNĚNÍ 98% PROCTOR STANDARD:
Reference:
ČSN 736133, D.1.6, D.1.7, D.1.1 technická zpráva:
specifikace:
ŠP 0/22, tl. 0.2m:</t>
  </si>
  <si>
    <t xml:space="preserve"> Staničení: 0,18422 - 0,20863: 9,76970985656493 (2c7dpI16IXu000000018em) = 9,770 [A]</t>
  </si>
  <si>
    <t xml:space="preserve"> Staničení: 0,15763 - 0,16982: 11,036244013862 (2c7dpI16IXu000000018eb) = 11,036 [B]</t>
  </si>
  <si>
    <t xml:space="preserve"> Celkové množství 20.806000 = 20,806 [C]</t>
  </si>
  <si>
    <t>Materiál:
štěrkopísek:
podrobná specifikace:
GE, tl. 0.1 m:
Reference:
ČSN 73 6126-1, D.1.1 technická zpráva, D.1.8 vzorová uliční vpusť:
specifikace:
štěrkopísek fr. 0/16:</t>
  </si>
  <si>
    <t xml:space="preserve"> Staničení: 0,99722 - 0,99877: 0,240250000015312 (2c7dpI16IXu00000000Wol) = 0,240 [A]</t>
  </si>
  <si>
    <t xml:space="preserve"> Staničení: 1,13948 - 1,14103: 0,187466440531166 (2c7dpI16IXu00000000gp2) = 0,187 [B]</t>
  </si>
  <si>
    <t xml:space="preserve"> Staničení: 0,86176 - 0,86395: 0,240250000024116 (2c7dpI16IXu00000000Wpk) = 0,240 [C]</t>
  </si>
  <si>
    <t xml:space="preserve"> Staničení: 0,68124 - 0,68339: 0,240250000064351 (2c7dpI16IXu00000000Wmq) = 0,240 [D]</t>
  </si>
  <si>
    <t xml:space="preserve"> Staničení: 1,0849 - 1,0871: 0,251061250040224 (2c7dpI16IXu00000000Wbq) = 0,251 [E]</t>
  </si>
  <si>
    <t xml:space="preserve"> Staničení: 0,9529 - 0,9551: 0,240250000034 (2c7dpI16IXu00000000WrQ) = 0,240 [F]</t>
  </si>
  <si>
    <t xml:space="preserve"> Staničení: 0,91186 - 0,91405: 0,240250000065837 (2c7dpI16IXu00000000Wp1) = 0,240 [G]</t>
  </si>
  <si>
    <t xml:space="preserve"> Staničení: 0,67125 - 0,67288: 0,240250000047759 (2c7dpI16IXu00000000zD$) = 0,240 [H]</t>
  </si>
  <si>
    <t xml:space="preserve"> Staničení: 0,67192 - 0,67355: 0,240250000047759 (2c7dpI16IXu00000000zE0) = 0,240 [I]</t>
  </si>
  <si>
    <t xml:space="preserve"> Staničení: 1,04089 - 1,04309: 0,187964397868928 (2c7dpI16IXu00000000b3F) = 0,188 [J]</t>
  </si>
  <si>
    <t xml:space="preserve"> Staničení: 1,0409 - 1,0431: 0,240250000047084 (2c7dpI16IXu00000000WcF) = 0,240 [K]</t>
  </si>
  <si>
    <t xml:space="preserve"> Staničení: 0,8454 - 0,84759: 0,240250000048726 (2c7dpI16IXu00000000Wpt) = 0,240 [L]</t>
  </si>
  <si>
    <t xml:space="preserve"> Staničení: 1,10887 - 1,11042: 0,240250000042823 (2c7dpI16IXu00000000WbT) = 0,240 [M]</t>
  </si>
  <si>
    <t xml:space="preserve"> Staničení: 0,86218 - 0,86436: 0,240250000027112 (2c7dpI16IXu00000000Wpb) = 0,240 [N]</t>
  </si>
  <si>
    <t xml:space="preserve"> Staničení: 0,77714 - 0,7793: 0,240250000024413 (2c7dpI16IXu00000000wuV) = 0,240 [O]</t>
  </si>
  <si>
    <t xml:space="preserve"> Staničení: 0,9109 - 0,91255: 0,240250000022984 (2c7dpI16IXu00000000icL) = 0,240 [P]</t>
  </si>
  <si>
    <t xml:space="preserve"> Staničení: 1,08523 - 1,08678: 0,240250000019842 (2c7dpI16IXu00000000Wbh) = 0,240 [Q]</t>
  </si>
  <si>
    <t xml:space="preserve"> Staničení: 0,9969 - 0,9991: 0,240250000051214 (2c7dpI16IXu00000000Woj) = 0,240 [R]</t>
  </si>
  <si>
    <t xml:space="preserve"> Staničení: 0,7589 - 0,76048: 0,0729933410985493 (2c7dpI16IXu00000000wjo) = 0,073 [S]</t>
  </si>
  <si>
    <t xml:space="preserve"> Staničení: 0,95323 - 0,95478: 0,240250000052879 (2c7dpI16IXu00000000Wou) = 0,240 [T]</t>
  </si>
  <si>
    <t xml:space="preserve"> Staničení: 1,10854 - 1,11074: 0,240250000023855 (2c7dpI16IXu00000000Wb5) = 0,240 [U]</t>
  </si>
  <si>
    <t xml:space="preserve"> Staničení: 0,75893 - 0,76056: 0,24024999961135 (2c7dpI16IXu00000000xHt) = 0,240 [V]</t>
  </si>
  <si>
    <t xml:space="preserve"> Staničení: 1,13946 - 1,14107: 0,239730958591932 (2c7dpI16IXu00000000WbC) = 0,240 [W]</t>
  </si>
  <si>
    <t xml:space="preserve"> Staničení: 1,10829 - 1,10984: 0,240250000043096 (2c7dpI16IXu00000000eEF) = 0,240 [X]</t>
  </si>
  <si>
    <t xml:space="preserve"> Staničení: 0,75886 - 0,76046: 0,188703648147783 (2c7dpI16IXu00000000whF) = 0,189 [Y]</t>
  </si>
  <si>
    <t xml:space="preserve"> Staničení: 0,84526 - 0,84745: 0,240250000026135 (2c7dpI16IXu00000000Wq0) = 0,240 [Z]</t>
  </si>
  <si>
    <t xml:space="preserve"> Staničení: 0,71753 - 0,71915: 0,2305165035344 (2c7dpI16IXu00000000Wn0) = 0,231 [AA]</t>
  </si>
  <si>
    <t xml:space="preserve"> Staničení: 0,7921 - 0,79367: 0,240250000048432 (2c7dpI16IXu00000000WqX) = 0,240 [AB]</t>
  </si>
  <si>
    <t xml:space="preserve"> Staničení: 0,97777 - 0,97996: 0,240250000034 (2c7dpI16IXu00000000x57) = 0,240 [AC]</t>
  </si>
  <si>
    <t xml:space="preserve"> Celkové množství 6.639000 = 6,639 [AD]</t>
  </si>
  <si>
    <t>Materiál:
štěrkopísek:
podrobná specifikace:
GE, tl. 0.1 m:
Reference:
ČSN 73 6126-1, D.1.13 vzorové uložení přípojek, D.1.1 technická zpráva:
specifikace:
štěrkopísek fr. 0/16:</t>
  </si>
  <si>
    <t xml:space="preserve"> Staničení: 0,71808 - 0,72003: 0,11522589228742 (2c7dpI16IXu00000000mY$) = 0,115 [A]</t>
  </si>
  <si>
    <t xml:space="preserve"> Staničení: 0,91283 - 0,92317: 1,02074494929813 (2c7dpI16IXu00000000cSx) = 1,021 [B]</t>
  </si>
  <si>
    <t xml:space="preserve"> Staničení: 0,97859 - 0,99034: 1,22181156468887 (2c7dpI16IXu00000000x5Z) = 1,222 [C]</t>
  </si>
  <si>
    <t xml:space="preserve"> Staničení: 1,13998 - 1,14138: 0,109452224101106 (2c7dpI16IXu00000000yNY) = 0,109 [D]</t>
  </si>
  <si>
    <t xml:space="preserve"> Staničení: 0,67273 - 0,68551: 0,923972213876609 (2c7dpI16IXu00000000zC0) = 0,924 [E]</t>
  </si>
  <si>
    <t xml:space="preserve"> Staničení: 0,68204 - 0,69309: 1,14489161103905 (2c7dpI16IXu00000000nJN) = 1,145 [F]</t>
  </si>
  <si>
    <t xml:space="preserve"> Staničení: 0,79262 - 0,79474: 0,13761392665059 (2c7dpI16IXu00000000lIl) = 0,138 [G]</t>
  </si>
  <si>
    <t xml:space="preserve"> Staničení: 1,08571 - 1,09637: 1,04493175015441 (2c7dpI16IXu00000000hkK) = 1,045 [H]</t>
  </si>
  <si>
    <t xml:space="preserve"> Staničení: 0,99772 - 1,00837: 1,04564276874565 (2c7dpI16IXu00000000i7B) = 1,046 [I]</t>
  </si>
  <si>
    <t xml:space="preserve"> Staničení: 1,13997 - 1,14149: 0,0899226667335888 (2c7dpI16IXu00000000gsE) = 0,090 [J]</t>
  </si>
  <si>
    <t xml:space="preserve"> Staničení: 0,86276 - 0,8683: 0,481133992116419 (2c7dpI16IXu00000000jZm) = 0,481 [K]</t>
  </si>
  <si>
    <t xml:space="preserve"> Staničení: 0,95372 - 0,96437: 1,04601727215819 (2c7dpI16IXu00000000iJ4) = 1,046 [L]</t>
  </si>
  <si>
    <t xml:space="preserve"> Staničení: 1,08573 - 1,08734: 0,0862948807231954 (2c7dpI16IXu00000000hvr) = 0,086 [M]</t>
  </si>
  <si>
    <t xml:space="preserve"> Staničení: 1,04172 - 1,05237: 1,04573069797719 (2c7dpI16IXu00000000h_r) = 1,046 [N]</t>
  </si>
  <si>
    <t xml:space="preserve"> Staničení: 0,99773 - 0,99934: 0,0864399876607661 (2c7dpI16IXu00000000iCy) = 0,086 [O]</t>
  </si>
  <si>
    <t xml:space="preserve"> Staničení: 0,67172 - 0,67306: 0,0863038134779607 (2c7dpI16IXu00000000zD2) = 0,086 [P]</t>
  </si>
  <si>
    <t xml:space="preserve"> Staničení: 0,75941 - 0,76107: 0,0878433787986999 (2c7dpI16IXu00000000wjn) = 0,088 [Q]</t>
  </si>
  <si>
    <t xml:space="preserve"> Staničení: 0,77795 - 0,78989: 1,17838903174019 (2c7dpI16IXu00000000wtb) = 1,178 [R]</t>
  </si>
  <si>
    <t xml:space="preserve"> Staničení: 1,10938 - 1,11099: 0,08682793863081 (2c7dpI16IXu00000000hEA) = 0,087 [S]</t>
  </si>
  <si>
    <t xml:space="preserve"> Staničení: 0,84624 - 0,85949: 1,30877336886892 (2c7dpI16IXu00000000jfe) = 1,309 [T]</t>
  </si>
  <si>
    <t xml:space="preserve"> Staničení: 1,10879 - 1,1216: 1,25815484844977 (2c7dpI16IXu00000000zHC) = 1,258 [U]</t>
  </si>
  <si>
    <t xml:space="preserve"> Staničení: 0,95373 - 0,95534: 0,0850667860889367 (2c7dpI16IXu00000000iP8) = 0,085 [V]</t>
  </si>
  <si>
    <t xml:space="preserve"> Staničení: 0,75947 - 0,76071: 0,0394142631758056 (2c7dpI16IXu00000000wjm) = 0,039 [W]</t>
  </si>
  <si>
    <t xml:space="preserve"> Staničení: 1,10936 - 1,11992: 1,037323434387 (2c7dpI16IXu00000000hDJ) = 1,037 [X]</t>
  </si>
  <si>
    <t xml:space="preserve"> Staničení: 1,04173 - 1,04334: 0,0856690266464688 (2c7dpI16IXu00000000i1f) = 0,086 [Y]</t>
  </si>
  <si>
    <t xml:space="preserve"> Staničení: 0,91142 - 0,91294: 0,0943218556063835 (2c7dpI16IXu00000000ikf) = 0,094 [Z]</t>
  </si>
  <si>
    <t xml:space="preserve"> Staničení: 0,86302 - 0,87733: 1,34133919384583 (2c7dpI16IXu00000000jU_) = 1,341 [AA]</t>
  </si>
  <si>
    <t xml:space="preserve"> Staničení: 0,84623 - 0,8515: 0,470044619058558 (2c7dpI16IXu00000000kfT) = 0,470 [AB]</t>
  </si>
  <si>
    <t xml:space="preserve"> Celkové množství 16.758000 = 16,758 [AC]</t>
  </si>
  <si>
    <t>461314</t>
  </si>
  <si>
    <t>PATKY Z PROSTÉHO BETONU C25/30</t>
  </si>
  <si>
    <t>Materiál:
beton:
podrobná specifikace:
XF3:
Reference:
D.1.6, D.1.7,vzorové propustky, D.1.1 technická zpráva, TKP 18:
specifikace:
betonový práh C25/30n:</t>
  </si>
  <si>
    <t xml:space="preserve"> Staničení: 0,15809 - 0,15983: 1,31638294541606 (2c7dpI16IXu000000018YZ) = 1,316 [A]</t>
  </si>
  <si>
    <t xml:space="preserve"> Staničení: 0,18115 - 0,1814: 0,602513016432461 (2c7dpI16IXu000000018ZF) = 0,603 [B]</t>
  </si>
  <si>
    <t xml:space="preserve"> Staničení: 0,12968 - 0,12994: 0,321193010384575 (2c7dpI16IXu000000018Y2) = 0,321 [C]</t>
  </si>
  <si>
    <t xml:space="preserve"> Staničení: 0,12642 - 0,12795: 0,581694343254871 (2c7dpI16IXu000000018YD) = 0,582 [D]</t>
  </si>
  <si>
    <t xml:space="preserve"> Staničení: 0,15378 - 0,1594: 0,816702051411567 (2c7dpI16IXu000000018Yv) = 0,817 [E]</t>
  </si>
  <si>
    <t xml:space="preserve"> Staničení: 0,1041 - 0,10536: 0,49226126250631 (2c7dpI16IXu000000018YO) = 0,492 [F]</t>
  </si>
  <si>
    <t xml:space="preserve"> Staničení: 0,18424 - 0,18577: 1,10479591675343 (2c7dpI16IXu000000018Zb) = 1,105 [G]</t>
  </si>
  <si>
    <t xml:space="preserve"> Staničení: 0,10212 - 0,10237: 0,323730037587986 (2c7dpI16IXu000000018Xt) = 0,324 [H]</t>
  </si>
  <si>
    <t xml:space="preserve"> Staničení: 0,20721 - 0,20862: 1,03071638570955 (2c7dpI16IXu000000018ZQ) = 1,031 [I]</t>
  </si>
  <si>
    <t xml:space="preserve"> Staničení: 0,16755 - 0,16935: 1,24536711933848 (2c7dpI16IXu000000018Yk) = 1,245 [J]</t>
  </si>
  <si>
    <t xml:space="preserve"> Staničení: 0,2115 - 0,21175: 0,644073907394315 (2c7dpI16IXu000000018Z4) = 0,644 [K]</t>
  </si>
  <si>
    <t xml:space="preserve"> Celkové množství 8.480000 = 8,480 [L]</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</si>
  <si>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</si>
  <si>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Beton:
C20/25n:
Materiál:
prostý beton:
Množství betonářské výztuže:
Nd:
Množství betonářské výztuže na m3:
Nd:
Množství předpínací výztuže:
Nd:
Návrhová životnost:
min 25 let:
podrobná specifikace:
C20/25n XF3, tl. 150 mm:
Reference:
D.1.6, D.1.7:
Referencované výkresy:
D.1.6, D.1.7:
specifikace:
stabilizační práh kolem dlažby z lomového kamene pro opevnění čela svahu zemního tělesa:
Specifikace:
Podkladní beton C20/25n-XF3, tl. 150 mm:
Typ betonářské vyztuže:
Nd:
Typ předpínací vyztuže:
Nd:</t>
  </si>
  <si>
    <t xml:space="preserve"> Staničení: 0,10473 - 0,10601: 0,133228254951345 (2c7dpI16IXu000000018Zz) = 0,133 [A]</t>
  </si>
  <si>
    <t xml:space="preserve"> Staničení: 0,16507 - 0,17103: 0,878392996262158 (2c7dpI16IXu000000018aN) = 0,878 [B]</t>
  </si>
  <si>
    <t xml:space="preserve"> Staničení: 0,18449 - 0,18691: 0,246831738338565 (2c7dpI16IXu000000018aa) = 0,247 [C]</t>
  </si>
  <si>
    <t xml:space="preserve"> Staničení: 0,12585 - 0,12767: 0,154514689655465 (2c7dpI16IXu000000018Zm) = 0,155 [D]</t>
  </si>
  <si>
    <t xml:space="preserve"> Staničení: 0,15387 - 0,16197: 0,692444162499421 (2c7dpI16IXu000000018aA) = 0,692 [E]</t>
  </si>
  <si>
    <t xml:space="preserve"> Staničení: 0,2069 - 0,20766: 0,201530345585729 (2c7dpI16IXu000000018an) = 0,202 [F]</t>
  </si>
  <si>
    <t xml:space="preserve"> Celkové množství 2.307000 = 2,307 [G]</t>
  </si>
  <si>
    <t>46251</t>
  </si>
  <si>
    <t>ZÁHOZ Z LOMOVÉHO KAMENE</t>
  </si>
  <si>
    <t>Materiál:
Lomový kámen:
podrobná specifikace:
hl. 0.6 m:
Reference:
D.1.6, D.1.7,vzorové propustky, D.1.1 technická zpráva:
specifikace:
těžký kamenný zához:</t>
  </si>
  <si>
    <t xml:space="preserve"> Staničení: 0,13043 - 0,13103: 0,370858142861505 (2c7dpI16IXu000000018Wf) = 0,371 [A]</t>
  </si>
  <si>
    <t xml:space="preserve"> Staničení: 0,10096 - 0,10162: 0,404059358131019 (2c7dpI16IXu000000018WF) = 0,404 [B]</t>
  </si>
  <si>
    <t xml:space="preserve"> Staničení: 0,10161 - 0,10212: 0,648309028064535 (2c7dpI16IXu000000018W2) = 0,648 [C]</t>
  </si>
  <si>
    <t xml:space="preserve"> Staničení: 0,18009 - 0,18068: 0,705273160199179 (2c7dpI16IXu000000018Xg) = 0,705 [D]</t>
  </si>
  <si>
    <t xml:space="preserve"> Staničení: 0,18066 - 0,18116: 1,19305893120483 (2c7dpI16IXu000000018XT) = 1,193 [E]</t>
  </si>
  <si>
    <t xml:space="preserve"> Staničení: 0,21224 - 0,21283: 0,756287662016038 (2c7dpI16IXu000000018XG) = 0,756 [F]</t>
  </si>
  <si>
    <t xml:space="preserve"> Staničení: 0,15346 - 0,15931: 1,94946610968056 (2c7dpI16IXu000000018Ws) = 1,949 [G]</t>
  </si>
  <si>
    <t xml:space="preserve"> Staničení: 0,12993 - 0,13044: 0,633977482749752 (2c7dpI16IXu000000018WS) = 0,634 [H]</t>
  </si>
  <si>
    <t xml:space="preserve"> Staničení: 0,21175 - 0,21224: 1,28617335289625 (2c7dpI16IXu000000018X3) = 1,286 [I]</t>
  </si>
  <si>
    <t xml:space="preserve"> Celkové množství 7.946000 = 7,946 [J]</t>
  </si>
  <si>
    <t>položka zahrnuje:
- dodávku a zához lomového kamene předepsané frakce včetně mimostaveništní a vnitrostaveništní dopravy
není-li v zadávací dokumentaci uvedeno jinak, jedná se o nakupovaný materiál</t>
  </si>
  <si>
    <t>465512</t>
  </si>
  <si>
    <t>DLAŽBY Z LOMOVÉHO KAMENE NA MC</t>
  </si>
  <si>
    <t>Materiál:
lomový kámen:
podrobná specifikace:
vyspárované cem. Maltou dle ČSN EN 998-2, XF4, do betonového lože:
Reference:
D.1.6, D.1.7, D.1.1 technická zpráva:
specifikace:
opevnění svahu lomovým kamanem prům. tl. 200 mm:</t>
  </si>
  <si>
    <t xml:space="preserve"> Staničení: 0,20705 - 0,21151: 2,71096826858667 (2c7dpI16IXu000000018cX) = 2,711 [A]</t>
  </si>
  <si>
    <t xml:space="preserve"> Staničení: 0,10418 - 0,10514: 0,179696775501862 (2c7dpI16IXu000000018br) = 0,180 [B]</t>
  </si>
  <si>
    <t xml:space="preserve"> Staničení: 0,12603 - 0,12786: 0,285814473472661 (2c7dpI16IXu000000018bK) = 0,286 [C]</t>
  </si>
  <si>
    <t xml:space="preserve"> Staničení: 0,1814 - 0,18579: 2,435687250848 (2c7dpI16IXu000000018ci) = 2,436 [D]</t>
  </si>
  <si>
    <t xml:space="preserve"> Staničení: 0,20711 - 0,20881: 0,848895453150399 (2c7dpI16IXu000000018d2) = 0,849 [E]</t>
  </si>
  <si>
    <t xml:space="preserve"> Staničení: 0,16531 - 0,17073: 2,03214537049263 (2c7dpI16IXu000000018cM) = 2,032 [F]</t>
  </si>
  <si>
    <t xml:space="preserve"> Staničení: 0,10421 - 0,10583: 0,167101729295061 (2c7dpI16IXu000000018bg) = 0,167 [G]</t>
  </si>
  <si>
    <t xml:space="preserve"> Staničení: 0,15399 - 0,16179: 6,15571792688521 (2c7dpI16IXu000000018c0) = 6,156 [H]</t>
  </si>
  <si>
    <t xml:space="preserve"> Staničení: 0,12786 - 0,12968: 0,715278859946676 (2c7dpI16IXu000000018bV) = 0,715 [I]</t>
  </si>
  <si>
    <t xml:space="preserve"> Staničení: 0,18403 - 0,18673: 0,941554012899035 (2c7dpI16IXu000000018ct) = 0,942 [J]</t>
  </si>
  <si>
    <t xml:space="preserve"> Staničení: 0,16664 - 0,1708: 0,316505237412018 (2c7dpI16IXu000000018cB) = 0,317 [K]</t>
  </si>
  <si>
    <t xml:space="preserve"> Staničení: 0,12694 - 0,12786: 0,0950729648643594 (2c7dpI16IXu000000018b9) = 0,095 [L]</t>
  </si>
  <si>
    <t xml:space="preserve"> Staničení: 0,10237 - 0,10418: 0,677304700432744 (2c7dpI16IXu000000018a_) = 0,677 [M]</t>
  </si>
  <si>
    <t xml:space="preserve"> Celkové množství 17.563000 = 17,563 [N]</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</si>
  <si>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</si>
  <si>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87433</t>
  </si>
  <si>
    <t>POTRUBÍ Z TRUB PLASTOVÝCH ODPADNÍCH DN DO 150MM</t>
  </si>
  <si>
    <t>Kategorie stavebního výrobku:
Klasifikace dle CCI:
Podrobná specifikace:
SN 16:
Reference:
ČSN 75 6101, ČSN EN 1401-1, ČSN 75 6909, ČSN EN 1610, D.1.2 situace, D.1.1 technická zpráva, D.1.13 vzorové uložení přípojek:
Specifikace:
plastové potrubí, PP, DN 150:
Stavební výrobek:
přípojka uliční vpusti plastová:
Typ stavebního výrobku:
potrubí:
Výrobce:
Nd:</t>
  </si>
  <si>
    <t xml:space="preserve"> Staničení: 1,10972 - 1,11068: 1,19 (2c7dpI16IXu00000000h1T) = 1,190 [A]</t>
  </si>
  <si>
    <t xml:space="preserve"> Staničení: 0,75985 - 0,7604: 0,6 (2c7dpI16IXu00000000wgw) = 0,600 [B]</t>
  </si>
  <si>
    <t xml:space="preserve"> Staničení: 1,10909 - 1,12131: 17,11 (2c7dpI16IXu00000000zFu) = 17,110 [C]</t>
  </si>
  <si>
    <t xml:space="preserve"> Staničení: 1,14036 - 1,14135: 1,43 (2c7dpI16IXu00000000eaD) = 1,430 [D]</t>
  </si>
  <si>
    <t xml:space="preserve"> Staničení: 0,95406 - 0,95503: 1,21 (2c7dpI16IXu00000000fsM) = 1,210 [E]</t>
  </si>
  <si>
    <t xml:space="preserve"> Staničení: 1,1097 - 1,11963: 13,97 (2c7dpI16IXu00000000gzz) = 13,970 [F]</t>
  </si>
  <si>
    <t xml:space="preserve"> Staničení: 0,67209 - 0,67269: 1,01 (2c7dpI16IXu00000000zCZ) = 1,010 [G]</t>
  </si>
  <si>
    <t xml:space="preserve"> Staničení: 0,91307 - 0,92286: 13,84 (2c7dpI16IXu00000000WaF) = 13,840 [H]</t>
  </si>
  <si>
    <t xml:space="preserve"> Staničení: 1,14033 - 1,14129: 1,26 (2c7dpI16IXu00000000eYS) = 1,260 [I]</t>
  </si>
  <si>
    <t xml:space="preserve"> Staničení: 0,71839 - 0,71978: 1,79 (2c7dpI16IXu00000000WPt) = 1,790 [J]</t>
  </si>
  <si>
    <t xml:space="preserve"> Staničení: 0,75979 - 0,76077: 1,18 (2c7dpI16IXu00000000wgg) = 1,180 [K]</t>
  </si>
  <si>
    <t xml:space="preserve"> Staničení: 0,91183 - 0,91272: 1,43 (2c7dpI16IXu00000000il1) = 1,430 [L]</t>
  </si>
  <si>
    <t xml:space="preserve"> Staničení: 1,08607 - 1,09606: 14,02 (2c7dpI16IXu00000000ejX) = 14,020 [M]</t>
  </si>
  <si>
    <t xml:space="preserve"> Staničení: 1,04204 - 1,05217: 14,09 (2c7dpI16IXu00000000ey6) = 14,090 [N]</t>
  </si>
  <si>
    <t xml:space="preserve"> Staničení: 0,8464 - 0,85918: 17,93 (2c7dpI16IXu00000000Wa3) = 17,930 [O]</t>
  </si>
  <si>
    <t xml:space="preserve"> Staničení: 0,99797 - 0,99903: 1,37 (2c7dpI16IXu00000000fFO) = 1,370 [P]</t>
  </si>
  <si>
    <t xml:space="preserve"> Staničení: 1,04196 - 1,04304: 1,35 (2c7dpI16IXu00000000ev4) = 1,350 [Q]</t>
  </si>
  <si>
    <t xml:space="preserve"> Staničení: 0,95404 - 0,96407: 14,1 (2c7dpI16IXu00000000fnn) = 14,100 [R]</t>
  </si>
  <si>
    <t xml:space="preserve"> Staničení: 0,77833 - 0,78958: 15,81 (2c7dpI16IXu00000000wtU) = 15,810 [S]</t>
  </si>
  <si>
    <t xml:space="preserve"> Staničení: 0,97897 - 0,99027: 16,44 (2c7dpI16IXu00000000x5V) = 16,440 [T]</t>
  </si>
  <si>
    <t xml:space="preserve"> Staničení: 1,08609 - 1,08703: 1,19 (2c7dpI16IXu00000000enh) = 1,190 [U]</t>
  </si>
  <si>
    <t xml:space="preserve"> Staničení: 0,68241 - 0,69278: 15,28 (2c7dpI16IXu00000000z0n) = 15,280 [V]</t>
  </si>
  <si>
    <t xml:space="preserve"> Staničení: 0,8629 - 0,86807: 6,38 (2c7dpI16IXu000000019Cd) = 6,380 [W]</t>
  </si>
  <si>
    <t xml:space="preserve"> Staničení: 0,8634 - 0,87703: 18 (2c7dpI16IXu00000000Wa0) = 18,000 [X]</t>
  </si>
  <si>
    <t xml:space="preserve"> Staničení: 0,99808 - 1,00807: 14,03 (2c7dpI16IXu00000000f36) = 14,030 [Y]</t>
  </si>
  <si>
    <t xml:space="preserve"> Staničení: 0,793 - 0,79444: 1,94 (2c7dpI16IXu00000000WZ$) = 1,940 [Z]</t>
  </si>
  <si>
    <t xml:space="preserve"> Staničení: 0,84666 - 0,85119: 6,38 (2c7dpI16IXu00000000Wa2) = 6,380 [AA]</t>
  </si>
  <si>
    <t xml:space="preserve"> Celkové množství 214.330000 = 214,330 [AB]</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</si>
  <si>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</si>
  <si>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87434</t>
  </si>
  <si>
    <t>POTRUBÍ Z TRUB PLASTOVÝCH ODPADNÍCH DN DO 200MM</t>
  </si>
  <si>
    <t>Kategorie stavebního výrobku:
Klasifikace dle CCI:
Podrobná specifikace:
SN 16:
Reference:
ČSN 75 6101, ČSN EN 1401-1, ČSN 75 6909, ČSN EN 1610, D.1.2 situace, D.1.1 technická zpráva, D.1.13 vzorové uložení přípojek:
Specifikace:
plastové potrubí, PP, DN 200:
Stavební výrobek:
přípojka uliční vpusti plastová:
Typ stavebního výrobku:
potrubí:
Výrobce:
Nd:</t>
  </si>
  <si>
    <t xml:space="preserve"> Staničení: 0,67296 - 0,68546: 12,28 (2c7dpI16IXu0000000194v) = 12,280 [A]</t>
  </si>
  <si>
    <t xml:space="preserve"> Celkové množství 12.280000 = 12,280 [B]</t>
  </si>
  <si>
    <t>87458</t>
  </si>
  <si>
    <t>POTRUBÍ Z TRUB PLAST ODPAD DN DO 600MM</t>
  </si>
  <si>
    <t>Kategorie stavebního výrobku:
Klasifikace dle CCI:
Podrobná specifikace:
SN 16:
Reference:
ČSN 75 6101, ČSN EN 1401-1, ČSN 75 6909, ČSN EN 1610,D.1.2 situace, D.1.6 vzorové propustky, D.1.1 technická zpráva:
Specifikace:
plastové potrubí, PP, se zesílenou stěnou, DN 600:
Stavební výrobek:
potrubí příčného propustku:
Typ stavebního výrobku:
potrubí:
Výrobce:
Nd:</t>
  </si>
  <si>
    <t xml:space="preserve"> Staničení: 0,10412 - 0,12794: 23,5 (2c7dpI16IXu000000018Vi) = 23,500 [A]</t>
  </si>
  <si>
    <t xml:space="preserve"> Celkové množství 23.500000 = 23,500 [B]</t>
  </si>
  <si>
    <t>87471</t>
  </si>
  <si>
    <t>POTRUBÍ Z TRUB PLAST ODPAD DN DO 1000MM</t>
  </si>
  <si>
    <t>Kategorie stavebního výrobku:
Klasifikace dle CCI:
Podrobná specifikace:
SN 16:
Reference:
ČSN 75 6101, ČSN EN 1401-1, ČSN 75 6909, ČSN EN 1610,D.1.2 situace, D.1.6 vzorové propustky, D.1.1 technická zpráva:
Specifikace:
plastové potrubí, PP, se zesílenou stěnou, DN 1000:
Stavební výrobek:
potrubí příčného propustku:
Typ stavebního výrobku:
potrubí:
Výrobce:
Nd:</t>
  </si>
  <si>
    <t xml:space="preserve"> Staničení: 0,18425 - 0,20861: 24,81 (2c7dpI16IXu000000018VX) = 24,810 [A]</t>
  </si>
  <si>
    <t xml:space="preserve"> Celkové množství 24.810000 = 24,810 [B]</t>
  </si>
  <si>
    <t>POTRUBÍ Z TRUB PLAST ODPAD DN DO 1200MM</t>
  </si>
  <si>
    <t>m</t>
  </si>
  <si>
    <t>Kategorie stavebního výrobku:
Klasifikace dle CCI:
Podrobná specifikace:
SN 16:
Reference:
ČSN 75 6101, ČSN EN 1401-1, ČSN 75 6909, ČSN EN 1610,D.1.2 situace, D.1.6 vzorové propustky, D.1.1 technická zpráva:
Specifikace:
plastové potrubí, PP, se zesílenou stěnou, DN 1200:
Stavební výrobek:
potrubí příčného propustku:
Typ stavebního výrobku:
potrubí:
Výrobce:
Nd:</t>
  </si>
  <si>
    <t xml:space="preserve"> Staničení: 0,15819 - 0,16912: 25,57 (2c7dpI16IXu000000018VM) = 25,570 [A]</t>
  </si>
  <si>
    <t xml:space="preserve"> Celkové množství 25.570000 = 25,570 [B]</t>
  </si>
  <si>
    <t>PLASTOVÉ POTRUBÍ DN 1200MM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</si>
  <si>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89712</t>
  </si>
  <si>
    <t>VPUSŤ KANALIZAČNÍ ULIČNÍ KOMPLETNÍ Z BETONOVÝCH DÍLCŮ</t>
  </si>
  <si>
    <t>Kategorie stavebního výrobku:
Klasifikace dle CCI:
Podrobná specifikace:
poklop D400, vtoková mříž probetonovou tvárnici, výška sestavy 1708 mm:
Reference:
D.1.1 technická zpráva, D.1.2 situace, D.1.8 vzorová uliční vpusť:
Specifikace:
betonové prefabrikované díly, DN 450, umístění ve zpevněném příkopu:
Stavební výrobek:
uliční vpusť betonová:
Typ stavebního výrobku:
uliční vpusť:
Výrobce:
Nd:</t>
  </si>
  <si>
    <t xml:space="preserve"> Staničení: 1,10881 - 1,10931: 1 (2c7dpI16IXu00000000nJz) = 1,000 [A]</t>
  </si>
  <si>
    <t xml:space="preserve"> Staničení: 0,68206 - 0,68257: 1 (2c7dpI16IXu00000000nGp) = 1,000 [B]</t>
  </si>
  <si>
    <t xml:space="preserve"> Staničení: 0,97862 - 0,97914: 1 (2c7dpI16IXu00000000x4m) = 1,000 [C]</t>
  </si>
  <si>
    <t xml:space="preserve"> Staničení: 0,77797 - 0,77849: 1 (2c7dpI16IXu00000000wuO) = 1,000 [D]</t>
  </si>
  <si>
    <t xml:space="preserve"> Celkové množství 4.000000 = 4,000 [E]</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</si>
  <si>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</si>
  <si>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Kategorie stavebního výrobku:
Klasifikace dle CCI:
Podrobná specifikace:
poklop D400, vtoková mříž probetonovou tvárnici, výška sestavy 2002 mm:
Reference:
D.1.1 technická zpráva, D.1.2 situace, D.1.8 vzorová uliční vpusť:
Specifikace:
betonové prefabrikované díly, DN 450, umístění ve zpevněném příkopu:
Stavební výrobek:
uliční vpusť betonová:
Typ stavebního výrobku:
uliční vpusť:
Výrobce:
Nd:</t>
  </si>
  <si>
    <t xml:space="preserve"> Staničení: 0,75949 - 0,76002: 1 (2c7dpI16IXu00000000xHd) = 1,000 [A]</t>
  </si>
  <si>
    <t xml:space="preserve"> Staničení: 0,67248 - 0,67301: 1 (2c7dpI16IXu00000000zCh) = 1,000 [B]</t>
  </si>
  <si>
    <t>Kategorie stavebního výrobku:
Klasifikace dle CCI:
Podrobná specifikace:
poklop D400, vtoková mříž pro monolitický žlab, výška sestavy 1745 mm:
Reference:
D.1.1 technická zpráva, D.1.2 situace, D.1.8 vzorová uliční vpusť:
Specifikace:
betonové prefabrikované díly, DN 450, umístění v monolitickém žlabu:
Stavební výrobek:
uliční vpusť betonová:
Typ stavebního výrobku:
uliční vpusť:
Výrobce:
Nd:</t>
  </si>
  <si>
    <t xml:space="preserve"> Staničení: 1,10928 - 1,10998: 1 (2c7dpI16IXu00000000h1N) = 1,000 [A]</t>
  </si>
  <si>
    <t xml:space="preserve"> Staničení: 1,08564 - 1,08634: 1 (2c7dpI16IXu00000000ekV) = 1,000 [B]</t>
  </si>
  <si>
    <t xml:space="preserve"> Staničení: 0,99764 - 0,99835: 1 (2c7dpI16IXu00000000f5t) = 1,000 [C]</t>
  </si>
  <si>
    <t xml:space="preserve"> Staničení: 1,04164 - 1,04235: 1 (2c7dpI16IXu00000000ez2) = 1,000 [D]</t>
  </si>
  <si>
    <t xml:space="preserve"> Staničení: 0,95364 - 0,95435: 1 (2c7dpI16IXu00000000fh_) = 1,000 [E]</t>
  </si>
  <si>
    <t xml:space="preserve"> Staničení: 0,67176 - 0,67247: 1 (2c7dpI16IXu00000000zCn) = 1,000 [F]</t>
  </si>
  <si>
    <t xml:space="preserve"> Celkové množství 6.000000 = 6,000 [G]</t>
  </si>
  <si>
    <t>Kategorie stavebního výrobku:
Klasifikace dle CCI:
Podrobná specifikace:
poklop D400, vtoková mříž pro monolitický žlab, výška sestavy 2316 mm:
Reference:
D.1.1 technická zpráva, D.1.2 situace, D.1.8 vzorová uliční vpusť:
Specifikace:
betonové prefabrikované díly, DN 450, umístění v monolitickém žlabu:
Stavební výrobek:
uliční vpusť betonová:
Typ stavebního výrobku:
uliční vpusť:
Výrobce:
Nd:</t>
  </si>
  <si>
    <t xml:space="preserve"> Staničení: 0,75931 - 0,76001: 1 (2c7dpI16IXu00000000wii) = 1,000 [A]</t>
  </si>
  <si>
    <t xml:space="preserve"> Staničení: 1,10928 - 1,10998: 1 (2c7dpI16IXu00000000h3Z) = 1,000 [B]</t>
  </si>
  <si>
    <t xml:space="preserve"> Staničení: 0,71798 - 0,71869: 1 (2c7dpI16IXu00000000mZO) = 1,000 [C]</t>
  </si>
  <si>
    <t xml:space="preserve"> Staničení: 1,08563 - 1,08634: 1 (2c7dpI16IXu00000000epg) = 1,000 [D]</t>
  </si>
  <si>
    <t xml:space="preserve"> Staničení: 1,1399 - 1,1406: 1 (2c7dpI16IXu00000000ebM) = 1,000 [E]</t>
  </si>
  <si>
    <t xml:space="preserve"> Celkové množství 5.000000 = 5,000 [F]</t>
  </si>
  <si>
    <t>Kategorie stavebního výrobku:
Klasifikace dle CCI:
Podrobná specifikace:
poklop D400, vtoková mříž pro monolitický žlab, výška sestavy 2611 mm:
Reference:
D.1.1 technická zpráva, D.1.2 situace, D.1.8 vzorová uliční vpusť:
Specifikace:
betonové prefabrikované díly, DN 450, umístění v monolitickém žlabu:
Stavební výrobek:
uliční vpusť betonová:
Typ stavebního výrobku:
uliční vpusť:
Výrobce:
Nd:</t>
  </si>
  <si>
    <t xml:space="preserve"> Staničení: 1,13992 - 1,14062: 1 (2c7dpI16IXu00000000eYg) = 1,000 [A]</t>
  </si>
  <si>
    <t xml:space="preserve"> Staničení: 1,04163 - 1,04233: 1 (2c7dpI16IXu00000000ewm) = 1,000 [B]</t>
  </si>
  <si>
    <t xml:space="preserve"> Staničení: 0,95364 - 0,95434: 1 (2c7dpI16IXu00000000fuV) = 1,000 [C]</t>
  </si>
  <si>
    <t xml:space="preserve"> Staničení: 0,99764 - 0,99834: 1 (2c7dpI16IXu00000000fIv) = 1,000 [D]</t>
  </si>
  <si>
    <t>6</t>
  </si>
  <si>
    <t>Kategorie stavebního výrobku:
Klasifikace dle CCI:
Podrobná specifikace:
poklop D400, vtoková mříž v samonivelačním rámu, výška sestavy 1747 mm:
Reference:
D.1.1 technická zpráva, D.1.2 situace, D.1.8 vzorová uliční vpusť:
Specifikace:
betonové prefabrikované díly, DN 450, umístění ve zpevněné krajnici:
Stavební výrobek:
uliční vpusť betonová:
Typ stavebního výrobku:
uliční vpusť:
Výrobce:
Nd:</t>
  </si>
  <si>
    <t xml:space="preserve"> Staničení: 0,84624 - 0,84677: 1 (2c7dpI16IXu00000000jl3) = 1,000 [A]</t>
  </si>
  <si>
    <t xml:space="preserve"> Staničení: 0,9127 - 0,91322: 1 (2c7dpI16IXu00000000cFh) = 1,000 [B]</t>
  </si>
  <si>
    <t xml:space="preserve"> Staničení: 0,8461 - 0,84663: 1 (2c7dpI16IXu00000000dSw) = 1,000 [C]</t>
  </si>
  <si>
    <t xml:space="preserve"> Staničení: 0,86302 - 0,86354: 1 (2c7dpI16IXu00000000ip$) = 1,000 [D]</t>
  </si>
  <si>
    <t>Kategorie stavebního výrobku:
Klasifikace dle CCI:
Podrobná specifikace:
poklop D400, vtoková mříž v samonivelačním rámu, výška sestavy 2042 mm:
Reference:
D.1.1 technická zpráva, D.1.2 situace, D.1.8 vzorová uliční vpusť:
Specifikace:
betonové prefabrikované díly, DN 450, ve zpevněné krajnici:
Stavební výrobek:
uliční vpusť betonová:
Typ stavebního výrobku:
uliční vpusť:
Výrobce:
Nd:</t>
  </si>
  <si>
    <t xml:space="preserve"> Staničení: 0,8626 - 0,86313: 1 (2c7dpI16IXu00000000cl8) = 1,000 [A]</t>
  </si>
  <si>
    <t xml:space="preserve"> Staničení: 0,91147 - 0,912: 1 (2c7dpI16IXu00000000WpV) = 1,000 [B]</t>
  </si>
  <si>
    <t xml:space="preserve"> Staničení: 0,79263 - 0,79316: 1 (2c7dpI16IXu00000000lDD) = 1,000 [C]</t>
  </si>
  <si>
    <t>899309</t>
  </si>
  <si>
    <t>DOPLŇKY NA POTRUBÍ - VÝSTRAŽNÁ FÓLIE</t>
  </si>
  <si>
    <t>Kategorie stavebního výrobku:
Klasifikace dle CCI:
Podrobná specifikace:
šedá:
Reference:
ČSN 75 6101, ČSN EN 1401-1, ČSN 75 6909, ČSN EN 1610, D.1.2 situace, D.1.1 technická zpráva, D.1.13 vzorové uložení přípojek:
Specifikace:
výstražná folie, š 0.33 m:
Stavební výrobek:
folie PVC:
Typ stavebního výrobku:
folie:
Výrobce:
Nd:</t>
  </si>
  <si>
    <t xml:space="preserve"> Staničení: 0,86358 - 0,87701: 17,7807 (2c7dpI16IXu00000000zLS) = 17,781 [A]</t>
  </si>
  <si>
    <t xml:space="preserve"> Staničení: 0,68295 - 0,69278: 15,2053 (2c7dpI16IXu00000000zLi) = 15,205 [B]</t>
  </si>
  <si>
    <t xml:space="preserve"> Staničení: 0,91334 - 0,92285: 13,6297 (2c7dpI16IXu00000000zLU) = 13,630 [C]</t>
  </si>
  <si>
    <t xml:space="preserve"> Staničení: 0,71896 - 0,71959: 1,286 (2c7dpI16IXu00000000zLN) = 1,286 [D]</t>
  </si>
  <si>
    <t xml:space="preserve"> Staničení: 1,11038 - 1,11067: 1,0402 (2c7dpI16IXu00000000zLd) = 1,040 [E]</t>
  </si>
  <si>
    <t xml:space="preserve"> Staničení: 1,04281 - 1,04302: 1,0285 (2c7dpI16IXu00000000zLZ) = 1,029 [F]</t>
  </si>
  <si>
    <t xml:space="preserve"> Staničení: 0,84674 - 0,85118: 6,1694 (2c7dpI16IXu00000000zLP) = 6,169 [G]</t>
  </si>
  <si>
    <t xml:space="preserve"> Staničení: 1,10895 - 1,12144: 17,378 (2c7dpI16IXu00000000zLf) = 17,378 [H]</t>
  </si>
  <si>
    <t xml:space="preserve"> Staničení: 1,04229 - 1,05205: 13,8799 (2c7dpI16IXu00000000zLa) = 13,880 [I]</t>
  </si>
  <si>
    <t xml:space="preserve"> Staničení: 0,77853 - 0,78973: 15,8899 (2c7dpI16IXu00000000zLA) = 15,890 [J]</t>
  </si>
  <si>
    <t xml:space="preserve"> Staničení: 0,95429 - 0,96406: 13,8872 (2c7dpI16IXu00000000zLW) = 13,887 [K]</t>
  </si>
  <si>
    <t xml:space="preserve"> Staničení: 0,67302 - 0,685: 12,1416 (2c7dpI16IXu00000000zLM) = 12,142 [L]</t>
  </si>
  <si>
    <t xml:space="preserve"> Staničení: 1,08628 - 1,09605: 13,8696 (2c7dpI16IXu00000000zLc) = 13,870 [M]</t>
  </si>
  <si>
    <t xml:space="preserve"> Staničení: 0,86329 - 0,86798: 6,3803 (2c7dpI16IXu00000000zLR) = 6,380 [N]</t>
  </si>
  <si>
    <t xml:space="preserve"> Staničení: 1,14033 - 1,14122: 1,0163 (2c7dpI16IXu00000000zLh) = 1,016 [O]</t>
  </si>
  <si>
    <t xml:space="preserve"> Staničení: 0,91231 - 0,91267: 1,1845 (2c7dpI16IXu00000000zLT) = 1,185 [P]</t>
  </si>
  <si>
    <t xml:space="preserve"> Staničení: 0,97896 - 0,99042: 16,5147 (2c7dpI16IXu00000000zLj) = 16,515 [Q]</t>
  </si>
  <si>
    <t xml:space="preserve"> Staničení: 0,99829 - 1,00806: 13,9001 (2c7dpI16IXu00000000zLY) = 13,900 [R]</t>
  </si>
  <si>
    <t xml:space="preserve"> Staničení: 0,75983 - 0,76054: 0,7104 (2c7dpI16IXu00000000zL9) = 0,710 [S]</t>
  </si>
  <si>
    <t xml:space="preserve"> Staničení: 0,79321 - 0,79442: 1,7391 (2c7dpI16IXu00000000zLO) = 1,739 [T]</t>
  </si>
  <si>
    <t xml:space="preserve"> Staničení: 1,10992 - 1,11962: 13,8231 (2c7dpI16IXu00000000zLe) = 13,823 [U]</t>
  </si>
  <si>
    <t xml:space="preserve"> Staničení: 0,84674 - 0,85917: 17,5704 (2c7dpI16IXu00000000zLQ) = 17,570 [V]</t>
  </si>
  <si>
    <t xml:space="preserve"> Staničení: 1,14034 - 1,14159: 1,5638 (2c7dpI16IXu00000000zLg) = 1,564 [W]</t>
  </si>
  <si>
    <t xml:space="preserve"> Staničení: 0,76029 - 0,76092: 1,2753 (2c7dpI16IXu000000019mc) = 1,275 [X]</t>
  </si>
  <si>
    <t xml:space="preserve"> Staničení: 0,95481 - 0,95503: 1,026 (2c7dpI16IXu00000000zLV) = 1,026 [Y]</t>
  </si>
  <si>
    <t xml:space="preserve"> Staničení: 0,67246 - 0,67273: 0,9329 (2c7dpI16IXu00000000zLL) = 0,933 [Z]</t>
  </si>
  <si>
    <t xml:space="preserve"> Staničení: 1,08681 - 1,08702: 1,036 (2c7dpI16IXu00000000zLb) = 1,036 [AA]</t>
  </si>
  <si>
    <t xml:space="preserve"> Staničení: 0,99881 - 0,99903: 1,0364 (2c7dpI16IXu00000000zLX) = 1,036 [AB]</t>
  </si>
  <si>
    <t xml:space="preserve"> Celkové množství 222.895000 = 222,895 [AC]</t>
  </si>
  <si>
    <t>- Položka zahrnuje veškerý materiál, výrobky a polotovary, včetně mimostaveništní a vnitrostaveništní dopravy (rovněž přesuny), včetně naložení a složení,případně s uložením.</t>
  </si>
  <si>
    <t>899522</t>
  </si>
  <si>
    <t>OBETONOVÁNÍ POTRUBÍ Z PROSTÉHO BETONU DO C12/15</t>
  </si>
  <si>
    <t>Materiál:
prostý beton:
podrobná specifikace:
obetonování potrubí propustku, C12/15 S1, tl. 150 mm:
Reference:
okolo potrubí suchá směs:
specifikace:
D.1.6, D.1.1 technická zpráva:</t>
  </si>
  <si>
    <t xml:space="preserve"> Staničení: 0,10467 - 0,12738: 11,8391942005573 (2c7dpI16IXu000000018Vt) = 11,839 [A]</t>
  </si>
  <si>
    <t xml:space="preserve"> Celkové množství 11.839000 = 11,839 [B]</t>
  </si>
  <si>
    <t xml:space="preserve"> Staničení: 0,75432 - 0,75818: 214,490078580598 (201A6cRmHklm0000000WBV) = 214,490 [A]</t>
  </si>
  <si>
    <t xml:space="preserve"> Celkové množství 214.490000 = 214,490 [B]</t>
  </si>
  <si>
    <t>Materiál:
ŠDA:
podrobná specifikace:
GE, zásyp hutněný po vrstvách:
Reference:
ČSN 73 6126-1, D.1.13 vzorové uložení přípojek, D.1.1 technická zpráva:
specifikace:
ŠDA fr. 0/63:</t>
  </si>
  <si>
    <t xml:space="preserve"> Staničení: 0,75432 - 0,75818: 100,504719731188 (201A6cRmHklm0000000WBW) = 100,505 [A]</t>
  </si>
  <si>
    <t xml:space="preserve"> Celkové množství 100.505000 = 100,505 [B]</t>
  </si>
  <si>
    <t xml:space="preserve"> Staničení: 0,75432 - 0,75818: 57,1257042845304 (201A6cRmHklm0000000WBU) = 57,126 [A]</t>
  </si>
  <si>
    <t xml:space="preserve"> Celkové množství 57.126000 = 57,126 [B]</t>
  </si>
  <si>
    <t xml:space="preserve"> Staničení: 0,75432 - 0,75818: 8,69999999995927 (201A6cRmHklm0000000WBT) = 8,700 [A]</t>
  </si>
  <si>
    <t xml:space="preserve"> Celkové množství 8.700000 = 8,700 [B]</t>
  </si>
  <si>
    <t>87634</t>
  </si>
  <si>
    <t>CHRÁNIČKY Z TRUB PLASTOVÝCH DN DO 200MM</t>
  </si>
  <si>
    <t>Kategorie stavebního výrobku:
Klasifikace dle CCI:
Podrobná specifikace:
bez ochranné folie, oboustranně vytyčit a vyznačit konce v úrovni terénu:
Reference:
D.1.1 technická zpráva, D.1.2 situace:
Specifikace:
plastové potrubí, HDPE, DN 200:
Stavební výrobek:
chránička plastová:
Typ stavebního výrobku:
potrubí:
Výrobce:
Nd:</t>
  </si>
  <si>
    <t xml:space="preserve"> Staničení: 0,75679 - 0,75771: 30 (201A6cRmHklm0000000WBS) = 30,000 [A]</t>
  </si>
  <si>
    <t xml:space="preserve"> Staničení: 0,75535 - 0,75637: 30 (201A6cRmHklm0000000WBQ) = 30,000 [B]</t>
  </si>
  <si>
    <t xml:space="preserve"> Staničení: 0,75607 - 0,75704: 30 (201A6cRmHklm0000000WBR) = 30,000 [C]</t>
  </si>
  <si>
    <t xml:space="preserve"> Staničení: 0,75463 - 0,7557: 30 (201A6cRmHklm0000000WBP) = 30,000 [D]</t>
  </si>
  <si>
    <t xml:space="preserve"> Celkové množství 120.000000 = 120,000 [E]</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</si>
  <si>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</si>
  <si>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SO102</t>
  </si>
  <si>
    <t>Přeložka silnice III/3532 v km 0,78233</t>
  </si>
  <si>
    <t>Materiál:
vhodný nenamrzavý materiál:
podrobná specifikace:
dosypávka zhutněným nenamrzavým materiálemza obrubami:
Reference:
ČSN 736133, D.2.4 vzorové řezy, D.2.1 technická zpráva:
specifikace:
dosypávka zhutněným nenamrzavým materiálem :</t>
  </si>
  <si>
    <t xml:space="preserve"> Staničení: 0,1366 - 0,13738: 0,0173731678472592 (2aboNnJ24lpW0000001ae$) = 0,017 [A]</t>
  </si>
  <si>
    <t xml:space="preserve"> Staničení: 0,1476 - 0,148: 0,0252737463850587 (2aboNnJ24lpW0000001bjY) = 0,025 [B]</t>
  </si>
  <si>
    <t xml:space="preserve"> Staničení: 0,0252 - 0,0829: 1,29954286996681 (2aboNnJ24lpW0000001adx) = 1,300 [C]</t>
  </si>
  <si>
    <t xml:space="preserve"> Staničení: 0,0125 - 0,02151: 1,55149632224148 (2aboNnJ24lpW0000000Z2F) = 1,551 [D]</t>
  </si>
  <si>
    <t xml:space="preserve"> Staničení: 0,1374 - 0,1431: 0,152171290349513 (2aboNnJ24lpW0000001bv$) = 0,152 [E]</t>
  </si>
  <si>
    <t xml:space="preserve"> Staničení: 2E-06 - 0,00249: 0,0198804541034943 (2aboNnJ24lpW0000001cSP) = 0,020 [F]</t>
  </si>
  <si>
    <t xml:space="preserve"> Staničení: 0,0261 - 0,03366: 0,22368186515589 (2aboNnJ24lpW0000001aGk) = 0,224 [G]</t>
  </si>
  <si>
    <t xml:space="preserve"> Staničení: 0,1245 - 0,12577: 0,0278035803012365 (2aboNnJ24lpW0000001aek) = 0,028 [H]</t>
  </si>
  <si>
    <t xml:space="preserve"> Staničení: 0,1441 - 0,14425: 0,00191186755056241 (2aboNnJ24lpW0000001bgF) = 0,002 [I]</t>
  </si>
  <si>
    <t xml:space="preserve"> Staničení: 0,0125 - 0,0215: 0,0967029478630821 (2aboNnJ24lpW0000000Z1r) = 0,097 [J]</t>
  </si>
  <si>
    <t xml:space="preserve"> Staničení: 0,1266 - 0,12946: 0,0288442419584999 (2aboNnJ24lpW0000001cca) = 0,029 [K]</t>
  </si>
  <si>
    <t xml:space="preserve"> Staničení: 0,0887 - 0,10099: 0,208880597397321 (2aboNnJ24lpW0000001aeC) = 0,209 [L]</t>
  </si>
  <si>
    <t xml:space="preserve"> Staničení: 0,013 - 0,01479: 0,0142036277653169 (2aboNnJ24lpW0000001Z_6) = 0,014 [M]</t>
  </si>
  <si>
    <t xml:space="preserve"> Staničení: 0,1429 - 0,1456: 0,134385676820446 (2aboNnJ24lpW0000001b_m) = 0,134 [N]</t>
  </si>
  <si>
    <t xml:space="preserve"> Staničení: 0,146 - 0,1478: 0,0523106567465081 (2aboNnJ24lpW0000001bnO) = 0,052 [O]</t>
  </si>
  <si>
    <t xml:space="preserve"> Staničení: 0,019 - 0,02003: 0,0134969785803264 (2aboNnJ24lpW0000001Zws) = 0,013 [P]</t>
  </si>
  <si>
    <t xml:space="preserve"> Staničení: 0,1443 - 0,1461: 0,0405841385800933 (2aboNnJ24lpW0000001bs9) = 0,041 [Q]</t>
  </si>
  <si>
    <t xml:space="preserve"> Staničení: 0,0397 - 0,09533: 0,835712108473533 (2aboNnJ24lpW0000001aG$) = 0,836 [R]</t>
  </si>
  <si>
    <t xml:space="preserve"> Celkové množství 4.744000 = 4,744 [S]</t>
  </si>
  <si>
    <t>Materiál:
úprava pláně se zhutněním v zemině I.třídy:
podrobná specifikace:
zhutněná zemní pláň tvořená na zlepšené zemině upravené vápněním, Edef,2=30MPa:
Reference:
ČSN 736133, ČSN EN 72 1006, D.2.4 vzorové řezy, D.2.1 technická zpráva:
specifikace:
úprava zemní pláně se zhutněním dle ČSN 736133, sklony pláně v souladu s ČSN 736101:</t>
  </si>
  <si>
    <t xml:space="preserve"> Staničení: 0,00149 - 0,148: 1086,94617861497 (2aboNnJ24lpW0000000d7C) = 1086,946 [A]</t>
  </si>
  <si>
    <t xml:space="preserve"> Celkové množství 1086.946000 = 1086,946 [B]</t>
  </si>
  <si>
    <t>Kategorie stavebního výrobku:
Klasifikace dle CCI:
Podrobná specifikace:
usazení do drážky v betonovém loži tl. 100 mm, obsyp hrubý štěrkopísek fr. 8/32, dle ČSN 73 6126-1, netkaná filtrační geotextilie 300g/m2, odolnost proti protržení min 2kN, pevnost v tahu 5kN, propustnost 10 l/m2.s, délka v průřezu 2.15m:
Reference:
VL 2, D.2.1 technická zpráva, vzorové příčné řezy:
Specifikace:
drenáž PE, DN 150, perforace ze 2/3:
Stavební výrobek:
drenážní potrubí včetně rýhy, lože, obsypu a opláštění z geotextilie:
Typ stavebního výrobku:
trativod komplet z trub z plast hmot:
Výrobce:
Nd:</t>
  </si>
  <si>
    <t xml:space="preserve"> délka z položky č. 212636 * průměrná délka v průřezu 2,1m Staničení: 0,0145 - 0,1458: 137,58*2,1 (2aboNnJ24lpW0000001caF) = 288,918 [A]</t>
  </si>
  <si>
    <t xml:space="preserve"> délka z položky č. 212636 * průměrná délka v průřezu 2,1m Staničení: 0,00944 - 0,01453: 8,42*2,1 (2aboNnJ24lpW0000001fOu) = 17,682 [B]</t>
  </si>
  <si>
    <t xml:space="preserve"> délka z položky č. 212636 * průměrná délka v průřezu 2,1m Staničení: 0,00304 - 0,14794: 146,13*2,1 (2aboNnJ24lpW0000001ZdB) = 306,873 [C]</t>
  </si>
  <si>
    <t xml:space="preserve"> Celkové množství 613.473000 = 613,473 [D]</t>
  </si>
  <si>
    <t xml:space="preserve"> Staničení: 0,0145 - 0,1458: 137,58 (2aboNnJ24lpW0000001caF) = 137,580 [A]</t>
  </si>
  <si>
    <t xml:space="preserve"> Staničení: 0,00944 - 0,01453: 8,42 (2aboNnJ24lpW0000001fOu) = 8,420 [B]</t>
  </si>
  <si>
    <t xml:space="preserve"> Staničení: 0,00304 - 0,14794: 146,13 (2aboNnJ24lpW0000001ZdB) = 146,130 [C]</t>
  </si>
  <si>
    <t xml:space="preserve"> Celkové množství 292.130000 = 292,130 [D]</t>
  </si>
  <si>
    <t>Materiál:
ŠDA:
podrobná specifikace:
GE:
Reference:
ČSN 73 6126-1, D.2.4 vzorové řezy, D.2.1 technická zpráva:
specifikace:
ŠDA fr. 0/63, tl. 150 mm:</t>
  </si>
  <si>
    <t xml:space="preserve"> Staničení: 0,146 - 0,148: 0,635790055492202 (2aboNnJ24lpW0000001blY) = 0,636 [A]</t>
  </si>
  <si>
    <t xml:space="preserve"> Staničení: 4E-06 - 0,0123: 6,70121997139871 (2aboNnJ24lpW0000001c6S) = 6,701 [B]</t>
  </si>
  <si>
    <t xml:space="preserve"> Staničení: 0,1431 - 0,148: 4,48975347120145 (2aboNnJ24lpW0000001byV) = 4,490 [C]</t>
  </si>
  <si>
    <t xml:space="preserve"> Staničení: 0,1476 - 0,148: 0,0262991109891141 (2aboNnJ24lpW0000001bha) = 0,026 [D]</t>
  </si>
  <si>
    <t xml:space="preserve"> Staničení: 0,1322 - 0,13738: 50,2782590293804 (2aboNnJ24lpW0000001ZgU) = 50,278 [E]</t>
  </si>
  <si>
    <t xml:space="preserve"> Staničení: 0,1441 - 0,14425: 0,055834234125764 (2aboNnJ24lpW0000001bcC) = 0,056 [F]</t>
  </si>
  <si>
    <t xml:space="preserve"> Staničení: 0,013 - 0,02151: 3,4979367347322 (2aboNnJ24lpW0000001Ztx) = 3,498 [G]</t>
  </si>
  <si>
    <t xml:space="preserve"> Staničení: 0,1322 - 0,1441: 52,2500739356914 (2aboNnJ24lpW0000001aBV) = 52,250 [H]</t>
  </si>
  <si>
    <t xml:space="preserve"> Staničení: 4E-06 - 0,02151: 9,65806168219556 (2aboNnJ24lpW0000001c9g) = 9,658 [I]</t>
  </si>
  <si>
    <t xml:space="preserve"> Staničení: 1E-06 - 0,00219: 0,0371387297191506 (2aboNnJ24lpW0000001cPB) = 0,037 [J]</t>
  </si>
  <si>
    <t xml:space="preserve"> Staničení: 2E-06 - 0,0069: 2,25630936306003 (2aboNnJ24lpW0000001cJL) = 2,256 [K]</t>
  </si>
  <si>
    <t xml:space="preserve"> Staničení: 4E-06 - 0,01299: 3,73151690327965 (2aboNnJ24lpW0000001cDD) = 3,732 [L]</t>
  </si>
  <si>
    <t xml:space="preserve"> Staničení: 0,1374 - 0,148: 4,87622180582854 (2aboNnJ24lpW0000001bu9) = 4,876 [M]</t>
  </si>
  <si>
    <t xml:space="preserve"> Staničení: 0,1443 - 0,148: 1,27377650591602 (2aboNnJ24lpW0000001bpp) = 1,274 [N]</t>
  </si>
  <si>
    <t xml:space="preserve"> Celkové množství 139.768000 = 139,768 [O]</t>
  </si>
  <si>
    <t xml:space="preserve"> Staničení: 0,13738 - 0,14305: 0,302243819779644 (2aboNnJ24lpW0000001icb) = 0,302 [A]</t>
  </si>
  <si>
    <t xml:space="preserve"> Staničení: 0,00951 - 0,01267: 0,544320715692996 (2aboNnJ24lpW0000001id4) = 0,544 [B]</t>
  </si>
  <si>
    <t xml:space="preserve"> Staničení: 0,14287 - 0,14555: 0,266829845785588 (2aboNnJ24lpW0000001ico) = 0,267 [C]</t>
  </si>
  <si>
    <t xml:space="preserve"> Staničení: 0,14751 - 0,14795: 0,0548078578019603 (2aboNnJ24lpW0000001idZ) = 0,055 [D]</t>
  </si>
  <si>
    <t xml:space="preserve"> Staničení: 0,14599 - 0,14775: 0,0916626861584329 (2aboNnJ24lpW0000001icB) = 0,092 [E]</t>
  </si>
  <si>
    <t xml:space="preserve"> Staničení: 0,14425 - 0,14611: 0,0727224066314781 (2aboNnJ24lpW0000001icO) = 0,073 [F]</t>
  </si>
  <si>
    <t xml:space="preserve"> Staničení: 0,01249 - 0,02151: 0,547758246989951 (2aboNnJ24lpW0000001idH) = 0,548 [G]</t>
  </si>
  <si>
    <t xml:space="preserve"> Celkové množství 1.881000 = 1,881 [H]</t>
  </si>
  <si>
    <t xml:space="preserve"> Staničení: 0,0887 - 0,10099: 0,0299551225128563 (2aboNnJ24lpW0000001ab$) = 0,030 [A]</t>
  </si>
  <si>
    <t xml:space="preserve"> Staničení: 0,0215 - 0,02594: 0,332448244079805 (2aboNnJ24lpW0000001baY) = 0,332 [B]</t>
  </si>
  <si>
    <t xml:space="preserve"> Staničení: 0,1374 - 0,148: 6,13793171661705 (2aboNnJ24lpW0000001buQ) = 6,138 [C]</t>
  </si>
  <si>
    <t xml:space="preserve"> Staničení: 0,1322 - 0,1441: 0,884071168675557 (2aboNnJ24lpW0000001aQj) = 0,884 [D]</t>
  </si>
  <si>
    <t xml:space="preserve"> Staničení: 0,0261 - 0,03366: 0,571047949812011 (2aboNnJ24lpW0000001aFb) = 0,571 [E]</t>
  </si>
  <si>
    <t xml:space="preserve"> Staničení: 0,026 - 0,02604: 0,00601545917634845 (2aboNnJ24lpW0000001bPB) = 0,006 [F]</t>
  </si>
  <si>
    <t xml:space="preserve"> Staničení: 2E-06 - 0,00702: 2,5254190999595 (2aboNnJ24lpW0000001cJc) = 2,525 [G]</t>
  </si>
  <si>
    <t xml:space="preserve"> Staničení: 0,1443 - 0,148: 1,3837134621558 (2aboNnJ24lpW0000001bqB) = 1,384 [H]</t>
  </si>
  <si>
    <t xml:space="preserve"> Staničení: 0,1476 - 0,148: 0,0264590149786975 (2aboNnJ24lpW0000001bhr) = 0,026 [I]</t>
  </si>
  <si>
    <t xml:space="preserve"> Staničení: 0,1179 - 0,12454: 0,274943284407391 (2aboNnJ24lpW0000001b3j) = 0,275 [J]</t>
  </si>
  <si>
    <t xml:space="preserve"> Staničení: 0,0337 - 0,03965: 0,449474451283212 (2aboNnJ24lpW0000001aKA) = 0,449 [K]</t>
  </si>
  <si>
    <t xml:space="preserve"> Staničení: 0,013 - 0,01479: 0,115413733318179 (2aboNnJ24lpW0000001Z_N) = 0,115 [L]</t>
  </si>
  <si>
    <t xml:space="preserve"> Staničení: 0,0201 - 0,02151: 0,104933598719608 (2aboNnJ24lpW0000001ZsN) = 0,105 [M]</t>
  </si>
  <si>
    <t xml:space="preserve"> Staničení: 0,1366 - 0,13738: 0,0607131462724257 (2aboNnJ24lpW0000001adP) = 0,061 [N]</t>
  </si>
  <si>
    <t xml:space="preserve"> Staničení: 0,019 - 0,02003: 0,0740676543715588 (2aboNnJ24lpW0000001ZwK) = 0,074 [O]</t>
  </si>
  <si>
    <t xml:space="preserve"> Staničení: 0,0397 - 0,09533: 4,14318860936984 (2aboNnJ24lpW0000001aG7) = 4,143 [P]</t>
  </si>
  <si>
    <t xml:space="preserve"> Staničení: 0,0252 - 0,0829: 4,31763881034729 (2aboNnJ24lpW0000001ab7) = 4,318 [Q]</t>
  </si>
  <si>
    <t xml:space="preserve"> Staničení: 0,1429 - 0,1456: 0,0209073322594896 (2aboNnJ24lpW0000001b_V) = 0,021 [R]</t>
  </si>
  <si>
    <t xml:space="preserve"> Staničení: 0,0991 - 0,09917: 0,00757213800399402 (2aboNnJ24lpW0000001bRa) = 0,008 [S]</t>
  </si>
  <si>
    <t xml:space="preserve"> Staničení: 0,1441 - 0,14425: 0,0585972409700011 (2aboNnJ24lpW0000001bca) = 0,059 [T]</t>
  </si>
  <si>
    <t xml:space="preserve"> Staničení: 0,1265 - 0,12662: 0,0113011644855061 (2aboNnJ24lpW0000001akm) = 0,011 [U]</t>
  </si>
  <si>
    <t xml:space="preserve"> Staničení: 0,1364 - 0,13657: 0,0110633466137683 (2aboNnJ24lpW0000001atE) = 0,011 [V]</t>
  </si>
  <si>
    <t xml:space="preserve"> Staničení: 0,0148 - 0,01483: 0,00309261202212148 (2aboNnJ24lpW0000001a1M) = 0,003 [W]</t>
  </si>
  <si>
    <t xml:space="preserve"> Staničení: 4E-06 - 0,01249: 8,83772979573022 (2aboNnJ24lpW0000001c6j) = 8,838 [X]</t>
  </si>
  <si>
    <t xml:space="preserve"> Staničení: 0,1322 - 0,13738: 52,7001136789304 (2aboNnJ24lpW0000001Zgw) = 52,700 [Y]</t>
  </si>
  <si>
    <t xml:space="preserve"> Staničení: 0,0261 - 0,03366: 0,017558542163295 (2aboNnJ24lpW0000001aFs) = 0,018 [Z]</t>
  </si>
  <si>
    <t xml:space="preserve"> Staničení: 4E-06 - 0,01299: 4,2384030938789 (2aboNnJ24lpW0000001cDU) = 4,238 [AA]</t>
  </si>
  <si>
    <t xml:space="preserve"> Staničení: 0,002 - 0,00715: 0,254404126717473 (2aboNnJ24lpW0000001cMU) = 0,254 [AB]</t>
  </si>
  <si>
    <t xml:space="preserve"> Staničení: 0,1431 - 0,148: 5,22354640921949 (2aboNnJ24lpW0000001byt) = 5,224 [AC]</t>
  </si>
  <si>
    <t xml:space="preserve"> Staničení: 0,0069 - 0,01299: 0,258137111808908 (2aboNnJ24lpW0000001cGM) = 0,258 [AD]</t>
  </si>
  <si>
    <t xml:space="preserve"> Staničení: 0,0887 - 0,10099: 0,962044433554385 (2aboNnJ24lpW0000001abk) = 0,962 [AE]</t>
  </si>
  <si>
    <t xml:space="preserve"> Staničení: 0,002 - 0,00716: 0,0162056923489997 (2aboNnJ24lpW0000001cMl) = 0,016 [AF]</t>
  </si>
  <si>
    <t xml:space="preserve"> Staničení: 0,0215 - 0,02522: 0,278244710068779 (2aboNnJ24lpW0000001a_f) = 0,278 [AG]</t>
  </si>
  <si>
    <t xml:space="preserve"> Staničení: 1E-06 - 0,00242: 0,091982096743096 (2aboNnJ24lpW0000001cSg) = 0,092 [AH]</t>
  </si>
  <si>
    <t xml:space="preserve"> Staničení: 0,146 - 0,1478: 0,00575612700436762 (2aboNnJ24lpW0000001bn7) = 0,006 [AI]</t>
  </si>
  <si>
    <t xml:space="preserve"> Staničení: 0,1031 - 0,10725: 0,301986522534788 (2aboNnJ24lpW0000001b9F) = 0,302 [AJ]</t>
  </si>
  <si>
    <t xml:space="preserve"> Staničení: 0,019 - 0,02003: 0,00227742702519687 (2aboNnJ24lpW0000001Zwb) = 0,002 [AK]</t>
  </si>
  <si>
    <t xml:space="preserve"> Staničení: 0,013 - 0,01479: 0,00399587548641787 (2aboNnJ24lpW0000001Z_j) = 0,004 [AL]</t>
  </si>
  <si>
    <t xml:space="preserve"> Staničení: 0,1441 - 0,14425: 0,00627649947628415 (2aboNnJ24lpW0000001bff) = 0,006 [AM]</t>
  </si>
  <si>
    <t xml:space="preserve"> Staničení: 0,013 - 0,02151: 3,65803365544941 (2aboNnJ24lpW0000001ZuJ) = 3,658 [AN]</t>
  </si>
  <si>
    <t xml:space="preserve"> Staničení: 0,1374 - 0,1431: 0,027902205417761 (2aboNnJ24lpW0000001bvk) = 0,028 [AO]</t>
  </si>
  <si>
    <t xml:space="preserve"> Staničení: 0,0397 - 0,09533: 0,128522623350139 (2aboNnJ24lpW0000001aGT) = 0,129 [AP]</t>
  </si>
  <si>
    <t xml:space="preserve"> Staničení: 0,0252 - 0,0829: 0,133692434267121 (2aboNnJ24lpW0000001abT) = 0,134 [AQ]</t>
  </si>
  <si>
    <t xml:space="preserve"> Staničení: 0,1476 - 0,148: 0,00368667182228558 (2aboNnJ24lpW0000001bjH) = 0,004 [AR]</t>
  </si>
  <si>
    <t xml:space="preserve"> Staničení: 0,132 - 0,13215: 0,00647511212664527 (2aboNnJ24lpW0000001ZfO) = 0,006 [AS]</t>
  </si>
  <si>
    <t xml:space="preserve"> Staničení: 0,1266 - 0,132: 0,405014028726777 (2aboNnJ24lpW0000001ZcW) = 0,405 [AT]</t>
  </si>
  <si>
    <t xml:space="preserve"> Staničení: 0,101 - 0,1092: 0,635566505536903 (2aboNnJ24lpW0000001aTS) = 0,636 [AU]</t>
  </si>
  <si>
    <t xml:space="preserve"> Staničení: 0,1074 - 0,12647: 1,42135648932767 (2aboNnJ24lpW0000001aQS) = 1,421 [AV]</t>
  </si>
  <si>
    <t xml:space="preserve"> Staničení: 1E-06 - 0,00219: 0,0370556747855819 (2aboNnJ24lpW0000001cPd) = 0,037 [AW]</t>
  </si>
  <si>
    <t xml:space="preserve"> Staničení: 0,0069 - 0,01299: 0,0195489579747382 (2aboNnJ24lpW0000001cGd) = 0,020 [AX]</t>
  </si>
  <si>
    <t xml:space="preserve"> Staničení: 0,1258 - 0,12592: 0,0105363063072974 (2aboNnJ24lpW0000001asz) = 0,011 [AY]</t>
  </si>
  <si>
    <t xml:space="preserve"> Staničení: 0,1443 - 0,1461: 0,00493176855360418 (2aboNnJ24lpW0000001bru) = 0,005 [AZ]</t>
  </si>
  <si>
    <t xml:space="preserve"> Staničení: 0,1322 - 0,1441: 54,6266927841324 (2aboNnJ24lpW0000001aC3) = 54,627 [BA]</t>
  </si>
  <si>
    <t xml:space="preserve"> Staničení: 2E-06 - 0,00245: 0,00633782177078006 (2aboNnJ24lpW0000001cT2) = 0,006 [BB]</t>
  </si>
  <si>
    <t xml:space="preserve"> Staničení: 4E-06 - 0,02151: 13,4483273365244 (2aboNnJ24lpW0000001cA2) = 13,448 [BC]</t>
  </si>
  <si>
    <t xml:space="preserve"> Staničení: 0,015 - 0,01904: 0,304070711565912 (2aboNnJ24lpW0000001Znq) = 0,304 [BD]</t>
  </si>
  <si>
    <t xml:space="preserve"> Staničení: 0,0954 - 0,09906: 0,266599511150473 (2aboNnJ24lpW0000001b8_) = 0,267 [BE]</t>
  </si>
  <si>
    <t xml:space="preserve"> Staničení: 0,02 - 0,02011: 0,00509397516959638 (2aboNnJ24lpW0000001Zpk) = 0,005 [BF]</t>
  </si>
  <si>
    <t xml:space="preserve"> Staničení: 0,0148 - 0,01498: 0,0111415189084617 (2aboNnJ24lpW0000001a5L) = 0,011 [BG]</t>
  </si>
  <si>
    <t xml:space="preserve"> Staničení: 0,0829 - 0,08866: 0,449285932490522 (2aboNnJ24lpW0000001a_w) = 0,449 [BH]</t>
  </si>
  <si>
    <t xml:space="preserve"> Staničení: 0,0953 - 0,09542: 0,00490335775698192 (2aboNnJ24lpW0000001bE1) = 0,005 [BI]</t>
  </si>
  <si>
    <t xml:space="preserve"> Staničení: 0,1073 - 0,10741: 0,0115252216749414 (2aboNnJ24lpW0000001bGx) = 0,012 [BJ]</t>
  </si>
  <si>
    <t xml:space="preserve"> Staničení: 0,1259 - 0,13642: 0,790474084326641 (2aboNnJ24lpW0000001anw) = 0,790 [BK]</t>
  </si>
  <si>
    <t xml:space="preserve"> Staničení: 0,0992 - 0,103: 0,28146596613641 (2aboNnJ24lpW0000001bVp) = 0,281 [BL]</t>
  </si>
  <si>
    <t xml:space="preserve"> Staničení: 0,146 - 0,148: 0,748322143351246 (2aboNnJ24lpW0000001blp) = 0,748 [BM]</t>
  </si>
  <si>
    <t xml:space="preserve"> Staničení: 0,1366 - 0,13738: 0,00187171388243827 (2aboNnJ24lpW0000001adg) = 0,002 [BN]</t>
  </si>
  <si>
    <t xml:space="preserve"> Staničení: 0,103 - 0,10312: 0,00770572428067438 (2aboNnJ24lpW0000001bKh) = 0,008 [BO]</t>
  </si>
  <si>
    <t xml:space="preserve"> Celkové množství 172.204000 = 172,204 [BP]</t>
  </si>
  <si>
    <t>Materiál:
modifikovaná asfaltová kationaktivní emulze:
podrobná specifikace:
0.3kg/m2:
Reference:
ČSN 73 6129, D.2.4 vzorové řezy, D.2.1 technická zpráva:
specifikace:
PS-C:</t>
  </si>
  <si>
    <t xml:space="preserve"> Staničení: 0,00221 - 0,148: 935,068356146443 (2aboNnJ24lpW0000000d7A) = 935,068 [A]</t>
  </si>
  <si>
    <t xml:space="preserve"> Celkové množství 935.068000 = 935,068 [B]</t>
  </si>
  <si>
    <t>Materiál:
modifikovaná asfaltová kationaktivní emulze:
podrobná specifikace:
0.6kg/m2:
Reference:
ČSN 73 6129, D.2.4 vzorové řezy, D.2.1 technická zpráva:
specifikace:
PS-C:</t>
  </si>
  <si>
    <t xml:space="preserve"> Staničení: 0,00221 - 0,148: 934,340670528689 (2aboNnJ24lpW0000000d7B) = 934,341 [A]</t>
  </si>
  <si>
    <t xml:space="preserve"> Celkové množství 934.341000 = 934,341 [B]</t>
  </si>
  <si>
    <t>Materiál:
asfaltový beton pro obrusnou vrstvu:
podrobná specifikace:
nemodifikovaný:
Reference:
ČSN EN 13108-1, D.2.4 vzorové řezy, D.2.1 technická zpráva:
specifikace:
ACO 11+ 50/70, tl. 40mm:</t>
  </si>
  <si>
    <t xml:space="preserve"> Staničení: 0,013 - 0,02151: 0,932632121760306 (2aboNnJ24lpW0000001Zsv) = 0,933 [A]</t>
  </si>
  <si>
    <t xml:space="preserve"> Staničení: 0,1431 - 0,148: 1,1971195809152 (2aboNnJ24lpW0000001bxT) = 1,197 [B]</t>
  </si>
  <si>
    <t xml:space="preserve"> Staničení: 4E-06 - 0,02151: 2,57533188722346 (2aboNnJ24lpW0000001c8e) = 2,575 [C]</t>
  </si>
  <si>
    <t xml:space="preserve"> Staničení: 0,1322 - 0,13738: 13,407236434352 (2aboNnJ24lpW0000001aA7) = 13,407 [D]</t>
  </si>
  <si>
    <t xml:space="preserve"> Staničení: 0,146 - 0,148: 0,169544019225001 (2aboNnJ24lpW0000001bkl) = 0,170 [E]</t>
  </si>
  <si>
    <t xml:space="preserve"> Staničení: 0,1374 - 0,148: 1,30032581488705 (2aboNnJ24lpW0000001btM) = 1,300 [F]</t>
  </si>
  <si>
    <t xml:space="preserve"> Staničení: 1E-06 - 0,00219: 0,00994490649077631 (2aboNnJ24lpW0000001cOO) = 0,010 [G]</t>
  </si>
  <si>
    <t xml:space="preserve"> Staničení: 0,1476 - 0,148: 0,00701309626375899 (2aboNnJ24lpW0000001bgn) = 0,007 [H]</t>
  </si>
  <si>
    <t xml:space="preserve"> Staničení: 0,1443 - 0,148: 0,339635592580602 (2aboNnJ24lpW0000001bon) = 0,340 [I]</t>
  </si>
  <si>
    <t xml:space="preserve"> Staničení: 0,1322 - 0,1441: 13,9784689679384 (2aboNnJ24lpW0000001a9d) = 13,978 [J]</t>
  </si>
  <si>
    <t xml:space="preserve"> Staničení: 4E-06 - 0,0123: 1,78699199241359 (2aboNnJ24lpW0000001c5f) = 1,787 [K]</t>
  </si>
  <si>
    <t xml:space="preserve"> Staničení: 0,1441 - 0,14425: 0,0147370928864842 (2aboNnJ24lpW0000001bb4) = 0,015 [L]</t>
  </si>
  <si>
    <t xml:space="preserve"> Staničení: 2E-06 - 0,0069: 0,601701380322795 (2aboNnJ24lpW0000001cIY) = 0,602 [M]</t>
  </si>
  <si>
    <t xml:space="preserve"> Staničení: 4E-06 - 0,01299: 1,00411095254138 (2aboNnJ24lpW0000001cCQ) = 1,004 [N]</t>
  </si>
  <si>
    <t xml:space="preserve"> Celkové množství 37.325000 = 37,325 [O]</t>
  </si>
  <si>
    <t>Materiál:
asfaltový beton pro ložní vrstvu:
podrobná specifikace:
vrstva se zvýšenou odolností proti prokopírování trhlin s modifikací CRmB dle TP 148, tab. 3 podle 4.4.1:
Reference:
ČSN EN 13108-1, TP 148, D.2.4 vzorové řezy, D.2.1 technická zpráva:
specifikace:
ACL 16S 50/70, tl. 60mm:</t>
  </si>
  <si>
    <t xml:space="preserve"> Staničení: 2E-06 - 0,0069: 0,902552070553361 (2aboNnJ24lpW0000001cIp) = 0,903 [A]</t>
  </si>
  <si>
    <t xml:space="preserve"> Staničení: 0,013 - 0,02151: 1,39894818233457 (2aboNnJ24lpW0000001ZtF) = 1,399 [B]</t>
  </si>
  <si>
    <t xml:space="preserve"> Staničení: 4E-06 - 0,01299: 1,50616726558947 (2aboNnJ24lpW0000001cCh) = 1,506 [C]</t>
  </si>
  <si>
    <t xml:space="preserve"> Staničení: 4E-06 - 0,0123: 2,68048798857792 (2aboNnJ24lpW0000001c5w) = 2,680 [D]</t>
  </si>
  <si>
    <t xml:space="preserve"> Staničení: 0,1441 - 0,14425: 0,0221056393291104 (2aboNnJ24lpW0000001bbS) = 0,022 [E]</t>
  </si>
  <si>
    <t xml:space="preserve"> Staničení: 0,146 - 0,148: 0,254316027066848 (2aboNnJ24lpW0000001bl0) = 0,254 [F]</t>
  </si>
  <si>
    <t xml:space="preserve"> Staničení: 0,1374 - 0,148: 1,95048872233242 (2aboNnJ24lpW0000001btd) = 1,950 [G]</t>
  </si>
  <si>
    <t xml:space="preserve"> Staničení: 0,1322 - 0,1441: 20,9676929767889 (2aboNnJ24lpW0000001aAV) = 20,968 [H]</t>
  </si>
  <si>
    <t xml:space="preserve"> Staničení: 0,1443 - 0,148: 0,509453380600586 (2aboNnJ24lpW0000001bp7) = 0,509 [I]</t>
  </si>
  <si>
    <t xml:space="preserve"> Staničení: 4E-06 - 0,02151: 3,86299783176361 (2aboNnJ24lpW0000001c8_) = 3,863 [J]</t>
  </si>
  <si>
    <t xml:space="preserve"> Staničení: 0,1476 - 0,148: 0,0105196443956581 (2aboNnJ24lpW0000001bh2) = 0,011 [K]</t>
  </si>
  <si>
    <t xml:space="preserve"> Staničení: 1E-06 - 0,00219: 0,0149173597361933 (2aboNnJ24lpW0000001cOf) = 0,015 [L]</t>
  </si>
  <si>
    <t xml:space="preserve"> Staničení: 0,1322 - 0,13738: 20,1108562666922 (2aboNnJ24lpW0000001Zfk) = 20,111 [M]</t>
  </si>
  <si>
    <t xml:space="preserve"> Staničení: 0,1431 - 0,148: 1,7956793720098 (2aboNnJ24lpW0000001bxp) = 1,796 [N]</t>
  </si>
  <si>
    <t xml:space="preserve"> Celkové množství 55.987000 = 55,987 [O]</t>
  </si>
  <si>
    <t>574E06</t>
  </si>
  <si>
    <t>ASFALTOVÝ BETON PRO PODKLADNÍ VRSTVY ACP 16+, 16S</t>
  </si>
  <si>
    <t>Materiál:
asfaltový beton pro podkladní vrstvu:
podrobná specifikace:
nemodifikovaný:
Reference:
ČSN EN 13108-1, D.2.4 vzorové řezy, D.2.1 technická zpráva:
specifikace:
ACP 16+ 50/70, tl. 50mm:</t>
  </si>
  <si>
    <t xml:space="preserve"> Staničení: 0,1476 - 0,148: 0,0087663703296978 (2aboNnJ24lpW0000001bhJ) = 0,009 [A]</t>
  </si>
  <si>
    <t xml:space="preserve"> Staničení: 4E-06 - 0,02151: 3,21916485959277 (2aboNnJ24lpW0000001c9K) = 3,219 [B]</t>
  </si>
  <si>
    <t xml:space="preserve"> Staničení: 0,1441 - 0,14425: 0,01842136610765 (2aboNnJ24lpW0000001bbo) = 0,018 [C]</t>
  </si>
  <si>
    <t xml:space="preserve"> Staničení: 2E-06 - 0,0069: 0,752126725460458 (2aboNnJ24lpW0000001cJ4) = 0,752 [D]</t>
  </si>
  <si>
    <t xml:space="preserve"> Staničení: 0,1443 - 0,148: 0,424544486976316 (2aboNnJ24lpW0000001bpT) = 0,425 [E]</t>
  </si>
  <si>
    <t xml:space="preserve"> Staničení: 1E-06 - 0,00219: 0,0124311331134703 (2aboNnJ24lpW0000001cOw) = 0,012 [F]</t>
  </si>
  <si>
    <t xml:space="preserve"> Staničení: 0,013 - 0,02151: 1,16579015179642 (2aboNnJ24lpW0000001Ztb) = 1,166 [G]</t>
  </si>
  <si>
    <t xml:space="preserve"> Staničení: 4E-06 - 0,01299: 1,25513910918409 (2aboNnJ24lpW0000001cCy) = 1,255 [H]</t>
  </si>
  <si>
    <t xml:space="preserve"> Staničení: 4E-06 - 0,0123: 2,23373999049439 (2aboNnJ24lpW0000001c6B) = 2,234 [I]</t>
  </si>
  <si>
    <t xml:space="preserve"> Staničení: 0,146 - 0,148: 0,211930023145774 (2aboNnJ24lpW0000001blH) = 0,212 [J]</t>
  </si>
  <si>
    <t xml:space="preserve"> Staničení: 0,1374 - 0,148: 1,62540726860891 (2aboNnJ24lpW0000001btu) = 1,625 [K]</t>
  </si>
  <si>
    <t xml:space="preserve"> Staničení: 0,1322 - 0,13738: 16,7590463488735 (2aboNnJ24lpW0000001Zg6) = 16,759 [L]</t>
  </si>
  <si>
    <t xml:space="preserve"> Staničení: 0,1431 - 0,148: 1,49639947637477 (2aboNnJ24lpW0000001by9) = 1,496 [M]</t>
  </si>
  <si>
    <t xml:space="preserve"> Staničení: 0,1322 - 0,1441: 17,4730809754475 (2aboNnJ24lpW0000001aA$) = 17,473 [N]</t>
  </si>
  <si>
    <t xml:space="preserve"> Celkové množství 46.655000 = 46,655 [O]</t>
  </si>
  <si>
    <t>917224</t>
  </si>
  <si>
    <t>SILNIČNÍ A CHODNÍKOVÉ OBRUBY Z BETONOVÝCH OBRUBNÍKŮ ŠÍŘ 150MM</t>
  </si>
  <si>
    <t>Kategorie stavebního výrobku:
Klasifikace dle CCI:
Podrobná specifikace:
obrubník silniční 1000x150x250, výška podstupnice 0.08m - 0.15m:
Reference:
TKP10, vzorové příčné řezy, D.2.1 technická zpráva:
Specifikace:
obrubník silniční 1000x150x250, do betonového lože C20/25nXF3:
Stavební výrobek:
betonový obrubník silniční :
Typ stavebního výrobku:
obrubník:
Výrobce:
Nd:</t>
  </si>
  <si>
    <t xml:space="preserve"> Staničení: 0,00133 - 0,00233: 2,55 (2aboNnJ24lpW0000001gGo) = 2,550 [A]</t>
  </si>
  <si>
    <t xml:space="preserve"> Staničení: 0,146 - 0,1478: 2,61 (2aboNnJ24lpW0000001gET) = 2,610 [B]</t>
  </si>
  <si>
    <t xml:space="preserve"> Staničení: 0,0261 - 0,03366: 7,63 (2aboNnJ24lpW0000001gAT) = 7,630 [C]</t>
  </si>
  <si>
    <t xml:space="preserve"> Staničení: 0,002 - 0,0071: 7,17 (2aboNnJ24lpW0000001gGY) = 7,170 [D]</t>
  </si>
  <si>
    <t xml:space="preserve"> Staničení: 0,0095 - 0,01267: 13,16 (2aboNnJ24lpW0000001gHY) = 13,160 [E]</t>
  </si>
  <si>
    <t xml:space="preserve"> Staničení: 0,1441 - 0,14425: 0,15 (2aboNnJ24lpW0000001bdF) = 0,150 [F]</t>
  </si>
  <si>
    <t xml:space="preserve"> Staničení: 0,1429 - 0,1456: 6,5 (2aboNnJ24lpW0000001gFI) = 6,500 [G]</t>
  </si>
  <si>
    <t xml:space="preserve"> Staničení: 0,0069 - 0,01299: 6,23 (2aboNnJ24lpW0000001gGI) = 6,230 [H]</t>
  </si>
  <si>
    <t xml:space="preserve"> Staničení: 0,1374 - 0,1431: 6,22 (2aboNnJ24lpW0000001gF2) = 6,220 [I]</t>
  </si>
  <si>
    <t xml:space="preserve"> Staničení: 0,0125 - 0,02151: 10,21 (2aboNnJ24lpW0000001gG2) = 10,210 [J]</t>
  </si>
  <si>
    <t xml:space="preserve"> Staničení: 0,1476 - 0,148: 1,51 (2aboNnJ24lpW0000001gED) = 1,510 [K]</t>
  </si>
  <si>
    <t xml:space="preserve"> Staničení: 0,0887 - 0,10099: 12,73 (2aboNnJ24lpW0000001gBD) = 12,730 [L]</t>
  </si>
  <si>
    <t xml:space="preserve"> Staničení: 0,1258 - 0,12592: 0,15 (2aboNnJ24lpW0000001gCD) = 0,150 [M]</t>
  </si>
  <si>
    <t xml:space="preserve"> Staničení: 0,0252 - 0,0829: 57,71 (2aboNnJ24lpW0000001gAz) = 57,710 [N]</t>
  </si>
  <si>
    <t xml:space="preserve"> Staničení: 0,1366 - 0,13738: 0,81 (2aboNnJ24lpW0000001gBz) = 0,810 [O]</t>
  </si>
  <si>
    <t xml:space="preserve"> Staničení: 0,013 - 0,01479: 1,8 (2aboNnJ24lpW0000001g9z) = 1,800 [P]</t>
  </si>
  <si>
    <t xml:space="preserve"> Staničení: 0,1443 - 0,1461: 1,93 (2aboNnJ24lpW0000001gEj) = 1,930 [Q]</t>
  </si>
  <si>
    <t xml:space="preserve"> Staničení: 0,0397 - 0,09533: 55,28 (2aboNnJ24lpW0000001gAj) = 55,280 [R]</t>
  </si>
  <si>
    <t xml:space="preserve"> Staničení: 0,1245 - 0,12577: 1,23 (2aboNnJ24lpW0000001gBj) = 1,230 [S]</t>
  </si>
  <si>
    <t xml:space="preserve"> Staničení: 0,1364 - 0,13657: 0,15 (2aboNnJ24lpW0000001gCj) = 0,150 [T]</t>
  </si>
  <si>
    <t xml:space="preserve"> Celkové množství 195.730000 = 195,730 [U]</t>
  </si>
  <si>
    <t>Položka zahrnuje:
dodání a pokládku betonových obrubníků o rozměrech předepsaných zadávací dokumentací
betonové lože i boční betonovou opěrku.</t>
  </si>
  <si>
    <t>Kategorie stavebního výrobku:
Klasifikace dle CCI:
Podrobná specifikace:
obrubník silniční 1000x150x150, výška podstupnice 0.02m:
Reference:
TKP10, vzorové příčné řezy, D.2.1 technická zpráva:
Specifikace:
obrubník silniční 1000x150x150, do betonového lože C20/25nXF3:
Stavební výrobek:
betonový obrubník silniční :
Typ stavebního výrobku:
obrubník:
Výrobce:
Nd:</t>
  </si>
  <si>
    <t xml:space="preserve"> Staničení: 0,1074 - 0,12647: 18,81 (2aboNnJ24lpW0000001aLJ) = 18,810 [A]</t>
  </si>
  <si>
    <t xml:space="preserve"> Staničení: 0,1266 - 0,132: 5,34 (2aboNnJ24lpW0000001fPN) = 5,340 [B]</t>
  </si>
  <si>
    <t xml:space="preserve"> Staničení: 0,0337 - 0,03965: 6 (2aboNnJ24lpW0000001fTp) = 6,000 [C]</t>
  </si>
  <si>
    <t xml:space="preserve"> Staničení: 0,1259 - 0,13642: 10,5 (2aboNnJ24lpW0000001fUp) = 10,500 [D]</t>
  </si>
  <si>
    <t xml:space="preserve"> Staničení: 0,1031 - 0,10725: 4 (2aboNnJ24lpW0000001fVp) = 4,000 [E]</t>
  </si>
  <si>
    <t xml:space="preserve"> Staničení: 0,02 - 0,02011: 0,08 (2aboNnJ24lpW0000001fRp) = 0,080 [F]</t>
  </si>
  <si>
    <t xml:space="preserve"> Staničení: 0,0991 - 0,09917: 0,1 (2aboNnJ24lpW0000001fYp) = 0,100 [G]</t>
  </si>
  <si>
    <t xml:space="preserve"> Staničení: 0,1265 - 0,12662: 0,15 (2aboNnJ24lpW0000001fUZ) = 0,150 [H]</t>
  </si>
  <si>
    <t xml:space="preserve"> Staničení: 0,0954 - 0,09906: 3,53 (2aboNnJ24lpW0000001fVZ) = 3,530 [I]</t>
  </si>
  <si>
    <t xml:space="preserve"> Staničení: 0,0953 - 0,09542: 0,08 (2aboNnJ24lpW0000001fWZ) = 0,080 [J]</t>
  </si>
  <si>
    <t xml:space="preserve"> Staničení: 0,015 - 0,01904: 4,06 (2aboNnJ24lpW0000001fRZ) = 4,060 [K]</t>
  </si>
  <si>
    <t xml:space="preserve"> Staničení: 0,0148 - 0,01483: 0,04 (2aboNnJ24lpW0000001fSZ) = 0,040 [L]</t>
  </si>
  <si>
    <t xml:space="preserve"> Staničení: 0,103 - 0,10312: 0,1 (2aboNnJ24lpW0000001fXZ) = 0,100 [M]</t>
  </si>
  <si>
    <t xml:space="preserve"> Staničení: 0,0992 - 0,103: 3,72 (2aboNnJ24lpW0000001fZZ) = 3,720 [N]</t>
  </si>
  <si>
    <t xml:space="preserve"> Staničení: 0,101 - 0,1092: 8,48 (2aboNnJ24lpW0000001fUJ) = 8,480 [O]</t>
  </si>
  <si>
    <t xml:space="preserve"> Staničení: 0,0829 - 0,08866: 5,94 (2aboNnJ24lpW0000001fVJ) = 5,940 [P]</t>
  </si>
  <si>
    <t xml:space="preserve"> Staničení: 0,019 - 0,02003: 0,99 (2aboNnJ24lpW0000001fSJ) = 0,990 [Q]</t>
  </si>
  <si>
    <t xml:space="preserve"> Staničení: 0,026 - 0,02604: 0,1 (2aboNnJ24lpW0000001fYJ) = 0,100 [R]</t>
  </si>
  <si>
    <t xml:space="preserve"> Staničení: 0,0148 - 0,01498: 0,15 (2aboNnJ24lpW0000001fT3) = 0,150 [S]</t>
  </si>
  <si>
    <t xml:space="preserve"> Staničení: 0,1322 - 0,1441: 11,95 (2aboNnJ24lpW0000001fU3) = 11,950 [T]</t>
  </si>
  <si>
    <t xml:space="preserve"> Staničení: 0,0215 - 0,02522: 3,72 (2aboNnJ24lpW0000001fV3) = 3,720 [U]</t>
  </si>
  <si>
    <t xml:space="preserve"> Staničení: 0,132 - 0,13215: 0,15 (2aboNnJ24lpW0000001fR3) = 0,150 [V]</t>
  </si>
  <si>
    <t xml:space="preserve"> Staničení: 0,0201 - 0,02151: 1,4 (2aboNnJ24lpW0000001fS3) = 1,400 [W]</t>
  </si>
  <si>
    <t xml:space="preserve"> Staničení: 0,1073 - 0,10741: 0,15 (2aboNnJ24lpW0000001fX3) = 0,150 [X]</t>
  </si>
  <si>
    <t xml:space="preserve"> Staničení: 0,0215 - 0,02594: 4,44 (2aboNnJ24lpW0000001fa3) = 4,440 [Y]</t>
  </si>
  <si>
    <t xml:space="preserve"> Celkové množství 93.980000 = 93,980 [Z]</t>
  </si>
  <si>
    <t>Materiál:
zálivka z modifikovaného asfaltu:
podrobná specifikace:
typ N2, boční stěny opatřeny adhezním nátěrem:
Reference:
VL1 42-04, ČSN 14188-1, D.2.1 technická zpráva, D.2.4 vzorové řezy:
specifikace:
proříznutí spáry š. 12mm, hl. 25 mm, zálivka z modifikovaného asfaltu za horka:</t>
  </si>
  <si>
    <t xml:space="preserve"> Staničení: 0,1458 - 0,14798: 2,18 (2aboNnJ24lpW0000000bva) = 2,180 [A]</t>
  </si>
  <si>
    <t xml:space="preserve"> Staničení: 0,14799 - 0,148: 17,96 (2aboNnJ24lpW0000000bvX) = 17,960 [B]</t>
  </si>
  <si>
    <t xml:space="preserve"> Celkové množství 20.140000 = 20,140 [C]</t>
  </si>
  <si>
    <t>ŽLABY A RIGOLY DLÁŽDĚNÉ Z KOSTEK VELKÝCH DO BETONU TL 180MM</t>
  </si>
  <si>
    <t>m2</t>
  </si>
  <si>
    <t>Kategorie stavebního výrobku:
Klasifikace dle CCI:
Podrobná specifikace:
žulové kostky 120 mm, :
Reference:
ČSN 73 6131, vzorové příčné řezy, D.2.1 technická zpráva:
Specifikace:
přídlažba ze žulových kostek 120 mm, do betonu  (tl. 180mm) s vyspárováním MC25-XF4 (dle TKP18):
Stavební výrobek:
přídlažba ze žulových kostek - dvoulinka:
Typ stavebního výrobku:
přídlažba z kamenných kostek:
Výrobce:
Nd:</t>
  </si>
  <si>
    <t xml:space="preserve"> Staničení: 0,1366 - 0,13738: 0,202009642324619 (2aboNnJ24lpW0000001j0P) = 0,202 [A]</t>
  </si>
  <si>
    <t xml:space="preserve"> Staničení: 0,1073 - 0,10741: 0,0381599031244772 (2aboNnJ24lpW0000001j3P) = 0,038 [B]</t>
  </si>
  <si>
    <t xml:space="preserve"> Staničení: 0,1431 - 0,1458: 1,5646066951501 (2aboNnJ24lpW0000001j5X) = 1,565 [C]</t>
  </si>
  <si>
    <t xml:space="preserve"> Staničení: 0,1259 - 0,13642: 2,62587642484527 (2aboNnJ24lpW0000001j1H) = 2,626 [D]</t>
  </si>
  <si>
    <t xml:space="preserve"> Staničení: 0,1364 - 0,13657: 0,0368055685575656 (2aboNnJ24lpW0000001j1p) = 0,037 [E]</t>
  </si>
  <si>
    <t xml:space="preserve"> Staničení: 0,132 - 0,132: 0,000356216560054271 (2aboNnJ24lpW0000001j0x) = 0,000 [F]</t>
  </si>
  <si>
    <t xml:space="preserve"> Staničení: 0,026 - 0,02604: 0,0246599505805517 (2aboNnJ24lpW0000001j3x) = 0,025 [G]</t>
  </si>
  <si>
    <t xml:space="preserve"> Staničení: 0,1322 - 0,1441: 2,89986856891217 (2aboNnJ24lpW0000001i_Y) = 2,900 [H]</t>
  </si>
  <si>
    <t xml:space="preserve"> Staničení: 0,1374 - 0,1431: 1,58164472449781 (2aboNnJ24lpW0000001j5G) = 1,582 [I]</t>
  </si>
  <si>
    <t xml:space="preserve"> Staničení: 0,0215 - 0,02522: 0,929245101385507 (2aboNnJ24lpW0000001j24) = 0,929 [J]</t>
  </si>
  <si>
    <t xml:space="preserve"> Staničení: 0,146 - 0,1478: 0,678488226582642 (2aboNnJ24lpW0000001j4$) = 0,678 [K]</t>
  </si>
  <si>
    <t xml:space="preserve"> Staničení: 0,101 - 0,1092: 2,11695035686288 (2aboNnJ24lpW0000001i_w) = 2,117 [L]</t>
  </si>
  <si>
    <t xml:space="preserve"> Staničení: 0,1265 - 0,12662: 0,0374933408733368 (2aboNnJ24lpW0000001j0g) = 0,037 [M]</t>
  </si>
  <si>
    <t xml:space="preserve"> Staničení: 0,103 - 0,10312: 0,0255134690071977 (2aboNnJ24lpW0000001j3g) = 0,026 [N]</t>
  </si>
  <si>
    <t xml:space="preserve"> Staničení: 0,0261 - 0,03366: 1,9062519021603 (2aboNnJ24lpW0000001izg) = 1,906 [O]</t>
  </si>
  <si>
    <t xml:space="preserve"> Staničení: 0,013 - 0,01479: 0,325303672053461 (2aboNnJ24lpW0000001iyo) = 0,325 [P]</t>
  </si>
  <si>
    <t xml:space="preserve"> Staničení: 0,02 - 0,02011: 0,0208823433345482 (2aboNnJ24lpW0000001ix$) = 0,021 [Q]</t>
  </si>
  <si>
    <t xml:space="preserve"> Staničení: 0,1179 - 0,12454: 1,66329191306365 (2aboNnJ24lpW0000001iwW) = 1,663 [R]</t>
  </si>
  <si>
    <t xml:space="preserve"> Staničení: 0,1092 - 0,11789: 2,09186569631335 (2aboNnJ24lpW0000001i$o) = 2,092 [S]</t>
  </si>
  <si>
    <t xml:space="preserve"> Staničení: 0,1258 - 0,12592: 0,034949086540976 (2aboNnJ24lpW0000001j1Y) = 0,035 [T]</t>
  </si>
  <si>
    <t xml:space="preserve"> Staničení: 0,0252 - 0,0829: 14,3077700480082 (2aboNnJ24lpW0000001i$B) = 14,308 [U]</t>
  </si>
  <si>
    <t xml:space="preserve"> Staničení: 0,0397 - 0,09533: 13,7080461286756 (2aboNnJ24lpW0000001izx) = 13,708 [V]</t>
  </si>
  <si>
    <t xml:space="preserve"> Staničení: 0,0148 - 0,01498: 0,0371673770156099 (2aboNnJ24lpW0000001izP) = 0,037 [W]</t>
  </si>
  <si>
    <t xml:space="preserve"> Staničení: 0,0992 - 0,103: 0,931934050253758 (2aboNnJ24lpW0000001j4T) = 0,932 [X]</t>
  </si>
  <si>
    <t xml:space="preserve"> Staničení: 0,019 - 0,02003: 0,247325591685598 (2aboNnJ24lpW0000001iyX) = 0,247 [Y]</t>
  </si>
  <si>
    <t xml:space="preserve"> Staničení: 0,0887 - 0,10099: 3,17786463078255 (2aboNnJ24lpW0000001i$X) = 3,178 [Z]</t>
  </si>
  <si>
    <t xml:space="preserve"> Staničení: 0,0829 - 0,08866: 1,48409935616009 (2aboNnJ24lpW0000001j2L) = 1,484 [AA]</t>
  </si>
  <si>
    <t xml:space="preserve"> Staničení: 9E-06 - 0,01249: 3,32822711552659 (2aboNnJ24lpW0000001j5t) = 3,328 [AB]</t>
  </si>
  <si>
    <t xml:space="preserve"> Staničení: 0,1031 - 0,10725: 0,999877313168368 (2aboNnJ24lpW0000001j2t) = 1,000 [AC]</t>
  </si>
  <si>
    <t xml:space="preserve"> Staničení: 0,0201 - 0,02151: 0,350443437118699 (2aboNnJ24lpW0000001iyG) = 0,350 [AD]</t>
  </si>
  <si>
    <t xml:space="preserve"> Staničení: 0,1266 - 0,132: 1,3456078668472 (2aboNnJ24lpW0000001ixO) = 1,346 [AE]</t>
  </si>
  <si>
    <t xml:space="preserve"> Staničení: 0,1074 - 0,12647: 4,70724643264199 (2aboNnJ24lpW0000001ix7) = 4,707 [AF]</t>
  </si>
  <si>
    <t xml:space="preserve"> Staničení: 0,1444 - 0,14623: 0,412925335139977 (2aboNnJ24lpW0000001iwn) = 0,413 [AG]</t>
  </si>
  <si>
    <t xml:space="preserve"> Staničení: 0,0991 - 0,09917: 0,0251174299586181 (2aboNnJ24lpW0000001j4C) = 0,025 [AH]</t>
  </si>
  <si>
    <t xml:space="preserve"> Staničení: 0,0125 - 0,02151: 2,45889871542373 (2aboNnJ24lpW0000001j68) = 2,459 [AI]</t>
  </si>
  <si>
    <t xml:space="preserve"> Staničení: 0,1245 - 0,12577: 0,308286482143799 (2aboNnJ24lpW0000001j08) = 0,308 [AJ]</t>
  </si>
  <si>
    <t xml:space="preserve"> Staničení: 0,0953 - 0,09542: 0,0199215016884702 (2aboNnJ24lpW0000001j38) = 0,020 [AK]</t>
  </si>
  <si>
    <t xml:space="preserve"> Staničení: 0,0337 - 0,03965: 1,49931692452476 (2aboNnJ24lpW0000001i_H) = 1,499 [AL]</t>
  </si>
  <si>
    <t xml:space="preserve"> Staničení: 0,0954 - 0,09906: 0,88271698271957 (2aboNnJ24lpW0000001j2c) = 0,883 [AM]</t>
  </si>
  <si>
    <t xml:space="preserve"> Staničení: 0,0215 - 0,02594: 1,11026693779258 (2aboNnJ24lpW0000001j4k) = 1,110 [AN]</t>
  </si>
  <si>
    <t xml:space="preserve"> Staničení: 0,0148 - 0,01483: 0,0104032939621344 (2aboNnJ24lpW0000001iz8) = 0,010 [AO]</t>
  </si>
  <si>
    <t xml:space="preserve"> Staničení: 0,015 - 0,01904: 1,01475877748466 (2aboNnJ24lpW0000001ixk) = 1,015 [AP]</t>
  </si>
  <si>
    <t xml:space="preserve"> Staničení: 0,0069 - 0,01299: 1,5769887010027 (2aboNnJ24lpW0000001j6U) = 1,577 [AQ]</t>
  </si>
  <si>
    <t xml:space="preserve"> Staničení: 0,002 - 0,00702: 1,81589683224952 (2aboNnJ24lpW0000001j6l) = 1,816 [AR]</t>
  </si>
  <si>
    <t xml:space="preserve"> Celkové množství 74.564000 = 74,564 [AS]</t>
  </si>
  <si>
    <t>položka zahrnuje:
- dodání a uložení předepsaného dlažebního materiálu v požadované kvalitě do předepsaného tvaru a v předepsané šířce
- dodání a rozprostření lože z předepsaného materiálu v předepsané tloušťce a šířce i boční betonovou opěrku.
- úravu napojení a ukončení
- vnitrostaveništní i mimostaveništní dopravu
- měří se vydlážděná plocha.</t>
  </si>
  <si>
    <t xml:space="preserve"> Staničení: 0,12484 - 0,12663: 5,56977328338455 (2aboNnJ24lpW0000000dCq) = 5,570 [A]</t>
  </si>
  <si>
    <t xml:space="preserve"> Staničení: 0,12848 - 0,13199: 0,0333388088065592 (2aboNnJ24lpW0000000dCl) = 0,033 [B]</t>
  </si>
  <si>
    <t xml:space="preserve"> Staničení: 0,04484 - 0,08583: 0,210702036130115 (2aboNnJ24lpW0000000dCM) = 0,211 [C]</t>
  </si>
  <si>
    <t xml:space="preserve"> Staničení: 0,08583 - 0,12483: 208,03264550572 (2aboNnJ24lpW0000000dCJ) = 208,033 [D]</t>
  </si>
  <si>
    <t xml:space="preserve"> Staničení: 0,12662 - 0,12844: 0,0184782669097529 (2aboNnJ24lpW0000000dCj) = 0,018 [E]</t>
  </si>
  <si>
    <t xml:space="preserve"> Staničení: 0,132 - 0,13311: 2,24051335862788 (2aboNnJ24lpW0000000dCo) = 2,241 [F]</t>
  </si>
  <si>
    <t xml:space="preserve"> Staničení: 0,02331 - 0,04484: 149,950276610601 (2aboNnJ24lpW0000000dCH) = 149,950 [G]</t>
  </si>
  <si>
    <t xml:space="preserve"> Staničení: 0,12663 - 0,132: 10,0458131438665 (2aboNnJ24lpW0000000dCp) = 10,046 [H]</t>
  </si>
  <si>
    <t xml:space="preserve"> Staničení: 0,13303 - 0,13804: 0,0669234910783475 (2aboNnJ24lpW0000000dCm) = 0,067 [I]</t>
  </si>
  <si>
    <t xml:space="preserve"> Staničení: 0,12844 - 0,129: 0,000617297122584422 (2aboNnJ24lpW0000000dCk) = 0,001 [J]</t>
  </si>
  <si>
    <t xml:space="preserve"> Staničení: 0,12483 - 0,13804: 43,1083728961567 (2aboNnJ24lpW0000000dCh) = 43,108 [K]</t>
  </si>
  <si>
    <t xml:space="preserve"> Staničení: 0,11 - 0,11158: 0,000387619578439018 (2aboNnJ24lpW0000000dCN) = 0,000 [L]</t>
  </si>
  <si>
    <t xml:space="preserve"> Staničení: 0,00133 - 0,02331: 352,692904265633 (2aboNnJ24lpW0000000dCF) = 352,693 [M]</t>
  </si>
  <si>
    <t xml:space="preserve"> Staničení: 0,13272 - 0,13804: 16,82610682057 (2aboNnJ24lpW0000000dCn) = 16,826 [N]</t>
  </si>
  <si>
    <t xml:space="preserve"> Staničení: 0,13804 - 0,148: 66,7314351372343 (2aboNnJ24lpW0000000dCL) = 66,731 [O]</t>
  </si>
  <si>
    <t xml:space="preserve"> Staničení: 0,04484 - 0,08583: 217,907271722407 (2aboNnJ24lpW0000000dCD) = 217,907 [P]</t>
  </si>
  <si>
    <t xml:space="preserve"> Celkové množství 1073.435000 = 1073,435 [Q]</t>
  </si>
  <si>
    <t>Materiál:
zemina:
podrobná specifikace:
upravená vápnem, dávkování 1-2% hmotnosti suché zeminy:
Reference:
ČSN 736133, D.2.4 vzorové řezy, D.2.1 technická zpráva:
specifikace:
zemina třídy F4-CS(F5-MI, F6-CI), tl. 500mm:</t>
  </si>
  <si>
    <t xml:space="preserve"> Staničení: 0,1236 - 0,12454: 0,149369883458777 (2p1QE7Onnwnm0000000WQW) = 0,149 [A]</t>
  </si>
  <si>
    <t xml:space="preserve"> Staničení: 0,1074 - 0,12647: 1,25728462536361 (2p1QE7Onnwnm0000000WNs) = 1,257 [B]</t>
  </si>
  <si>
    <t xml:space="preserve"> Staničení: 0,1443 - 0,1461: 0,493504767250937 (2p1QE7Onnwnm0000000WPj) = 0,494 [C]</t>
  </si>
  <si>
    <t xml:space="preserve"> Staničení: 0,1441 - 0,14425: 0,0202660757207324 (2p1QE7Onnwnm0000000WOw) = 0,020 [D]</t>
  </si>
  <si>
    <t xml:space="preserve"> Staničení: 0,1374 - 0,1431: 1,04146945844177 (2p1QE7Onnwnm0000000WP_) = 1,041 [E]</t>
  </si>
  <si>
    <t xml:space="preserve"> Staničení: 0,0261 - 0,03366: 1,02694768900912 (2p1QE7Onnwnm0000000WLT) = 1,027 [F]</t>
  </si>
  <si>
    <t xml:space="preserve"> Staničení: 0,1179 - 0,11954: 0,148008953924811 (2p1QE7Onnwnm0000000WRJ) = 0,148 [G]</t>
  </si>
  <si>
    <t xml:space="preserve"> Staničení: 0,1092 - 0,11789: 0,757494506246534 (2p1QE7Onnwnm0000000WMX) = 0,757 [H]</t>
  </si>
  <si>
    <t xml:space="preserve"> Staničení: 0,0397 - 0,09533: 3,84318281036894 (2p1QE7Onnwnm0000000WLk) = 3,843 [I]</t>
  </si>
  <si>
    <t xml:space="preserve"> Staničení: 0,1195 - 0,11976: 0,0496032068861612 (2p1QE7Onnwnm0000000WRa) = 0,050 [J]</t>
  </si>
  <si>
    <t xml:space="preserve"> Staničení: 0,019 - 0,02003: 0,431687979042174 (2p1QE7Onnwnm0000000WLC) = 0,432 [K]</t>
  </si>
  <si>
    <t xml:space="preserve"> Staničení: 0,0095 - 0,02151: 11,3261346221505 (2p1QE7Onnwnm0000000WJx) = 11,326 [L]</t>
  </si>
  <si>
    <t xml:space="preserve"> Staničení: 0,0887 - 0,10099: 1,25993002378433 (2p1QE7Onnwnm0000000WMG) = 1,260 [M]</t>
  </si>
  <si>
    <t xml:space="preserve"> Staničení: 0,019 - 0,02003: 0,206460661979685 (2p1QE7Onnwnm0000000WK8) = 0,206 [N]</t>
  </si>
  <si>
    <t xml:space="preserve"> Staničení: 0,1258 - 0,12592: 0,0104920724584195 (2p1QE7Onnwnm0000000WNK) = 0,010 [O]</t>
  </si>
  <si>
    <t xml:space="preserve"> Staničení: 0,146 - 0,1478: 0,157069512450263 (2p1QE7Onnwnm0000000WPB) = 0,157 [P]</t>
  </si>
  <si>
    <t xml:space="preserve"> Staničení: 0,1366 - 0,13738: 0,330001655745329 (2p1QE7Onnwnm0000000WN3) = 0,330 [Q]</t>
  </si>
  <si>
    <t xml:space="preserve"> Staničení: 0,1236 - 0,12454: 0,0661236442565135 (2p1QE7Onnwnm0000000WSB) = 0,066 [R]</t>
  </si>
  <si>
    <t xml:space="preserve"> Staničení: 0,0252 - 0,0829: 6,76074863398667 (2p1QE7Onnwnm0000000WL$) = 6,761 [S]</t>
  </si>
  <si>
    <t xml:space="preserve"> Staničení: 0,1259 - 0,13642: 0,791262549577092 (2p1QE7Onnwnm0000000WOO) = 0,791 [T]</t>
  </si>
  <si>
    <t xml:space="preserve"> Staničení: 0,1429 - 0,1456: 0,70106007953471 (2p1QE7Onnwnm0000000WQF) = 0,701 [U]</t>
  </si>
  <si>
    <t xml:space="preserve"> Staničení: 0,1322 - 0,1441: 1,31992996672502 (2p1QE7Onnwnm0000000WO7) = 1,320 [V]</t>
  </si>
  <si>
    <t xml:space="preserve"> Staničení: 0,1364 - 0,13657: 0,0111313090495377 (2p1QE7Onnwnm0000000WNb) = 0,011 [W]</t>
  </si>
  <si>
    <t xml:space="preserve"> Staničení: 0,0992 - 0,103: 0,157611079178428 (2p1QE7Onnwnm0000000WOf) = 0,158 [X]</t>
  </si>
  <si>
    <t xml:space="preserve"> Staničení: 0,146 - 0,1478: 0,597882774035208 (2p1QE7Onnwnm0000000WPS) = 0,598 [Y]</t>
  </si>
  <si>
    <t xml:space="preserve"> Staničení: 0,1245 - 0,12577: 0,63300688252228 (2p1QE7Onnwnm0000000WMo) = 0,633 [Z]</t>
  </si>
  <si>
    <t xml:space="preserve"> Celkové množství 33.546000 = 33,546 [AA]</t>
  </si>
  <si>
    <t xml:space="preserve"> Staničení: 0,1322 - 0,1441: 2,94249169755958 (2aboNnJ24lpW0000001aN$) = 2,942 [A]</t>
  </si>
  <si>
    <t xml:space="preserve"> Staničení: 0,103 - 0,10312: 0,00308726859144316 (2aboNnJ24lpW0000001bMY) = 0,003 [B]</t>
  </si>
  <si>
    <t xml:space="preserve"> Staničení: 0,002 - 0,00766: 2,62301370273603 (2aboNnJ24lpW0000001cLA) = 2,623 [C]</t>
  </si>
  <si>
    <t xml:space="preserve"> Staničení: 0,0252 - 0,0829: 14,3635375203803 (2aboNnJ24lpW0000001aZj) = 14,364 [D]</t>
  </si>
  <si>
    <t xml:space="preserve"> Staničení: 0,0954 - 0,09906: 0,881249911820012 (2aboNnJ24lpW0000001b6Q) = 0,881 [E]</t>
  </si>
  <si>
    <t xml:space="preserve"> Staničení: 0,1031 - 0,10725: 2,64578604742748 (2aboNnJ24lpW0000001b7Q) = 2,646 [F]</t>
  </si>
  <si>
    <t xml:space="preserve"> Staničení: 0,1236 - 0,12454: 0,0805125949166458 (2aboNnJ24lpW0000001c3p) = 0,081 [G]</t>
  </si>
  <si>
    <t xml:space="preserve"> Staničení: 0,1258 - 0,12592: 0,178210295903343 (2aboNnJ24lpW0000001arj) = 0,178 [H]</t>
  </si>
  <si>
    <t xml:space="preserve"> Staničení: 0,1364 - 0,13657: 0,0234944238706635 (2aboNnJ24lpW0000001asj) = 0,023 [I]</t>
  </si>
  <si>
    <t xml:space="preserve"> Staničení: 0,0201 - 0,02151: 1,74045711570951 (2aboNnJ24lpW0000001ZrL) = 1,740 [J]</t>
  </si>
  <si>
    <t xml:space="preserve"> Staničení: 0,1258 - 0,12592: 0,0104808626233066 (2aboNnJ24lpW0000001aub) = 0,010 [K]</t>
  </si>
  <si>
    <t xml:space="preserve"> Staničení: 0,0215 - 0,02522: 2,66345819590932 (2aboNnJ24lpW0000001ayb) = 2,663 [L]</t>
  </si>
  <si>
    <t xml:space="preserve"> Staničení: 0,0148 - 0,01498: 0,0371383963613585 (2aboNnJ24lpW0000001a4b) = 0,037 [M]</t>
  </si>
  <si>
    <t xml:space="preserve"> Staničení: 0,026 - 0,02604: 0,115248523881101 (2aboNnJ24lpW0000001bOR) = 0,115 [N]</t>
  </si>
  <si>
    <t xml:space="preserve"> Staničení: 0,11967 - 0,12173: 0,880390346707684 (2aboNnJ24lpW0000001gge) = 0,880 [O]</t>
  </si>
  <si>
    <t xml:space="preserve"> Staničení: 0,026 - 0,02604: 0,0196905374018064 (2aboNnJ24lpW0000001bOB) = 0,020 [P]</t>
  </si>
  <si>
    <t xml:space="preserve"> Staničení: 0,0337 - 0,03965: 1,49824817092858 (2aboNnJ24lpW0000001aIu) = 1,498 [Q]</t>
  </si>
  <si>
    <t xml:space="preserve"> Staničení: 0,013 - 0,02151: 11,6614369671056 (2aboNnJ24lpW0000001Zuf) = 11,661 [R]</t>
  </si>
  <si>
    <t xml:space="preserve"> Staničení: 0,015 - 0,01904: 0,736210588951452 (2aboNnJ24lpW0000001Zmn) = 0,736 [S]</t>
  </si>
  <si>
    <t xml:space="preserve"> Staničení: 0,02 - 0,02011: 0,0223516163713139 (2aboNnJ24lpW0000001Zhn) = 0,022 [T]</t>
  </si>
  <si>
    <t xml:space="preserve"> Staničení: 0,101 - 0,1092: 2,11874223883888 (2aboNnJ24lpW0000001aS9) = 2,119 [U]</t>
  </si>
  <si>
    <t xml:space="preserve"> Staničení: 0,0148 - 0,01483: 0,00187116021312208 (2aboNnJ24lpW0000001a2A) = 0,002 [V]</t>
  </si>
  <si>
    <t xml:space="preserve"> Staničení: 0,0991 - 0,09917: 0,0127392232209219 (2aboNnJ24lpW0000001bQo) = 0,013 [W]</t>
  </si>
  <si>
    <t xml:space="preserve"> Staničení: 0,0033 - 0,00399: 1,19346827730489 (2aboNnJ24lpW0000001cRN) = 1,193 [X]</t>
  </si>
  <si>
    <t xml:space="preserve"> Staničení: 0,0148 - 0,01498: 0,00668491134523191 (2aboNnJ24lpW0000001a69) = 0,007 [Y]</t>
  </si>
  <si>
    <t xml:space="preserve"> Staničení: 0,1195 - 0,11991: 0,0703323552320124 (2aboNnJ24lpW0000001cZ4) = 0,070 [Z]</t>
  </si>
  <si>
    <t xml:space="preserve"> Staničení: 0,101 - 0,1092: 0,468747922715731 (2aboNnJ24lpW0000001aSP) = 0,469 [AA]</t>
  </si>
  <si>
    <t xml:space="preserve"> Staničení: 1E-06 - 0,00219: 0,123517904568018 (2aboNnJ24lpW0000001cP$) = 0,124 [AB]</t>
  </si>
  <si>
    <t xml:space="preserve"> Staničení: 0,0954 - 0,09906: 1,60533459504267 (2aboNnJ24lpW0000001b6g) = 1,605 [AC]</t>
  </si>
  <si>
    <t xml:space="preserve"> Staničení: 0,1031 - 0,10725: 0,510745927122723 (2aboNnJ24lpW0000001b7g) = 0,511 [AD]</t>
  </si>
  <si>
    <t xml:space="preserve"> Staničení: 0,1431 - 0,148: 15,7385960547515 (2aboNnJ24lpW0000001bzD) = 15,739 [AE]</t>
  </si>
  <si>
    <t xml:space="preserve"> Staničení: 0,013 - 0,01479: 0,0424775686223146 (2aboNnJ24lpW0000001ZzK) = 0,042 [AF]</t>
  </si>
  <si>
    <t xml:space="preserve"> Staničení: 0,1265 - 0,12662: 0,0374795255678512 (2aboNnJ24lpW0000001ajW) = 0,037 [AG]</t>
  </si>
  <si>
    <t xml:space="preserve"> Staničení: 0,132 - 0,13215: 0,0184085330504326 (2aboNnJ24lpW0000001akW) = 0,018 [AH]</t>
  </si>
  <si>
    <t xml:space="preserve"> Staničení: 0,10159 - 0,10302: 0,26371052385694 (2aboNnJ24lpW0000001bVI) = 0,264 [AI]</t>
  </si>
  <si>
    <t xml:space="preserve"> Staničení: 0,0337 - 0,03965: 0,966831527943026 (2aboNnJ24lpW0000001aJO) = 0,967 [AJ]</t>
  </si>
  <si>
    <t xml:space="preserve"> Staničení: 0,103 - 0,10312: 0,0250208149970811 (2aboNnJ24lpW0000001bMI) = 0,025 [AK]</t>
  </si>
  <si>
    <t xml:space="preserve"> Staničení: 0,02 - 0,02011: 0,107026880107658 (2aboNnJ24lpW0000001Zi1) = 0,107 [AL]</t>
  </si>
  <si>
    <t xml:space="preserve"> Staničení: 0,0397 - 0,09533: 13,7567663729843 (2aboNnJ24lpW0000001aFG) = 13,757 [AM]</t>
  </si>
  <si>
    <t xml:space="preserve"> Staničení: 0,1429 - 0,1456: 0,800357137422619 (2aboNnJ24lpW0000001b_A) = 0,800 [AN]</t>
  </si>
  <si>
    <t xml:space="preserve"> Staničení: 0,132 - 0,13215: 0,0782971883839057 (2aboNnJ24lpW0000001akG) = 0,078 [AO]</t>
  </si>
  <si>
    <t xml:space="preserve"> Staničení: 0,1476 - 0,148: 0,0876637032970207 (2aboNnJ24lpW0000001bi6) = 0,088 [AP]</t>
  </si>
  <si>
    <t xml:space="preserve"> Staničení: 0,1031 - 0,10725: 0,998215472069574 (2aboNnJ24lpW0000001b7A) = 0,998 [AQ]</t>
  </si>
  <si>
    <t xml:space="preserve"> Staničení: 0,0095 - 0,01267: 1,62756966608899 (2aboNnJ24lpW0000001c7X) = 1,628 [AR]</t>
  </si>
  <si>
    <t xml:space="preserve"> Staničení: 0,1441 - 0,14425: 0,0217126042647424 (2aboNnJ24lpW0000001beq) = 0,022 [AS]</t>
  </si>
  <si>
    <t xml:space="preserve"> Staničení: 0,0991 - 0,09917: 0,00425411805868407 (2aboNnJ24lpW0000001bTi) = 0,004 [AT]</t>
  </si>
  <si>
    <t xml:space="preserve"> Staničení: 0,1074 - 0,12647: 1,39902868193219 (2aboNnJ24lpW0000001a$n) = 1,399 [AU]</t>
  </si>
  <si>
    <t xml:space="preserve"> Staničení: 0,1073 - 0,10741: 0,000797452450031642 (2aboNnJ24lpW0000001Zj2) = 0,001 [AV]</t>
  </si>
  <si>
    <t xml:space="preserve"> Staničení: 0,002 - 0,00802: 3,33230759936596 (2aboNnJ24lpW0000001cKw) = 3,332 [AW]</t>
  </si>
  <si>
    <t xml:space="preserve"> Staničení: 0,1265 - 0,12662: 0,0787070036948057 (2aboNnJ24lpW0000001ajm) = 0,079 [AX]</t>
  </si>
  <si>
    <t xml:space="preserve"> Staničení: 0,0887 - 0,10099: 3,18055479791991 (2aboNnJ24lpW0000001aa2) = 3,181 [AY]</t>
  </si>
  <si>
    <t xml:space="preserve"> Staničení: 0,02 - 0,02011: 0,016674223117578 (2aboNnJ24lpW0000001ZpU) = 0,017 [AZ]</t>
  </si>
  <si>
    <t xml:space="preserve"> Staničení: 0,0991 - 0,09917: 0,030511453376363 (2aboNnJ24lpW0000001bTS) = 0,031 [BA]</t>
  </si>
  <si>
    <t xml:space="preserve"> Staničení: 0,1322 - 0,1441: 6,27273342866468 (2aboNnJ24lpW0000001aOM) = 6,273 [BB]</t>
  </si>
  <si>
    <t xml:space="preserve"> Staničení: 0,0991 - 0,09917: 0,00594002203270608 (2aboNnJ24lpW0000001bTC) = 0,006 [BC]</t>
  </si>
  <si>
    <t xml:space="preserve"> Staničení: 0,0954 - 0,09906: 0,103748906377707 (2aboNnJ24lpW0000001bB8) = 0,104 [BD]</t>
  </si>
  <si>
    <t xml:space="preserve"> Staničení: 0,103 - 0,10312: 0,0254709722674685 (2aboNnJ24lpW0000001bJ8) = 0,025 [BE]</t>
  </si>
  <si>
    <t xml:space="preserve"> Staničení: 0,019 - 0,02003: 0,246892181206583 (2aboNnJ24lpW0000001Zw4) = 0,247 [BF]</t>
  </si>
  <si>
    <t xml:space="preserve"> Staničení: 0,013 - 0,01479: 0,812835392884731 (2aboNnJ24lpW0000001Zz4) = 0,813 [BG]</t>
  </si>
  <si>
    <t xml:space="preserve"> Staničení: 0,1073 - 0,10741: 0,0247434768577156 (2aboNnJ24lpW0000001Zio) = 0,025 [BH]</t>
  </si>
  <si>
    <t xml:space="preserve"> Staničení: 0,0337 - 0,03965: 9,30894833608295 (2aboNnJ24lpW0000001aJ8) = 9,309 [BI]</t>
  </si>
  <si>
    <t xml:space="preserve"> Staničení: 0,12173 - 0,12454: 0,237102242325183 (2aboNnJ24lpW0000001ggG) = 0,237 [BJ]</t>
  </si>
  <si>
    <t xml:space="preserve"> Staničení: 0,0261 - 0,03366: 1,90349316600173 (2aboNnJ24lpW0000001aF0) = 1,903 [BK]</t>
  </si>
  <si>
    <t xml:space="preserve"> Staničení: 0,146 - 0,1478: 0,315691259665926 (2aboNnJ24lpW0000001bmt) = 0,316 [BL]</t>
  </si>
  <si>
    <t xml:space="preserve"> Staničení: 0,1265 - 0,12662: 0,0299381609613857 (2aboNnJ24lpW0000001ak0) = 0,030 [BM]</t>
  </si>
  <si>
    <t xml:space="preserve"> Staničení: 0,1322 - 0,1441: 2,10468812217782 (2aboNnJ24lpW0000001aOc) = 2,105 [BN]</t>
  </si>
  <si>
    <t xml:space="preserve"> Staničení: 0,015 - 0,01904: 3,5336123247961 (2aboNnJ24lpW0000001a7k) = 3,534 [BO]</t>
  </si>
  <si>
    <t xml:space="preserve"> Staničení: 2E-06 - 0,00702: 8,35888152406666 (2aboNnJ24lpW0000001cJt) = 8,359 [BP]</t>
  </si>
  <si>
    <t xml:space="preserve"> Staničení: 0,1374 - 0,1431: 0,766930208927509 (2aboNnJ24lpW0000001bvU) = 0,767 [BQ]</t>
  </si>
  <si>
    <t xml:space="preserve"> Staničení: 4E-06 - 0,01299: 13,0684319281834 (2aboNnJ24lpW0000001cDl) = 13,068 [BR]</t>
  </si>
  <si>
    <t xml:space="preserve"> Staničení: 0,1441 - 0,14425: 0,0110265309775485 (2aboNnJ24lpW0000001Zkx) = 0,011 [BS]</t>
  </si>
  <si>
    <t xml:space="preserve"> Staničení: 0,0992 - 0,103: 0,250892 (2aboNnJ24lpW0000001cal) = 0,251 [BT]</t>
  </si>
  <si>
    <t xml:space="preserve"> Staničení: 0,015 - 0,01904: 1,01356903855988 (2aboNnJ24lpW0000001ZmH) = 1,014 [BU]</t>
  </si>
  <si>
    <t xml:space="preserve"> Staničení: 0,1074 - 0,12647: 9,29769768583572 (2aboNnJ24lpW0000001aNV) = 9,298 [BV]</t>
  </si>
  <si>
    <t xml:space="preserve"> Staničení: 0,0069 - 0,01299: 2,8854916825453 (2aboNnJ24lpW0000001cEo) = 2,885 [BW]</t>
  </si>
  <si>
    <t xml:space="preserve"> Staničení: 0,015 - 0,01904: 1,56639366963498 (2aboNnJ24lpW0000001ZmX) = 1,566 [BX]</t>
  </si>
  <si>
    <t xml:space="preserve"> Staničení: 0,002 - 0,00715: 0,888598105103597 (2aboNnJ24lpW0000001cKg) = 0,889 [BY]</t>
  </si>
  <si>
    <t xml:space="preserve"> Staničení: 0,1259 - 0,13642: 2,6249088588157 (2aboNnJ24lpW0000001amN) = 2,625 [BZ]</t>
  </si>
  <si>
    <t xml:space="preserve"> Staničení: 0,1074 - 0,12647: 4,70316769549936 (2aboNnJ24lpW0000001aNF) = 4,703 [CA]</t>
  </si>
  <si>
    <t xml:space="preserve"> Staničení: 0,0992 - 0,103: 0,389427693844612 (2aboNnJ24lpW0000001cwW) = 0,389 [CB]</t>
  </si>
  <si>
    <t xml:space="preserve"> Staničení: 4E-06 - 0,01249: 23,9992197099489 (2aboNnJ24lpW0000001c6_) = 23,999 [CC]</t>
  </si>
  <si>
    <t xml:space="preserve"> Staničení: 0,0201 - 0,02151: 0,374424121305541 (2aboNnJ24lpW0000001Zrb) = 0,374 [CD]</t>
  </si>
  <si>
    <t xml:space="preserve"> Staničení: 4E-06 - 0,02151: 33,4270425079239 (2aboNnJ24lpW0000001cAO) = 33,427 [CE]</t>
  </si>
  <si>
    <t xml:space="preserve"> Staničení: 0,132 - 0,13215: 0,0223040826415997 (2aboNnJ24lpW0000001Ze3) = 0,022 [CF]</t>
  </si>
  <si>
    <t xml:space="preserve"> Staničení: 0,1265 - 0,12662: 0,0112438576703559 (2aboNnJ24lpW0000001Zjr) = 0,011 [CG]</t>
  </si>
  <si>
    <t xml:space="preserve"> Staničení: 0,1366 - 0,13738: 0,20193520715531 (2aboNnJ24lpW0000001aat) = 0,202 [CH]</t>
  </si>
  <si>
    <t xml:space="preserve"> Staničení: 0,1259 - 0,13642: 1,67014251625791 (2aboNnJ24lpW0000001amt) = 1,670 [CI]</t>
  </si>
  <si>
    <t xml:space="preserve"> Staničení: 0,1074 - 0,12647: 3,14809966571223 (2aboNnJ24lpW0000001aNl) = 3,148 [CJ]</t>
  </si>
  <si>
    <t xml:space="preserve"> Staničení: 0,0829 - 0,08866: 1,48535572429737 (2aboNnJ24lpW0000001az5) = 1,485 [CK]</t>
  </si>
  <si>
    <t xml:space="preserve"> Staničení: 0,1266 - 0,132: 1,34429140637308 (2aboNnJ24lpW0000001ZcB) = 1,344 [CL]</t>
  </si>
  <si>
    <t xml:space="preserve"> Staničení: 0,0148 - 0,01498: 0,0293544872049011 (2aboNnJ24lpW0000001a55) = 0,029 [CM]</t>
  </si>
  <si>
    <t xml:space="preserve"> Staničení: 0,1245 - 0,12577: 0,308172886690006 (2aboNnJ24lpW0000001aad) = 0,308 [CN]</t>
  </si>
  <si>
    <t xml:space="preserve"> Staničení: 0,1259 - 0,13642: 13,3897123208338 (2aboNnJ24lpW0000001amd) = 13,390 [CO]</t>
  </si>
  <si>
    <t xml:space="preserve"> Staničení: 1E-06 - 0,00242: 0,314328431650064 (2aboNnJ24lpW0000001cR0) = 0,314 [CP]</t>
  </si>
  <si>
    <t xml:space="preserve"> Staničení: 0,0953 - 0,09542: 0,0139155433535361 (2aboNnJ24lpW0000001bDX) = 0,014 [CQ]</t>
  </si>
  <si>
    <t xml:space="preserve"> Staničení: 0,1443 - 0,148: 4,45550377677009 (2aboNnJ24lpW0000001bqX) = 4,456 [CR]</t>
  </si>
  <si>
    <t xml:space="preserve"> Staničení: 0,1258 - 0,12592: 0,0349362087319791 (2aboNnJ24lpW0000001arT) = 0,035 [CS]</t>
  </si>
  <si>
    <t xml:space="preserve"> Staničení: 0,1364 - 0,13657: 0,187676758113708 (2aboNnJ24lpW0000001asT) = 0,188 [CT]</t>
  </si>
  <si>
    <t xml:space="preserve"> Staničení: 0,1441 - 0,14425: 0,026163757353354 (2aboNnJ24lpW0000001bfP) = 0,026 [CU]</t>
  </si>
  <si>
    <t xml:space="preserve"> Staničení: 0,0953 - 0,09542: 0,0397035344043202 (2aboNnJ24lpW0000001bDH) = 0,040 [CV]</t>
  </si>
  <si>
    <t xml:space="preserve"> Staničení: 0,11789 - 0,12173: 0,498302021378587 (2aboNnJ24lpW0000001ggS) = 0,498 [CW]</t>
  </si>
  <si>
    <t xml:space="preserve"> Staničení: 0,1322 - 0,1441: 173,022444735853 (2aboNnJ24lpW0000001ZbG) = 173,022 [CX]</t>
  </si>
  <si>
    <t xml:space="preserve"> Staničení: 0,132 - 0,13215: 0,0111853126305828 (2aboNnJ24lpW0000001ZkO) = 0,011 [CY]</t>
  </si>
  <si>
    <t xml:space="preserve"> Staničení: 0,0201 - 0,02151: 0,349778662354805 (2aboNnJ24lpW0000001Zr5) = 0,350 [CZ]</t>
  </si>
  <si>
    <t xml:space="preserve"> Staničení: 0,013 - 0,01479: 0,391125502387728 (2aboNnJ24lpW0000001Zyl) = 0,391 [DA]</t>
  </si>
  <si>
    <t xml:space="preserve"> Staničení: 0,0033 - 0,00334: 0,29866828128754 (2aboNnJ24lpW0000001cRd) = 0,299 [DB]</t>
  </si>
  <si>
    <t xml:space="preserve"> Staničení: 0,0992 - 0,103: 0,93038530158299 (2aboNnJ24lpW0000001bV2) = 0,930 [DC]</t>
  </si>
  <si>
    <t xml:space="preserve"> Staničení: 0,1258 - 0,12592: 0,0223565535640324 (2aboNnJ24lpW0000001arz) = 0,022 [DD]</t>
  </si>
  <si>
    <t xml:space="preserve"> Staničení: 0,103 - 0,10312: 0,00602327378321681 (2aboNnJ24lpW0000001bM2) = 0,006 [DE]</t>
  </si>
  <si>
    <t xml:space="preserve"> Staničení: 0,0148 - 0,01483: 0,0161351397875514 (2aboNnJ24lpW0000001a0K) = 0,016 [DF]</t>
  </si>
  <si>
    <t xml:space="preserve"> Staničení: 0,1364 - 0,13657: 0,0110376020102623 (2aboNnJ24lpW0000001aur) = 0,011 [DG]</t>
  </si>
  <si>
    <t xml:space="preserve"> Staničení: 0,0992 - 0,103: 0,2207274424576 (2aboNnJ24lpW0000001bWu) = 0,221 [DH]</t>
  </si>
  <si>
    <t xml:space="preserve"> Staničení: 0,0215 - 0,02522: 0,835693086785121 (2aboNnJ24lpW0000001ayr) = 0,836 [DI]</t>
  </si>
  <si>
    <t xml:space="preserve"> Staničení: 0,1073 - 0,10741: 0,0211393531236162 (2aboNnJ24lpW0000001bFu) = 0,021 [DJ]</t>
  </si>
  <si>
    <t xml:space="preserve"> Staničení: 0,12173 - 0,1236: 0,937994459967966 (2aboNnJ24lpW0000001gg4) = 0,938 [DK]</t>
  </si>
  <si>
    <t xml:space="preserve"> Staničení: 0,0148 - 0,01498: 0,057394559962988 (2aboNnJ24lpW0000001a4r) = 0,057 [DL]</t>
  </si>
  <si>
    <t xml:space="preserve"> Staničení: 0,0215 - 0,02594: 1,13267312206291 (2aboNnJ24lpW0000001bZm) = 1,133 [DM]</t>
  </si>
  <si>
    <t xml:space="preserve"> Staničení: 0,0125 - 0,02151: 1,2611174731615 (2aboNnJ24lpW0000001cBL) = 1,261 [DN]</t>
  </si>
  <si>
    <t xml:space="preserve"> Staničení: 0,0069 - 0,01299: 2,42350963334494 (2aboNnJ24lpW0000001cF2) = 2,424 [DO]</t>
  </si>
  <si>
    <t xml:space="preserve"> Staničení: 0,1073 - 0,10741: 0,0790389251888862 (2aboNnJ24lpW0000001bFe) = 0,079 [DP]</t>
  </si>
  <si>
    <t xml:space="preserve"> Staničení: 0,1443 - 0,1461: 0,232402447642134 (2aboNnJ24lpW0000001brZ) = 0,232 [DQ]</t>
  </si>
  <si>
    <t xml:space="preserve"> Staničení: 0,103 - 0,10312: 0,0172341476302229 (2aboNnJ24lpW0000001bJe) = 0,017 [DR]</t>
  </si>
  <si>
    <t xml:space="preserve"> Staničení: 0,1322 - 0,13738: 167,597561558484 (2aboNnJ24lpW0000001ZhI) = 167,598 [DS]</t>
  </si>
  <si>
    <t xml:space="preserve"> Staničení: 0,1073 - 0,10741: 0,0111779823008059 (2aboNnJ24lpW0000001ZjI) = 0,011 [DT]</t>
  </si>
  <si>
    <t xml:space="preserve"> Staničení: 0,0215 - 0,02594: 5,27372204961375 (2aboNnJ24lpW0000001bZW) = 5,274 [DU]</t>
  </si>
  <si>
    <t xml:space="preserve"> Staničení: 0,0148 - 0,01483: 0,0121832361802885 (2aboNnJ24lpW0000001a0a) = 0,012 [DV]</t>
  </si>
  <si>
    <t xml:space="preserve"> Staničení: 0,1179 - 0,12454: 0,831339516969839 (2aboNnJ24lpW0000001b3_) = 0,831 [DW]</t>
  </si>
  <si>
    <t xml:space="preserve"> Staničení: 0,1073 - 0,10741: 0,0380964736827877 (2aboNnJ24lpW0000001bFO) = 0,038 [DX]</t>
  </si>
  <si>
    <t xml:space="preserve"> Staničení: 0,1031 - 0,10725: 0,116640474597341 (2aboNnJ24lpW0000001bBO) = 0,117 [DY]</t>
  </si>
  <si>
    <t xml:space="preserve"> Staničení: 0,103 - 0,10312: 0,0324565739698364 (2aboNnJ24lpW0000001bJO) = 0,032 [DZ]</t>
  </si>
  <si>
    <t xml:space="preserve"> Staničení: 0,1236 - 0,12384: 0,100283309255331 (2aboNnJ24lpW0000001c0v) = 0,100 [EA]</t>
  </si>
  <si>
    <t xml:space="preserve"> Staničení: 0,0215 - 0,02594: 1,10816081355246 (2aboNnJ24lpW0000001bZG) = 1,108 [EB]</t>
  </si>
  <si>
    <t xml:space="preserve"> Staničení: 0,1092 - 0,11789: 2,15887881034235 (2aboNnJ24lpW0000001aaI) = 2,159 [EC]</t>
  </si>
  <si>
    <t xml:space="preserve"> Staničení: 0,1259 - 0,13642: 0,787472657652032 (2aboNnJ24lpW0000001b2O) = 0,787 [ED]</t>
  </si>
  <si>
    <t xml:space="preserve"> Staničení: 0,146 - 0,148: 2,45837598535562 (2aboNnJ24lpW0000001bm4) = 2,458 [EE]</t>
  </si>
  <si>
    <t xml:space="preserve"> Staničení: 0,1441 - 0,14425: 0,187363221217998 (2aboNnJ24lpW0000001bcw) = 0,187 [EF]</t>
  </si>
  <si>
    <t xml:space="preserve"> Staničení: 0,0954 - 0,09906: 0,727581947736906 (2aboNnJ24lpW0000001b6w) = 0,728 [EG]</t>
  </si>
  <si>
    <t xml:space="preserve"> Staničení: 0,0215 - 0,02522: 0,927482366858996 (2aboNnJ24lpW0000001ayL) = 0,927 [EH]</t>
  </si>
  <si>
    <t xml:space="preserve"> Staničení: 0,0829 - 0,08866: 1,16974695613489 (2aboNnJ24lpW0000001azL) = 1,170 [EI]</t>
  </si>
  <si>
    <t xml:space="preserve"> Staničení: 0,1364 - 0,13657: 0,0367920066791614 (2aboNnJ24lpW0000001asD) = 0,037 [EJ]</t>
  </si>
  <si>
    <t xml:space="preserve"> Staničení: 0,1441 - 0,14425: 0,0772011523923377 (2aboNnJ24lpW0000001bf9) = 0,077 [EK]</t>
  </si>
  <si>
    <t xml:space="preserve"> Staničení: 0,0953 - 0,09542: 0,015918882020674 (2aboNnJ24lpW0000001bD1) = 0,016 [EL]</t>
  </si>
  <si>
    <t xml:space="preserve"> Staničení: 0,0069 - 0,01299: 0,771956638751206 (2aboNnJ24lpW0000001cEY) = 0,772 [EM]</t>
  </si>
  <si>
    <t xml:space="preserve"> Staničení: 0,1476 - 0,148: 0,185153383367575 (2aboNnJ24lpW0000001bj1) = 0,185 [EN]</t>
  </si>
  <si>
    <t xml:space="preserve"> Staničení: 0,1322 - 0,1441: 0,895933415379909 (2aboNnJ24lpW0000001b01) = 0,896 [EO]</t>
  </si>
  <si>
    <t xml:space="preserve"> Staničení: 0,1179 - 0,11967: 0,153853967183384 (2aboNnJ24lpW0000001cWI) = 0,154 [EP]</t>
  </si>
  <si>
    <t xml:space="preserve"> Staničení: 0,0148 - 0,01483: 0,010395334528081 (2aboNnJ24lpW0000001a04) = 0,010 [EQ]</t>
  </si>
  <si>
    <t xml:space="preserve"> Staničení: 0,026 - 0,02604: 0,020446420378611 (2aboNnJ24lpW0000001bOh) = 0,020 [ER]</t>
  </si>
  <si>
    <t xml:space="preserve"> Staničení: 0,1374 - 0,148: 17,0446488321273 (2aboNnJ24lpW0000001buh) = 17,045 [ES]</t>
  </si>
  <si>
    <t xml:space="preserve"> Staničení: 0,0991 - 0,09917: 0,0250131947101432 (2aboNnJ24lpW0000001bQY) = 0,025 [ET]</t>
  </si>
  <si>
    <t xml:space="preserve"> Celkové množství 632.633000 = 632,633 [EU]</t>
  </si>
  <si>
    <t>Materiál:
zemina:
podrobná specifikace:
upravená vápnem, dávkování 1-2% hmotnosti suché zeminy:
Reference:
ČSN 736133, D.2.4 vzorové řezy, D.2.1 technická zpráva:
specifikace:
zemina třídy F4-CS(F5-MI, F6-CI):
včetně dodání hydraulického pojiva, pro potřeby rozpočtu uvažováno 2%</t>
  </si>
  <si>
    <t xml:space="preserve"> Staničení: 0,1272 - 0,13643: 0,607008974315079 (2aboNnJ24lpW0000000dCy) = 0,607 [A]</t>
  </si>
  <si>
    <t xml:space="preserve"> Staničení: 0,13657 - 0,13804: 0,475166583046095 (2aboNnJ24lpW0000000dCi) = 0,475 [B]</t>
  </si>
  <si>
    <t xml:space="preserve"> Staničení: 0,10918 - 0,11124: 0,046237370728118 (2aboNnJ24lpW0000000dCZ) = 0,046 [C]</t>
  </si>
  <si>
    <t xml:space="preserve"> Staničení: 0,10737 - 0,11394: 0,796460458743685 (2aboNnJ24lpW0000000dCa) = 0,796 [D]</t>
  </si>
  <si>
    <t xml:space="preserve"> Staničení: 0,0336 - 0,03366: 0,000754835344916098 (2aboNnJ24lpW0000000dCR) = 0,001 [E]</t>
  </si>
  <si>
    <t xml:space="preserve"> Staničení: 0,12382 - 0,12483: 0,0627419235487827 (2aboNnJ24lpW0000000dCW) = 0,063 [F]</t>
  </si>
  <si>
    <t xml:space="preserve"> Staničení: 0,01312 - 0,02104: 1,51619318862801 (2aboNnJ24lpW0000000dCO) = 1,516 [G]</t>
  </si>
  <si>
    <t xml:space="preserve"> Staničení: 0,03966 - 0,04484: 0,0249314502717905 (2aboNnJ24lpW0000000dCG) = 0,025 [H]</t>
  </si>
  <si>
    <t xml:space="preserve"> Staničení: 0,12483 - 0,12578: 0,0939364730897115 (2aboNnJ24lpW0000000dCw) = 0,094 [I]</t>
  </si>
  <si>
    <t xml:space="preserve"> Staničení: 0,12899 - 0,132: 0,025973575421312 (2aboNnJ24lpW0000000dCt) = 0,026 [J]</t>
  </si>
  <si>
    <t xml:space="preserve"> Staničení: 0,14425 - 0,14757: 0,458213552783457 (2aboNnJ24lpW0000000dCd) = 0,458 [K]</t>
  </si>
  <si>
    <t xml:space="preserve"> Staničení: 0,10176 - 0,10485: 0,00262472583593756 (2aboNnJ24lpW0000000dCU) = 0,003 [L]</t>
  </si>
  <si>
    <t xml:space="preserve"> Staničení: 0,01136 - 0,01219: 0,00125759647990169 (2aboNnJ24lpW0000000dCE) = 0,001 [M]</t>
  </si>
  <si>
    <t xml:space="preserve"> Staničení: 0,12596 - 0,12634: 0,0143105386972466 (2aboNnJ24lpW0000000dCr) = 0,014 [N]</t>
  </si>
  <si>
    <t xml:space="preserve"> Staničení: 0,12662 - 0,132: 0,301173168831316 (2aboNnJ24lpW0000000dNr) = 0,301 [O]</t>
  </si>
  <si>
    <t xml:space="preserve"> Staničení: 0,11894 - 0,11952: 0,000121832866348137 (2aboNnJ24lpW0000000dCb) = 0,000 [P]</t>
  </si>
  <si>
    <t xml:space="preserve"> Staničení: 0,08867 - 0,10099: 0,260717357982631 (2aboNnJ24lpW0000000dCX) = 0,261 [Q]</t>
  </si>
  <si>
    <t xml:space="preserve"> Staničení: 0,00351 - 0,01145: 2,29959686094518 (2aboNnJ24lpW0000000dCP) = 2,300 [R]</t>
  </si>
  <si>
    <t xml:space="preserve"> Staničení: 0,12714 - 0,12849: 0,00070827785699982 (2aboNnJ24lpW0000000dCg) = 0,001 [S]</t>
  </si>
  <si>
    <t xml:space="preserve"> Staničení: 0,12576 - 0,12578: 0,000894374092213579 (2aboNnJ24lpW0000000dCx) = 0,001 [T]</t>
  </si>
  <si>
    <t xml:space="preserve"> Staničení: 0,13804 - 0,14425: 0,000448458265219756 (2aboNnJ24lpW0000000dCe) = 0,000 [U]</t>
  </si>
  <si>
    <t xml:space="preserve"> Staničení: 0,10302 - 0,10302: 0 (2aboNnJ24lpW0000000dCV) = 0,000 [V]</t>
  </si>
  <si>
    <t xml:space="preserve"> Staničení: 0,0252 - 0,04484: 0,126956531835396 (2aboNnJ24lpW0000000dCS) = 0,127 [W]</t>
  </si>
  <si>
    <t xml:space="preserve"> Staničení: 0,14755 - 0,14762: 0 (2aboNnJ24lpW0000000dCK) = 0,000 [X]</t>
  </si>
  <si>
    <t xml:space="preserve"> Staničení: 0,04484 - 0,08583: 0,0380602104421688 (2aboNnJ24lpW0000000dCC) = 0,038 [Y]</t>
  </si>
  <si>
    <t xml:space="preserve"> Staničení: 0,13272 - 0,13804: 0,0222931114443163 (2aboNnJ24lpW0000000dCs) = 0,022 [Z]</t>
  </si>
  <si>
    <t xml:space="preserve"> Staničení: 0,12392 - 0,12406: 0,000106775326132891 (2aboNnJ24lpW0000000dCY) = 0,000 [AA]</t>
  </si>
  <si>
    <t xml:space="preserve"> Staničení: 0,0313 - 0,03307: 0,000921242620470229 (2aboNnJ24lpW0000000dCQ) = 0,001 [AB]</t>
  </si>
  <si>
    <t xml:space="preserve"> Staničení: 0,08583 - 0,09472: 0,0162839332890587 (2aboNnJ24lpW0000000dCI) = 0,016 [AC]</t>
  </si>
  <si>
    <t xml:space="preserve"> Staničení: 0,12662 - 0,12699: 0 (2aboNnJ24lpW0000000dCv) = 0,000 [AD]</t>
  </si>
  <si>
    <t xml:space="preserve"> Staničení: 0,13804 - 0,14528: 1,79901022974815 (2aboNnJ24lpW0000000dCf) = 1,799 [AE]</t>
  </si>
  <si>
    <t xml:space="preserve"> Staničení: 0,10295 - 0,10302: 0,00981744765390599 (2aboNnJ24lpW0000000dCc) = 0,010 [AF]</t>
  </si>
  <si>
    <t xml:space="preserve"> Staničení: 0,04484 - 0,0828: 1,67846535057857 (2aboNnJ24lpW0000000dCT) = 1,678 [AG]</t>
  </si>
  <si>
    <t xml:space="preserve"> Celkové množství 10.680000 = 10,680 [AH]</t>
  </si>
  <si>
    <t>Materiál:
ornice/místní materiál:
podrobná specifikace:
ornice získaná skrývkou ornice z pozemků s ochranou ZPF/ nedostatek řešen nákupem
Reference:
D.2.4 vzorové řezy, D.2.1 technická zpráva:
specifikace:
ornice/humozní vrstva, tl. 150mmmky ZPF:</t>
  </si>
  <si>
    <t>Materiál:
travní směs:
podrobná specifikace:
Založení porostů musí být provedeno ihned po provedení jemných terénních úprav, tak aby nový porost redukoval výskyt plevelů.:
Reference:
D.2.4 vzorové řezy, D.2.1 technická zpráva, ČSN 83 9031:
specifikace:
založení travního porostu osevem:</t>
  </si>
  <si>
    <t xml:space="preserve"> Staničení: 0,00966 - 0,02151: 79,5844273854671 (2aboNnJ24lpW0000000d7E) = 79,584 [A]</t>
  </si>
  <si>
    <t xml:space="preserve"> Staničení: 0,00349 - 0,14776: 188,343945175728 (2aboNnJ24lpW0000000d7D) = 188,344 [B]</t>
  </si>
  <si>
    <t xml:space="preserve"> Celkové množství 267.928000 = 267,928 [C]</t>
  </si>
  <si>
    <t xml:space="preserve"> Staničení: 0,1322 - 0,1441: 0,156427117930546 (2aboNnJ24lpW0000001b0Y) = 0,156 [A]</t>
  </si>
  <si>
    <t xml:space="preserve"> Staničení: 0,1236 - 0,12454: 0,0270976530932025 (2aboNnJ24lpW0000001c4K) = 0,027 [B]</t>
  </si>
  <si>
    <t xml:space="preserve"> Staničení: 0,1179 - 0,11954: 0,0497672954402757 (2aboNnJ24lpW0000001cX4) = 0,050 [C]</t>
  </si>
  <si>
    <t xml:space="preserve"> Staničení: 0,1364 - 0,13657: 0,00200026440750089 (2aboNnJ24lpW0000001avM) = 0,002 [D]</t>
  </si>
  <si>
    <t xml:space="preserve"> Staničení: 0,0992 - 0,103: 0,03145722530065 (2aboNnJ24lpW0000001bX8) = 0,031 [E]</t>
  </si>
  <si>
    <t xml:space="preserve"> Staničení: 0,1195 - 0,11976: 0,01738543461118 (2aboNnJ24lpW0000001cZb) = 0,017 [F]</t>
  </si>
  <si>
    <t xml:space="preserve"> Staničení: 0,1258 - 0,12592: 0,0021044238518476 (2aboNnJ24lpW0000001av5) = 0,002 [G]</t>
  </si>
  <si>
    <t xml:space="preserve"> Staničení: 0,1092 - 0,11789: 0,187370431097075 (2aboNnJ24lpW0000001aeT) = 0,187 [H]</t>
  </si>
  <si>
    <t xml:space="preserve"> Staničení: 0,1074 - 0,12647: 0,225142489774254 (2aboNnJ24lpW0000001b0H) = 0,225 [I]</t>
  </si>
  <si>
    <t xml:space="preserve"> Staničení: 0,1259 - 0,13642: 0,150916877859882 (2aboNnJ24lpW0000001b2e) = 0,151 [J]</t>
  </si>
  <si>
    <t xml:space="preserve"> Staničení: 0,1236 - 0,1238: 0,0385159633220743 (2aboNnJ24lpW0000001c1Q) = 0,039 [K]</t>
  </si>
  <si>
    <t xml:space="preserve"> Celkové množství 0.887000 = 0,887 [L]</t>
  </si>
  <si>
    <t>Materiál:
úprava pláně se zhutněním v zemině I.třídy:
podrobná specifikace:
zhutněná zemní pláň tvořená na zlepšené zemině upravené vápněním, Edef,2=45MPa:
Reference:
ČSN 736133, ČSN EN 72 1006, D.2.4 vzorové řezy, D.2.1 technická zpráva:
specifikace:
úprava zemní pláně se zhutněním dle ČSN 736133, sklony pláně v souladu s ČSN 736101:</t>
  </si>
  <si>
    <t xml:space="preserve"> Staničení: 0,083 - 0,087: 3,89937036666691 (2aboNnJ24lpW0000000d7O) = 3,899 [A]</t>
  </si>
  <si>
    <t xml:space="preserve"> Staničení: 0,09534 - 0,12647: 57,4137418555658 (2aboNnJ24lpW0000000d7G) = 57,414 [B]</t>
  </si>
  <si>
    <t xml:space="preserve"> Staničení: 0,11789 - 0,124: 9,87692780650647 (2aboNnJ24lpW0000000d7M) = 9,877 [C]</t>
  </si>
  <si>
    <t xml:space="preserve"> Staničení: 0,01498 - 0,018: 17,1626625743126 (2aboNnJ24lpW0000000d7J) = 17,163 [D]</t>
  </si>
  <si>
    <t xml:space="preserve"> Staničení: 0,02153 - 0,02522: 8,83224627624397 (2aboNnJ24lpW0000000d7P) = 8,832 [E]</t>
  </si>
  <si>
    <t xml:space="preserve"> Staničení: 0,03366 - 0,03723: 26,3025135106788 (2aboNnJ24lpW0000000d7H) = 26,303 [F]</t>
  </si>
  <si>
    <t xml:space="preserve"> Staničení: 0,00162 - 0,0145: 28,9996615479994 (2aboNnJ24lpW0000000d7K) = 29,000 [G]</t>
  </si>
  <si>
    <t xml:space="preserve"> Staničení: 0,02003 - 0,02595: 24,3653524007879 (2aboNnJ24lpW0000000d7I) = 24,365 [H]</t>
  </si>
  <si>
    <t xml:space="preserve"> Staničení: 0,10152 - 0,10859: 3,96991164389231 (2aboNnJ24lpW0000000d7N) = 3,970 [I]</t>
  </si>
  <si>
    <t xml:space="preserve"> Staničení: 0,132 - 0,144: 24,5052720895192 (2aboNnJ24lpW0000000d7F) = 24,505 [J]</t>
  </si>
  <si>
    <t xml:space="preserve"> Staničení: 0,12585 - 0,13647: 48,5846013649358 (2aboNnJ24lpW0000000d7L) = 48,585 [K]</t>
  </si>
  <si>
    <t xml:space="preserve"> Celkové množství 253.913000 = 253,913 [L]</t>
  </si>
  <si>
    <t>Materiál:
ŠDB:
podrobná specifikace:
GN:
Reference:
ČSN 73 6126-1, D.2.4 vzorové řezy, D.2.1 technická zpráva:
specifikace:
ŠDB fr. 0/32, tl. 300 mm:</t>
  </si>
  <si>
    <t xml:space="preserve"> Staničení: 0,0215 - 0,02522: 2,68721318986265 (2aboNnJ24lpW0000001azb) = 2,687 [A]</t>
  </si>
  <si>
    <t xml:space="preserve"> Staničení: 0,0829 - 0,08866: 1,20161661784658 (2aboNnJ24lpW0000001azs) = 1,202 [B]</t>
  </si>
  <si>
    <t xml:space="preserve"> Celkové množství 3.889000 = 3,889 [C]</t>
  </si>
  <si>
    <t>Materiál:
ŠDB:
podrobná specifikace:
GN:
Reference:
ČSN 73 6126-1, D.2.4 vzorové řezy, D.2.1 technická zpráva:
specifikace:
ŠDB fr. 0/32, tl. 250 mm:</t>
  </si>
  <si>
    <t xml:space="preserve"> Staničení: 0,103 - 0,10312: 0,0290879812148949 (2aboNnJ24lpW0000001bKQ) = 0,029 [A]</t>
  </si>
  <si>
    <t xml:space="preserve"> Staničení: 0,0201 - 0,02151: 1,45644452012361 (2aboNnJ24lpW0000001Zse) = 1,456 [B]</t>
  </si>
  <si>
    <t xml:space="preserve"> Staničení: 0,1322 - 0,1441: 5,4808799848491 (2aboNnJ24lpW0000001aQB) = 5,481 [C]</t>
  </si>
  <si>
    <t xml:space="preserve"> Staničení: 0,0991 - 0,09917: 0,0112007677797594 (2aboNnJ24lpW0000001bRr) = 0,011 [D]</t>
  </si>
  <si>
    <t xml:space="preserve"> Staničení: 0,1073 - 0,10741: 0,0755008606364832 (2aboNnJ24lpW0000001bGg) = 0,076 [E]</t>
  </si>
  <si>
    <t xml:space="preserve"> Staničení: 0,1092 - 0,11789: 0,652077461508388 (2aboNnJ24lpW0000001acG) = 0,652 [F]</t>
  </si>
  <si>
    <t xml:space="preserve"> Staničení: 0,1245 - 0,12577: 0,00287711626980193 (2aboNnJ24lpW0000001ad8) = 0,003 [G]</t>
  </si>
  <si>
    <t xml:space="preserve"> Staničení: 0,1092 - 0,11789: 0,0208640884252265 (2aboNnJ24lpW0000001acc) = 0,021 [H]</t>
  </si>
  <si>
    <t xml:space="preserve"> Staničení: 0,1259 - 0,13642: 12,1458653562148 (2aboNnJ24lpW0000001anf) = 12,146 [I]</t>
  </si>
  <si>
    <t xml:space="preserve"> Staničení: 0,1031 - 0,10725: 2,59114576830062 (2aboNnJ24lpW0000001b9n) = 2,591 [J]</t>
  </si>
  <si>
    <t xml:space="preserve"> Staničení: 0,1245 - 0,12577: 0,0929586355826773 (2aboNnJ24lpW0000001act) = 0,093 [K]</t>
  </si>
  <si>
    <t xml:space="preserve"> Staničení: 0,0954 - 0,09906: 1,35819104369015 (2aboNnJ24lpW0000001b9W) = 1,358 [L]</t>
  </si>
  <si>
    <t xml:space="preserve"> Staničení: 0,0992 - 0,103: 0,736778696281166 (2aboNnJ24lpW0000001bW4) = 0,737 [M]</t>
  </si>
  <si>
    <t xml:space="preserve"> Staničení: 0,1074 - 0,12647: 8,56353244219384 (2aboNnJ24lpW0000001aPw) = 8,564 [N]</t>
  </si>
  <si>
    <t xml:space="preserve"> Staničení: 0,0215 - 0,02594: 4,42172415728124 (2aboNnJ24lpW0000001bap) = 4,422 [O]</t>
  </si>
  <si>
    <t xml:space="preserve"> Celkové množství 37.640000 = 37,640 [P]</t>
  </si>
  <si>
    <t>Materiál:
ŠDB:
podrobná specifikace:
GN:
Reference:
ČSN 73 6126-1, D.2.4 vzorové řezy, D.2.1 technická zpráva:
specifikace:
ŠDB fr. 0/32, tl. 150 mm:</t>
  </si>
  <si>
    <t xml:space="preserve"> Staničení: 0,1179 - 0,11945: 0,0118619424207897 (2aboNnJ24lpW0000001cWp) = 0,012 [A]</t>
  </si>
  <si>
    <t xml:space="preserve"> Staničení: 0,1236 - 0,12454: 0,058909849391333 (2aboNnJ24lpW0000001ghE) = 0,059 [B]</t>
  </si>
  <si>
    <t xml:space="preserve"> Staničení: 0,1195 - 0,11966: 0,00520633888816955 (2aboNnJ24lpW0000001cZK) = 0,005 [C]</t>
  </si>
  <si>
    <t xml:space="preserve"> Staničení: 0,1217 - 0,12454: 0,170853833762051 (2aboNnJ24lpW0000001c2$) = 0,171 [D]</t>
  </si>
  <si>
    <t xml:space="preserve"> Staničení: 0,11945 - 0,11991: 0,0515934814189749 (2aboNnJ24lpW0000001ggq) = 0,052 [E]</t>
  </si>
  <si>
    <t xml:space="preserve"> Staničení: 0,1236 - 0,1238: 0,0080712545832533 (2aboNnJ24lpW0000001c19) = 0,008 [F]</t>
  </si>
  <si>
    <t xml:space="preserve"> Staničení: 0,1179 - 0,1197: 0,1127 (2aboNnJ24lpW0000001ghW) = 0,113 [G]</t>
  </si>
  <si>
    <t xml:space="preserve"> Staničení: 0,1179 - 0,12173: 0,359082711811053 (2aboNnJ24lpW0000001cVU) = 0,359 [H]</t>
  </si>
  <si>
    <t xml:space="preserve"> Staničení: 0,1236 - 0,12454: 0,00559688760436673 (2aboNnJ24lpW0000001c43) = 0,006 [I]</t>
  </si>
  <si>
    <t xml:space="preserve"> Staničení: 0,1195 - 0,12173: 0,621683504238953 (2aboNnJ24lpW0000001cYG) = 0,622 [J]</t>
  </si>
  <si>
    <t xml:space="preserve"> Staničení: 0,1217 - 0,1236: 0,661972851663564 (2aboNnJ24lpW0000001c05) = 0,662 [K]</t>
  </si>
  <si>
    <t xml:space="preserve"> Staničení: 0,12355 - 0,12384: 0,0735778868992128 (2aboNnJ24lpW0000001gh1) = 0,074 [L]</t>
  </si>
  <si>
    <t xml:space="preserve"> Celkové množství 2.143000 = 2,143 [M]</t>
  </si>
  <si>
    <t xml:space="preserve"> Staničení: 0,1217 - 0,12454: 0,11855112116146 (2aboNnJ24lpW0000001c2k) = 0,119 [A]</t>
  </si>
  <si>
    <t xml:space="preserve"> Staničení: 0,1195 - 0,12173: 0,440195173353838 (2aboNnJ24lpW0000001cX$) = 0,440 [B]</t>
  </si>
  <si>
    <t xml:space="preserve"> Staničení: 0,1217 - 0,1236: 0,468997229983969 (2aboNnJ24lpW0000001b$q) = 0,469 [C]</t>
  </si>
  <si>
    <t xml:space="preserve"> Staničení: 0,1179 - 0,12173: 0,24915101069211 (2aboNnJ24lpW0000001cVD) = 0,249 [D]</t>
  </si>
  <si>
    <t xml:space="preserve"> Celkové množství 1.277000 = 1,277 [E]</t>
  </si>
  <si>
    <t>Materiál:
ŠDB:
podrobná specifikace:
GN:
Reference:
ČSN 73 6126-1, D.2.4 vzorové řezy, D.2.1 technická zpráva:
specifikace:
ŠDB fr. 0/32, tl. 200 mm:</t>
  </si>
  <si>
    <t xml:space="preserve"> Staničení: 0,0337 - 0,03965: 5,29791592515684 (2aboNnJ24lpW0000001aKR) = 5,298 [A]</t>
  </si>
  <si>
    <t xml:space="preserve"> Staničení: 0,101 - 0,1092: 0,845866116107154 (2aboNnJ24lpW0000001aTB) = 0,846 [B]</t>
  </si>
  <si>
    <t xml:space="preserve"> Staničení: 0,015 - 0,01904: 2,94467693732948 (2aboNnJ24lpW0000001a7T) = 2,945 [C]</t>
  </si>
  <si>
    <t xml:space="preserve"> Staničení: 0,015 - 0,01904: 1,35014313275783 (2aboNnJ24lpW0000001ZnZ) = 1,350 [D]</t>
  </si>
  <si>
    <t xml:space="preserve"> Celkové množství 10.439000 = 10,439 [E]</t>
  </si>
  <si>
    <t>Materiál:
R-Mat:
podrobná specifikace:
protříděný recyklát získaný frézováním stávajících vozovek:
Reference:
ČSN EN 13108-1, D.2.4 vzorové řezy, D.2.1 technická zpráva:
specifikace:
32 RA 0/16, tl. 100mm:</t>
  </si>
  <si>
    <t xml:space="preserve"> Staničení: 0,0829 - 0,08866: 0,449568093157561 (2aboNnJ24lpW0000001a_O) = 0,450 [A]</t>
  </si>
  <si>
    <t xml:space="preserve"> Staničení: 0,0215 - 0,02522: 0,925509269393947 (2aboNnJ24lpW0000001a_7) = 0,926 [B]</t>
  </si>
  <si>
    <t xml:space="preserve"> Celkové množství 1.376000 = 1,376 [C]</t>
  </si>
  <si>
    <t>Materiál:
R-Mat:
podrobná specifikace:
protříděný recyklát získaný frézováním stávajících vozovek:
Reference:
ČSN EN 13108-1, D.2.4 vzorové řezy, D.2.1 technická zpráva:
specifikace:
32 RA 0/16, tl. 50 mm:</t>
  </si>
  <si>
    <t xml:space="preserve"> Staničení: 0,1195 - 0,12173: 0,146731724451507 (2aboNnJ24lpW0000001cXk) = 0,147 [A]</t>
  </si>
  <si>
    <t xml:space="preserve"> Staničení: 0,1179 - 0,12173: 0,0830503368974911 (2aboNnJ24lpW0000001cUy) = 0,083 [B]</t>
  </si>
  <si>
    <t xml:space="preserve"> Staničení: 0,1217 - 0,12454: 0,039517040387211 (2aboNnJ24lpW0000001c2T) = 0,040 [C]</t>
  </si>
  <si>
    <t xml:space="preserve"> Staničení: 0,1217 - 0,1236: 0,156332409994886 (2aboNnJ24lpW0000001b$Z) = 0,156 [D]</t>
  </si>
  <si>
    <t xml:space="preserve"> Celkové množství 0.426000 = 0,426 [E]</t>
  </si>
  <si>
    <t xml:space="preserve"> Staničení: 0,0337 - 0,03965: 1,34441903815087 (2aboNnJ24lpW0000001aJe) = 1,344 [A]</t>
  </si>
  <si>
    <t xml:space="preserve"> Staničení: 0,015 - 0,01904: 0,471148309972334 (2aboNnJ24lpW0000001a7C) = 0,471 [B]</t>
  </si>
  <si>
    <t xml:space="preserve"> Staničení: 0,015 - 0,01904: 0,225072837009799 (2aboNnJ24lpW0000001ZnI) = 0,225 [C]</t>
  </si>
  <si>
    <t xml:space="preserve"> Staničení: 0,101 - 0,1092: 0,0958071342621623 (2aboNnJ24lpW0000001aSw) = 0,096 [D]</t>
  </si>
  <si>
    <t xml:space="preserve"> Celkové množství 2.136000 = 2,136 [E]</t>
  </si>
  <si>
    <t xml:space="preserve"> Staničení: 0,01498 - 0,02378: 39,202816368236 (2aboNnJ24lpW00000018q3) = 39,203 [A]</t>
  </si>
  <si>
    <t xml:space="preserve"> Staničení: 0,03366 - 0,03723: 26,90346697426 (2aboNnJ24lpW00000018q4) = 26,903 [B]</t>
  </si>
  <si>
    <t xml:space="preserve"> Staničení: 0,1185 - 0,12443: 8,52503792918654 (2aboNnJ24lpW00000018q5) = 8,525 [C]</t>
  </si>
  <si>
    <t xml:space="preserve"> Celkové množství 74.631000 = 74,631 [D]</t>
  </si>
  <si>
    <t>Materiál:
asfaltový beton pro obrusnou vrstvu:
podrobná specifikace:
nemodifikovaný:
Reference:
ČSN EN 13108-1, D.2.4 vzorové řezy, D.2.1 technická zpráva:
specifikace:
ACO 11+ 50/70, tl. 50 mm:</t>
  </si>
  <si>
    <t xml:space="preserve"> Staničení: 0,015 - 0,01904: 0,942296619945988 (2aboNnJ24lpW0000001a6x) = 0,942 [A]</t>
  </si>
  <si>
    <t xml:space="preserve"> Staničení: 0,1179 - 0,12173: 0,083050336897295 (2aboNnJ24lpW0000001cUh) = 0,083 [B]</t>
  </si>
  <si>
    <t xml:space="preserve"> Staničení: 0,015 - 0,01904: 0,450145674020585 (2aboNnJ24lpW0000001Zn1) = 0,450 [C]</t>
  </si>
  <si>
    <t xml:space="preserve"> Staničení: 0,0337 - 0,03965: 1,34441903814882 (2aboNnJ24lpW0000001aJv) = 1,344 [D]</t>
  </si>
  <si>
    <t xml:space="preserve"> Staničení: 0,1217 - 0,1236: 0,156332409994552 (2aboNnJ24lpW0000001b$I) = 0,156 [E]</t>
  </si>
  <si>
    <t xml:space="preserve"> Staničení: 0,1217 - 0,12454: 0,0395170403871259 (2aboNnJ24lpW0000001c2C) = 0,040 [F]</t>
  </si>
  <si>
    <t xml:space="preserve"> Staničení: 0,101 - 0,1092: 0,24072290660627 (2aboNnJ24lpW0000001aSf) = 0,241 [G]</t>
  </si>
  <si>
    <t xml:space="preserve"> Staničení: 0,1195 - 0,12173: 0,146731724451168 (2aboNnJ24lpW0000001cXT) = 0,147 [H]</t>
  </si>
  <si>
    <t xml:space="preserve"> Celkové množství 3.403000 = 3,403 [I]</t>
  </si>
  <si>
    <t>58241</t>
  </si>
  <si>
    <t>DLÁŽDĚNÉ KRYTY Z KAMEN DESEK DO LOŽE Z KAMENIVA</t>
  </si>
  <si>
    <t>Materiál:
kamenná dlažba:
podrobná specifikace:
bude užita stávající kamenná dlažba k předláždění vstupu a jeho výškové úpravě k nově navržené vozovce:
Reference:
ČSN 73 6131, ČSN 73 6126-1, D.2.4 vzorové řezy, D.2.1 technická zpráva:
specifikace:
kamenná dlažba, tl. 50 mm, lože z drceného kameniva fr.4-8 mm, tl. 40 mm:</t>
  </si>
  <si>
    <t xml:space="preserve"> Staničení: 0,1266 - 0,132: 10,22055772403316 (2aboNnJ24lpW0000001ccw) = 10,221 [A]</t>
  </si>
  <si>
    <t xml:space="preserve"> Celkové množství 10.221000 = 10,221 [B]</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</si>
  <si>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</si>
  <si>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582612</t>
  </si>
  <si>
    <t>KRYTY Z BETON DLAŽDIC SE ZÁMKEM ŠEDÝCH TL 80MM DO LOŽE Z KAM</t>
  </si>
  <si>
    <t>Materiál:
betonová dlažba:
podrobná specifikace:
betonová dlažba, barva šedá, tl. 80 mm:
Reference:
ČSN 73 6131, ČSN 73 6126-1, D.2.4 vzorové řezy, D.2.1 technická zpráva:
specifikace:
betonová dlažba, barva šedá, tl. 80 mm, lože z drceného kameniva fr.4-8 mm, tl. 40 mm:</t>
  </si>
  <si>
    <t xml:space="preserve"> Staničení: 0,1322 - 0,1441: 22,103917796164375 (2aboNnJ24lpW0000001aP7) = 22,104 [A]</t>
  </si>
  <si>
    <t xml:space="preserve"> Staničení: 0,1259 - 0,13642: 45,682547916793375 (2aboNnJ24lpW0000001an7) = 45,683 [B]</t>
  </si>
  <si>
    <t xml:space="preserve"> Staničení: 0,1073 - 0,10741: 0,27867105953258625 (2aboNnJ24lpW0000001bG8) = 0,279 [C]</t>
  </si>
  <si>
    <t xml:space="preserve"> Staničení: 0,1074 - 0,12647: 34,661930773249625 (2aboNnJ24lpW0000001aOs) = 34,662 [D]</t>
  </si>
  <si>
    <t xml:space="preserve"> Celkové množství 102.728000 = 102,728 [E]</t>
  </si>
  <si>
    <t>582615</t>
  </si>
  <si>
    <t>KRYTY Z BETON DLAŽDIC SE ZÁMKEM BAREV TL 80MM DO LOŽE Z KAM</t>
  </si>
  <si>
    <t>Materiál:
betonová dlažba:
podrobná specifikace:
betonová dlažba, barva červená, tl. 80 mm:
Reference:
ČSN 73 6131, ČSN 73 6126-1, D.2.4 vzorové řezy, D.2.1 technická zpráva:
specifikace:
betonová dlažba, barva červená, tl. 80 mm, lože z drceného kameniva fr.4-8 mm, tl. 40 mm:</t>
  </si>
  <si>
    <t xml:space="preserve"> Staničení: 0,0991 - 0,09917: 0,052568480710726375 (2aboNnJ24lpW0000001bRJ) = 0,053 [A]</t>
  </si>
  <si>
    <t xml:space="preserve"> Staničení: 0,1031 - 0,10725: 9,2177567001516375 (2aboNnJ24lpW0000001b8j) = 9,218 [B]</t>
  </si>
  <si>
    <t xml:space="preserve"> Staničení: 0,0954 - 0,09906: 5,703662076624925 (2aboNnJ24lpW0000001b8S) = 5,704 [C]</t>
  </si>
  <si>
    <t xml:space="preserve"> Staničení: 0,0215 - 0,02594: 18,026749407206375 (2aboNnJ24lpW0000001baH) = 18,027 [D]</t>
  </si>
  <si>
    <t xml:space="preserve"> Staničení: 0,103 - 0,10312: 0,118356846319982625 (2aboNnJ24lpW0000001bJu) = 0,118 [E]</t>
  </si>
  <si>
    <t xml:space="preserve"> Staničení: 0,0201 - 0,02151: 5,94337463354025 (2aboNnJ24lpW0000001Zs6) = 5,943 [F]</t>
  </si>
  <si>
    <t xml:space="preserve"> Staničení: 0,0992 - 0,103: 3,1869832748814125 (2aboNnJ24lpW0000001bVY) = 3,187 [G]</t>
  </si>
  <si>
    <t xml:space="preserve"> Celkové množství 42.250000 = 42,250 [H]</t>
  </si>
  <si>
    <t>917223</t>
  </si>
  <si>
    <t>SILNIČNÍ A CHODNÍKOVÉ OBRUBY Z BETONOVÝCH OBRUBNÍKŮ ŠÍŘ 100MM</t>
  </si>
  <si>
    <t>Kategorie stavebního výrobku:
Klasifikace dle CCI:
Podrobná specifikace:
obrubník silniční 1000x100x250, výška podstupnice 0.00m:
Reference:
TKP10, vzorové příčné řezy, D.2.1 technická zpráva:
Specifikace:
obrubník silniční 1000x100x250, do betonového lože C20/25nXF3:
Stavební výrobek:
betonový obrubník silniční :
Typ stavebního výrobku:
obrubník:
Výrobce:
Nd:</t>
  </si>
  <si>
    <t xml:space="preserve"> Staničení: 0,0953 - 0,09542: 1,68 (2aboNnJ24lpW0000001fWp) = 1,680 [A]</t>
  </si>
  <si>
    <t xml:space="preserve"> Staničení: 0,103 - 0,10312: 0,15 (2aboNnJ24lpW0000001fXp) = 0,150 [B]</t>
  </si>
  <si>
    <t xml:space="preserve"> Staničení: 0,0992 - 0,103: 3,74 (2aboNnJ24lpW0000001fZp) = 3,740 [C]</t>
  </si>
  <si>
    <t xml:space="preserve"> Staničení: 0,026 - 0,02604: 3,92 (2aboNnJ24lpW0000001fYZ) = 3,920 [D]</t>
  </si>
  <si>
    <t xml:space="preserve"> Staničení: 0,1031 - 0,10725: 3,91 (2aboNnJ24lpW0000001fWJ) = 3,910 [E]</t>
  </si>
  <si>
    <t xml:space="preserve"> Staničení: 0,02 - 0,02011: 4,28 (2aboNnJ24lpW0000001fRJ) = 4,280 [F]</t>
  </si>
  <si>
    <t xml:space="preserve"> Staničení: 0,0991 - 0,09917: 1,13 (2aboNnJ24lpW0000001fZJ) = 1,130 [G]</t>
  </si>
  <si>
    <t xml:space="preserve"> Staničení: 0,0954 - 0,09906: 3,46 (2aboNnJ24lpW0000001fW3) = 3,460 [H]</t>
  </si>
  <si>
    <t xml:space="preserve"> Staničení: 0,103 - 0,10312: 0,94 (2aboNnJ24lpW0000001fY3) = 0,940 [I]</t>
  </si>
  <si>
    <t xml:space="preserve"> Staničení: 0,0991 - 0,09917: 0,15 (2aboNnJ24lpW0000001fZ3) = 0,150 [J]</t>
  </si>
  <si>
    <t xml:space="preserve"> Celkové množství 23.360000 = 23,360 [K]</t>
  </si>
  <si>
    <t xml:space="preserve"> Staničení: 0,1441 - 0,14425: 0,15 (2aboNnJ24lpW0000001bf$) = 0,150 [A]</t>
  </si>
  <si>
    <t xml:space="preserve"> Staničení: 0,1236 - 0,12454: 1,2 (2aboNnJ24lpW0000001gFo) = 1,200 [B]</t>
  </si>
  <si>
    <t xml:space="preserve"> Staničení: 0,1265 - 0,12662: 0,15 (2aboNnJ24lpW0000001bXg) = 0,150 [C]</t>
  </si>
  <si>
    <t xml:space="preserve"> Staničení: 0,1441 - 0,14425: 1,85 (2aboNnJ24lpW0000001bdV) = 1,850 [D]</t>
  </si>
  <si>
    <t xml:space="preserve"> Staničení: 0,1322 - 0,1441: 11,95 (2aboNnJ24lpW0000001b1b) = 11,950 [E]</t>
  </si>
  <si>
    <t xml:space="preserve"> Staničení: 0,1364 - 0,13657: 0,15 (2aboNnJ24lpW0000001gDT) = 0,150 [F]</t>
  </si>
  <si>
    <t xml:space="preserve"> Staničení: 0,1092 - 0,11789: 8,88 (2aboNnJ24lpW0000001gBT) = 8,880 [G]</t>
  </si>
  <si>
    <t xml:space="preserve"> Staničení: 0,1258 - 0,12592: 4,35 (2aboNnJ24lpW0000001gCT) = 4,350 [H]</t>
  </si>
  <si>
    <t xml:space="preserve"> Staničení: 0,12355 - 0,12375: 1,38 (2aboNnJ24lpW0000001gFY) = 1,380 [I]</t>
  </si>
  <si>
    <t xml:space="preserve"> Staničení: 0,1195 - 0,11991: 0,99 (2aboNnJ24lpW0000001gHI) = 0,990 [J]</t>
  </si>
  <si>
    <t xml:space="preserve"> Staničení: 0,1179 - 0,11967: 2,17 (2aboNnJ24lpW0000001gH2) = 2,170 [K]</t>
  </si>
  <si>
    <t xml:space="preserve"> Staničení: 0,1258 - 0,12592: 0,15 (2aboNnJ24lpW0000001gDD) = 0,150 [L]</t>
  </si>
  <si>
    <t xml:space="preserve"> Staničení: 0,132 - 0,13215: 0,15 (2aboNnJ24lpW0000001bXw) = 0,150 [M]</t>
  </si>
  <si>
    <t xml:space="preserve"> Staničení: 0,1259 - 0,13642: 10,5 (2aboNnJ24lpW0000001gDz) = 10,500 [N]</t>
  </si>
  <si>
    <t xml:space="preserve"> Staničení: 0,1364 - 0,13657: 4,35 (2aboNnJ24lpW0000001gCz) = 4,350 [O]</t>
  </si>
  <si>
    <t xml:space="preserve"> Staničení: 0,1074 - 0,12647: 18,67 (2aboNnJ24lpW0000001gDj) = 18,670 [P]</t>
  </si>
  <si>
    <t xml:space="preserve"> Celkové množství 67.040000 = 67,040 [Q]</t>
  </si>
  <si>
    <t xml:space="preserve"> Staničení: 0,1073 - 0,10741: 0,15 (2aboNnJ24lpW0000001fQd) = 0,150 [A]</t>
  </si>
  <si>
    <t xml:space="preserve"> Staničení: 0,1073 - 0,10741: 0,65 (2aboNnJ24lpW0000001fXJ) = 0,650 [B]</t>
  </si>
  <si>
    <t xml:space="preserve"> Staničení: 0,1265 - 0,12662: 1,85 (2aboNnJ24lpW0000001ahQ) = 1,850 [C]</t>
  </si>
  <si>
    <t xml:space="preserve"> Staničení: 0,132 - 0,13215: 1,85 (2aboNnJ24lpW0000001ahg) = 1,850 [D]</t>
  </si>
  <si>
    <t xml:space="preserve"> Celkové množství 4.500000 = 4,500 [E]</t>
  </si>
  <si>
    <t xml:space="preserve"> Staničení: 0,1199 - 0,12356: 3,65 (2aboNnJ24lpW0000000bvg) = 3,650 [A]</t>
  </si>
  <si>
    <t xml:space="preserve"> Staničení: 0,1236 - 0,12454: 2,62 (2aboNnJ24lpW0000000bvd) = 2,620 [B]</t>
  </si>
  <si>
    <t xml:space="preserve"> Staničení: 0,1171 - 0,11992: 3,11 (2aboNnJ24lpW0000000dkI) = 3,110 [C]</t>
  </si>
  <si>
    <t xml:space="preserve"> Celkové množství 9.380000 = 9,380 [D]</t>
  </si>
  <si>
    <t>Další specifikace:
zpětné použití do násypů a aktivní zóny za podmínky úpravy:
Klasifikace zemin / hornin:
F4 CS, S5 SC, F5ML/MI, F6 CI, S4 SM, S3 S-F, G3 G-F, R6-R4:
Třída těžitelnosti:
2:</t>
  </si>
  <si>
    <t xml:space="preserve"> Staničení: 0,14258 - 0,14448: 3,49204107634586 (2c7dpI16IXu00000000r9a) = 3,492 [A]</t>
  </si>
  <si>
    <t xml:space="preserve"> Staničení: 0,08228 - 0,08416: 3,74566878259181 (2c7dpI16IXu00000000r9f) = 3,746 [B]</t>
  </si>
  <si>
    <t xml:space="preserve"> Staničení: 0,08128 - 0,08345: 3,66976235938691 (2c7dpI16IXu00000000r9c) = 3,670 [C]</t>
  </si>
  <si>
    <t xml:space="preserve"> Staničení: 0,13102 - 0,13304: 4,32833230499815 (2c7dpI16IXu00000000r9e) = 4,328 [D]</t>
  </si>
  <si>
    <t xml:space="preserve"> Staničení: 0,14331 - 0,14538: 4,35735766716615 (2c7dpI16IXu00000000r9Z) = 4,357 [E]</t>
  </si>
  <si>
    <t xml:space="preserve"> Staničení: 0,11618 - 0,11837: 3,69089464578802 (2c7dpI16IXu00000000r9b) = 3,691 [F]</t>
  </si>
  <si>
    <t xml:space="preserve"> Staničení: 0,01232 - 0,0144: 3,87529205536175 (2c7dpI16IXu00000000r9g) = 3,875 [G]</t>
  </si>
  <si>
    <t xml:space="preserve"> Staničení: 0,01329 - 0,01548: 3,6958046308914 (2c7dpI16IXu00000000r9d) = 3,696 [H]</t>
  </si>
  <si>
    <t xml:space="preserve"> Celkové množství 30.855000 = 30,855 [I]</t>
  </si>
  <si>
    <t xml:space="preserve"> Staničení: 0,11286 - 0,11706: 5,35344202996451 (2c7dpI16IXu00000000qM1) = 5,353 [A]</t>
  </si>
  <si>
    <t xml:space="preserve"> Staničení: 0,14159 - 0,1437: 5,0865493101408 (2c7dpI16IXu00000000qLx) = 5,087 [B]</t>
  </si>
  <si>
    <t xml:space="preserve"> Staničení: 0,14283 - 0,14412: 1,00502526074351 (2c7dpI16IXu00000000qLw) = 1,005 [C]</t>
  </si>
  <si>
    <t xml:space="preserve"> Staničení: 0,00808 - 0,01413: 7,16706374569156 (2c7dpI16IXu00000000qM5) = 7,167 [D]</t>
  </si>
  <si>
    <t xml:space="preserve"> Staničení: 0,07754 - 0,08206: 5,33034757161013 (2c7dpI16IXu00000000qM2) = 5,330 [E]</t>
  </si>
  <si>
    <t xml:space="preserve"> Celkové množství 23.942000 = 23,942 [F]</t>
  </si>
  <si>
    <t>Materiál:
ŠDA:
podrobná specifikace:
GE, zásyp hutněný po vrstvách:
Reference:
ČSN 73 6126-1, D.2.4 vzorové řezy, D.2.1 technická zpráva:
specifikace:
ŠDA fr. 0/63:</t>
  </si>
  <si>
    <t xml:space="preserve"> Staničení: 0,08228 - 0,08416: 2,37535987000433 (2c7dpI16IXu00000000qJr) = 2,375 [A]</t>
  </si>
  <si>
    <t xml:space="preserve"> Staničení: 0,01329 - 0,01548: 2,36160528915672 (2c7dpI16IXu00000000qGD) = 2,362 [B]</t>
  </si>
  <si>
    <t xml:space="preserve"> Staničení: 0,08128 - 0,08345: 2,13785228073316 (2c7dpI16IXu00000000qFz) = 2,138 [C]</t>
  </si>
  <si>
    <t xml:space="preserve"> Staničení: 0,13102 - 0,13304: 2,59218642843514 (2c7dpI16IXu00000000qJQ) = 2,592 [D]</t>
  </si>
  <si>
    <t xml:space="preserve"> Staničení: 0,11618 - 0,11837: 2,17603592074377 (2c7dpI16IXu00000000qFf) = 2,176 [E]</t>
  </si>
  <si>
    <t xml:space="preserve"> Staničení: 0,14331 - 0,14538: 2,70341423357156 (2c7dpI16IXu00000000qFH) = 2,703 [F]</t>
  </si>
  <si>
    <t xml:space="preserve"> Staničení: 0,01232 - 0,0144: 1,95119785074974 (2c7dpI16IXu00000000qKR) = 1,951 [G]</t>
  </si>
  <si>
    <t xml:space="preserve"> Staničení: 0,14258 - 0,14448: 1,96523998942152 (2c7dpI16IXu00000000qFR) = 1,965 [H]</t>
  </si>
  <si>
    <t xml:space="preserve"> Celkové množství 18.262000 = 18,262 [I]</t>
  </si>
  <si>
    <t>Materiál: ŠD získaná demolicí vrstev ŠD z místní komunikace
ŠDA:
podrobná specifikace:
GE, zásyp hutněný po vrstvách:
Reference:
ČSN 73 6126-1, D.9.4 uložení potrubí, D.9.1 technická zpráva:
specifikace:
ŠDA fr. 0/63:</t>
  </si>
  <si>
    <t xml:space="preserve"> Staničení: 0,1416 - 0,1437: 1,506782 (2c7dpI16IXu00000000qGr) = 1,507 [A]</t>
  </si>
  <si>
    <t xml:space="preserve"> Staničení: 0,07752 - 0,08206: 1,82101486722317 (2c7dpI16IXu00000000qIg) = 1,821 [B]</t>
  </si>
  <si>
    <t xml:space="preserve"> Staničení: 0,11287 - 0,11705: 1,82796202683626 (2c7dpI16IXu00000000qHm) = 1,828 [C]</t>
  </si>
  <si>
    <t xml:space="preserve"> Staničení: 0,0081 - 0,01412: 2,1019933026229 (2c7dpI16IXu00000000qEm) = 2,102 [D]</t>
  </si>
  <si>
    <t xml:space="preserve"> Staničení: 0,14283 - 0,14381: 0,375171205225151 (2c7dpI16IXu00000000qHC) = 0,375 [E]</t>
  </si>
  <si>
    <t xml:space="preserve"> Celkové množství 7.633000 = 7,633 [F]</t>
  </si>
  <si>
    <t>Materiál:
ŠDB :
podrobná specifikace:
GN:
Reference:
ČSN 73 6126-1, D.2.4 vzorové řezy, D.2.1 technická zpráva:
specifikace:
ŠDB fr. 0/32:</t>
  </si>
  <si>
    <t xml:space="preserve"> Staničení: 0,00864 - 0,01412: 0,763932120055098 (2c7dpI16IXu00000000qGB) = 0,764 [A]</t>
  </si>
  <si>
    <t xml:space="preserve"> Staničení: 0,14283 - 0,14381: 0,194907515643393 (2c7dpI16IXu00000000qHO) = 0,195 [B]</t>
  </si>
  <si>
    <t xml:space="preserve"> Staničení: 0,11288 - 0,11705: 1,09231253060615 (2c7dpI16IXu00000000qHy) = 1,092 [C]</t>
  </si>
  <si>
    <t xml:space="preserve"> Staničení: 0,1416 - 0,1437: 1,11088399196246 (2c7dpI16IXu00000000qGy) = 1,111 [D]</t>
  </si>
  <si>
    <t xml:space="preserve"> Staničení: 0,0081 - 0,01385: 0,807767492389545 (2c7dpI16IXu00000000qGC) = 0,808 [E]</t>
  </si>
  <si>
    <t xml:space="preserve"> Staničení: 0,07754 - 0,08206: 1,09194156683092 (2c7dpI16IXu00000000qIU) = 1,092 [F]</t>
  </si>
  <si>
    <t xml:space="preserve"> Celkové množství 5.062000 = 5,062 [G]</t>
  </si>
  <si>
    <t>Materiál:
štěrkopísek:
podrobná specifikace:
GE, tl. 0.1 m:
Reference:
ČSN 73 6126-1, D.2.4 vzorové řezy, D.2.1 technická zpráva:
specifikace:
štěrkopísek fr. 0/16:</t>
  </si>
  <si>
    <t xml:space="preserve"> Staničení: 0,11618 - 0,11837: 0,240250000048697 (2c7dpI16IXu00000000rAO) = 0,240 [A]</t>
  </si>
  <si>
    <t xml:space="preserve"> Staničení: 0,01232 - 0,0144: 0,253268706267144 (2c7dpI16IXu00000000rAf) = 0,253 [B]</t>
  </si>
  <si>
    <t xml:space="preserve"> Staničení: 0,13102 - 0,13304: 0,240507809302948 (2c7dpI16IXu00000000rAX) = 0,241 [C]</t>
  </si>
  <si>
    <t xml:space="preserve"> Staničení: 0,01329 - 0,01548: 0,240250000030185 (2c7dpI16IXu00000000rAW) = 0,240 [D]</t>
  </si>
  <si>
    <t xml:space="preserve"> Staničení: 0,08228 - 0,08416: 0,206302319148679 (2c7dpI16IXu00000000rAb) = 0,206 [E]</t>
  </si>
  <si>
    <t xml:space="preserve"> Staničení: 0,14258 - 0,14448: 0,240250000030246 (2c7dpI16IXu00000000rAK) = 0,240 [F]</t>
  </si>
  <si>
    <t xml:space="preserve"> Staničení: 0,14331 - 0,14538: 0,240250000033129 (2c7dpI16IXu00000000rAG) = 0,240 [G]</t>
  </si>
  <si>
    <t xml:space="preserve"> Staničení: 0,08128 - 0,08345: 0,2402500000697 (2c7dpI16IXu00000000rAS) = 0,240 [H]</t>
  </si>
  <si>
    <t xml:space="preserve"> Celkové množství 1.900000 = 1,900 [I]</t>
  </si>
  <si>
    <t xml:space="preserve"> Staničení: 0,14144 - 0,14384: 0,474819320614213 (2c7dpI16IXu00000000qGd) = 0,475 [A]</t>
  </si>
  <si>
    <t xml:space="preserve"> Staničení: 0,11251 - 0,11741: 0,471979212332353 (2c7dpI16IXu00000000qI8) = 0,472 [B]</t>
  </si>
  <si>
    <t xml:space="preserve"> Staničení: 0,07735 - 0,08246: 0,466369847010669 (2c7dpI16IXu00000000qIs) = 0,466 [C]</t>
  </si>
  <si>
    <t xml:space="preserve"> Staničení: 0,08192 - 0,08363: 0,0948799314335649 (2c7dpI16IXu00000000qKm) = 0,095 [D]</t>
  </si>
  <si>
    <t xml:space="preserve"> Staničení: 0,00772 - 0,01452: 0,634517755594061 (2c7dpI16IXu00000000qJ0) = 0,635 [E]</t>
  </si>
  <si>
    <t xml:space="preserve"> Staničení: 0,13063 - 0,13252: 0,11370469911678 (2c7dpI16IXu00000000qLA) = 0,114 [F]</t>
  </si>
  <si>
    <t xml:space="preserve"> Staničení: 0,01195 - 0,01388: 0,120507076395338 (2c7dpI16IXu00000000qLa) = 0,121 [G]</t>
  </si>
  <si>
    <t xml:space="preserve"> Staničení: 0,14193 - 0,14431: 0,162385853097831 (2c7dpI16IXu00000000qHa) = 0,162 [H]</t>
  </si>
  <si>
    <t xml:space="preserve"> Celkové množství 2.540000 = 2,540 [I]</t>
  </si>
  <si>
    <t>87427</t>
  </si>
  <si>
    <t>POTRUBÍ Z TRUB PLASTOVÝCH ODPADNÍCH DN DO 100MM</t>
  </si>
  <si>
    <t>Kategorie stavebního výrobku:
Klasifikace dle CCI:
Podrobná specifikace:
SN 16:
Reference:
ČSN 75 6101, ČSN EN 1401-1, ČSN 75 6909, ČSN EN 1610, situace, D.2.9.:
Specifikace:
DN 100:
Stavební výrobek:
přípopjka žlabu s mříží:
Typ stavebního výrobku:
potrubí:
Výrobce:
Nd:</t>
  </si>
  <si>
    <t xml:space="preserve"> Staničení: 0,13182 - 0,1321: 0,46 (2aboNnJ24lpW0000001fQt) = 0,460 [A]</t>
  </si>
  <si>
    <t xml:space="preserve"> Celkové množství 0.460000 = 0,460 [B]</t>
  </si>
  <si>
    <t xml:space="preserve"> Staničení: 0,11283 - 0,11719: 6,4 (2c7dpI16IXu00000000qDr) = 6,400 [A]</t>
  </si>
  <si>
    <t xml:space="preserve"> Staničení: 0,14171 - 0,14355: 6,47 (2c7dpI16IXu00000000qDd) = 6,470 [B]</t>
  </si>
  <si>
    <t xml:space="preserve"> Staničení: 0,14203 - 0,14419: 2,33 (2c7dpI16IXu00000000qDk) = 2,330 [C]</t>
  </si>
  <si>
    <t xml:space="preserve"> Staničení: 0,13093 - 0,13216: 1,59 (2c7dpI16IXu00000000qJq) = 1,590 [D]</t>
  </si>
  <si>
    <t xml:space="preserve"> Staničení: 0,00802 - 0,01431: 8,61 (2c7dpI16IXu00000000qEY) = 8,610 [E]</t>
  </si>
  <si>
    <t xml:space="preserve"> Staničení: 0,01225 - 0,01352: 1,68 (2c7dpI16IXu00000000r9E) = 1,680 [F]</t>
  </si>
  <si>
    <t xml:space="preserve"> Staničení: 0,08223 - 0,08326: 1,33 (2c7dpI16IXu00000000qKF) = 1,330 [G]</t>
  </si>
  <si>
    <t xml:space="preserve"> Staničení: 0,07744 - 0,08227: 6,4 (2c7dpI16IXu00000000qEC) = 6,400 [H]</t>
  </si>
  <si>
    <t xml:space="preserve"> Celkové množství 34.810000 = 34,810 [I]</t>
  </si>
  <si>
    <t>Kategorie stavebního výrobku:
Klasifikace dle CCI:
Podrobná specifikace:
poklop D400, vtoková mříž v samonivelačním rámu, výška sestavy 1747 mm:
Reference:
D.2.1 technická zpráva, D.2.6 vzorová uliční vpusť:
Specifikace:
betonové prefabrikované díly, DN 450, umístění podél obruby:
Stavební výrobek:
uliční vpusť betonová:
Typ stavebního výrobku:
uliční vpusť:
Výrobce:
Nd:</t>
  </si>
  <si>
    <t xml:space="preserve"> Staničení: 0,08212 - 0,08263: 1 (2c7dpI16IXu00000000r8f) = 1,000 [A]</t>
  </si>
  <si>
    <t xml:space="preserve"> Staničení: 0,14318 - 0,14388: 1 (2c7dpI16IXu00000000r8L) = 1,000 [B]</t>
  </si>
  <si>
    <t xml:space="preserve"> Staničení: 0,01403 - 0,01473: 1 (2c7dpI16IXu00000000r8n) = 1,000 [C]</t>
  </si>
  <si>
    <t xml:space="preserve"> Staničení: 0,11702 - 0,11753: 1 (2c7dpI16IXu00000000r8s) = 1,000 [D]</t>
  </si>
  <si>
    <t xml:space="preserve"> Staničení: 0,01336 - 0,01386: 1 (2c7dpI16IXu00000000r8j) = 1,000 [E]</t>
  </si>
  <si>
    <t>Kategorie stavebního výrobku:
Klasifikace dle CCI:
Podrobná specifikace:
poklop D400, vtoková mříž v samonivelačním rámu, výška sestavy 2042 mm:
Reference:
D.2.1 technická zpráva, D.2.6 vzorová uliční vpusť:
Specifikace:
betonové prefabrikované díly, DN 450, umístění podél obruby:
Stavební výrobek:
uliční vpusť betonová:
Typ stavebního výrobku:
uliční vpusť:
Výrobce:
Nd:</t>
  </si>
  <si>
    <t xml:space="preserve"> Staničení: 0,14409 - 0,1446: 1 (2c7dpI16IXu00000000r8P) = 1,000 [A]</t>
  </si>
  <si>
    <t xml:space="preserve"> Staničení: 0,08309 - 0,0836: 1 (2c7dpI16IXu00000000r9A) = 1,000 [B]</t>
  </si>
  <si>
    <t xml:space="preserve"> Staničení: 0,132 - 0,1325: 1 (2c7dpI16IXu00000000r96) = 1,000 [C]</t>
  </si>
  <si>
    <t>Kategorie stavebního výrobku:
Klasifikace dle CCI:
Podrobná specifikace:
šedá:
Reference:
D.2.2 situace, D.2.7 vzorové uložení potrubí, D.2.1 technická zpráva:
Specifikace:
výstražná folie, š 0.33 m:
Stavební výrobek:
folie PVC:
Typ stavebního výrobku:
folie:
Výrobce:
Nd:</t>
  </si>
  <si>
    <t xml:space="preserve"> Staničení: 0,00849 - 0,01434: 8,5297 (2c7dpI16IXu00000000zLk) = 8,530 [A]</t>
  </si>
  <si>
    <t xml:space="preserve"> Staničení: 0,13108 - 0,13218: 1,474 (2c7dpI16IXu00000000zLp) = 1,474 [B]</t>
  </si>
  <si>
    <t xml:space="preserve"> Staničení: 0,14241 - 0,14418: 2,1151 (2c7dpI16IXu00000000zLr) = 2,115 [C]</t>
  </si>
  <si>
    <t xml:space="preserve"> Staničení: 0,07775 - 0,08229: 6,3085 (2c7dpI16IXu00000000zLm) = 6,309 [D]</t>
  </si>
  <si>
    <t xml:space="preserve"> Staničení: 0,11311 - 0,11722: 6,3046 (2c7dpI16IXu00000000zLo) = 6,305 [E]</t>
  </si>
  <si>
    <t xml:space="preserve"> Staničení: 0,14169 - 0,14361: 6,2887 (2c7dpI16IXu00000000zLq) = 6,289 [F]</t>
  </si>
  <si>
    <t xml:space="preserve"> Staničení: 0,01246 - 0,01354: 1,5659 (2c7dpI16IXu00000000zLl) = 1,566 [G]</t>
  </si>
  <si>
    <t xml:space="preserve"> Staničení: 0,08261 - 0,08328: 1,2166 (2c7dpI16IXu00000000zLn) = 1,217 [H]</t>
  </si>
  <si>
    <t xml:space="preserve"> Celkové množství 33.805000 = 33,805 [I]</t>
  </si>
  <si>
    <t>93541</t>
  </si>
  <si>
    <t>ŽLABY Z DÍLCŮ Z POLYMERBETONU SVĚTLÉ ŠÍŘKY DO 100MM VČETNĚ MŘÍŽÍ</t>
  </si>
  <si>
    <t>Kategorie stavebního výrobku:
Klasifikace dle CCI:
Podrobná specifikace:
 světlá š. 100 mm, průtočný profil min 143cm2, uloženo do společného bet. lože s přilehlou silniční obrubou:
Reference:
D.2.1 technická zpráva, D.2.9 vzorový žlab:
Specifikace:
Ocelová krytová mříž ZN úprava, B125:
Stavební výrobek:
prefabrikovaný žlab s ocelovou mříží:
Typ stavebního výrobku:
žlab:
Výrobce:
Nd:</t>
  </si>
  <si>
    <t xml:space="preserve"> Staničení: 0,1295 - 0,132: 2,5 (2aboNnJ24lpW0000000dHc) = 2,500 [A]</t>
  </si>
  <si>
    <t xml:space="preserve"> Celkové množství 2.500000 = 2,500 [B]</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</si>
  <si>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</si>
  <si>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 xml:space="preserve"> Staničení: 0,11475 - 0,11683: 47,1105084803333 (201A6cRmHklm0000000WBl) = 47,111 [A]</t>
  </si>
  <si>
    <t xml:space="preserve"> Staničení: 0,0784 - 0,0804: 39,1818376632901 (201A6cRmHklm0000000WBk) = 39,182 [B]</t>
  </si>
  <si>
    <t xml:space="preserve"> Celkové množství 86.293000 = 86,293 [C]</t>
  </si>
  <si>
    <t>Materiál:
ŠDA, ŠD získaná demolicí vrstev ŠD z místní komunikace
podrobná specifikace:
GE, zásyp hutněný po vrstvách:
Reference:
ČSN 73 6126-1, D.2.4 vzorové řezy, D.2.1 technická zpráva:
specifikace:
ŠDA fr. 0/63:</t>
  </si>
  <si>
    <t xml:space="preserve"> Staničení: 0,11475 - 0,11683: 19,6415881597517 (201A6cRmHklm0000000WBm) = 19,642 [A]</t>
  </si>
  <si>
    <t xml:space="preserve"> Staničení: 0,0784 - 0,0804: 15,3834833577635 (201A6cRmHklm0000000WBj) = 15,383 [B]</t>
  </si>
  <si>
    <t xml:space="preserve"> Celkové množství 35.025000 = 35,025 [C]</t>
  </si>
  <si>
    <t xml:space="preserve"> Staničení: 0,11475 - 0,11683: 13,8464138223673 (201A6cRmHklm0000000WBh) = 13,846 [A]</t>
  </si>
  <si>
    <t xml:space="preserve"> Staničení: 0,0784 - 0,0804: 11,3288993693055 (201A6cRmHklm0000000WBi) = 11,329 [B]</t>
  </si>
  <si>
    <t xml:space="preserve"> Celkové množství 25.175000 = 25,175 [C]</t>
  </si>
  <si>
    <t xml:space="preserve"> Staničení: 0,11475 - 0,11683: 2,20000000057714 (201A6cRmHklm0000000WBg) = 2,200 [A]</t>
  </si>
  <si>
    <t xml:space="preserve"> Staničení: 0,0784 - 0,0804: 1,80000000020928 (201A6cRmHklm0000000WBf) = 1,800 [B]</t>
  </si>
  <si>
    <t xml:space="preserve"> Celkové množství 4.000000 = 4,000 [C]</t>
  </si>
  <si>
    <t>87627</t>
  </si>
  <si>
    <t>CHRÁNIČKY Z TRUB PLASTOVÝCH DN DO 100MM</t>
  </si>
  <si>
    <t>Kategorie stavebního výrobku:
Klasifikace dle CCI:
Podrobná specifikace:
bez ochranné folie, oboustranně vytyčit a vyznačit konce v úrovni terénu:
Reference:
D.1.1 technická zpráva, D.1.2 situace:
Specifikace:
plastové potrubí, HDPE, DN 100:
Stavební výrobek:
chránička plastová:
Typ stavebního výrobku:
potrubí:
Výrobce:
Nd:</t>
  </si>
  <si>
    <t xml:space="preserve"> Staničení: 0,1155 - 0,11559: 11 (201A6cRmHklm0000000WBZ) = 11,000 [A]</t>
  </si>
  <si>
    <t xml:space="preserve"> Staničení: 0,07955 - 0,07956: 9 (201A6cRmHklm0000000WBc) = 9,000 [B]</t>
  </si>
  <si>
    <t xml:space="preserve"> Staničení: 0,1163 - 0,11639: 11 (201A6cRmHklm0000000WBX) = 11,000 [C]</t>
  </si>
  <si>
    <t xml:space="preserve"> Staničení: 0,1159 - 0,11599: 11 (201A6cRmHklm0000000WBY) = 11,000 [D]</t>
  </si>
  <si>
    <t xml:space="preserve"> Staničení: 0,07995 - 0,07996: 9 (201A6cRmHklm0000000WBb) = 9,000 [E]</t>
  </si>
  <si>
    <t xml:space="preserve"> Staničení: 0,07915 - 0,07916: 9 (201A6cRmHklm0000000WBd) = 9,000 [F]</t>
  </si>
  <si>
    <t xml:space="preserve"> Celkové množství 60.000000 = 60,000 [G]</t>
  </si>
  <si>
    <t>87633</t>
  </si>
  <si>
    <t>CHRÁNIČKY Z TRUB PLASTOVÝCH DN DO 150MM</t>
  </si>
  <si>
    <t>Kategorie stavebního výrobku:
Klasifikace dle CCI:
Podrobná specifikace:
bez ochranné folie, oboustranně vytyčit a vyznačit konce v úrovni terénu:
Reference:
D.1.1 technická zpráva, D.1.2 situace:
Specifikace:
plastové potrubí, HDPE, DN 150:
Stavební výrobek:
chránička plastová:
Typ stavebního výrobku:
potrubí:
Výrobce:
Nd:</t>
  </si>
  <si>
    <t xml:space="preserve"> Staničení: 0,11508 - 0,11516: 11 (201A6cRmHklm0000000WBa) = 11,000 [A]</t>
  </si>
  <si>
    <t xml:space="preserve"> Staničení: 0,07872 - 0,07873: 9 (201A6cRmHklm0000000WBe) = 9,000 [B]</t>
  </si>
  <si>
    <t xml:space="preserve"> Celkové množství 20.000000 = 20,000 [C]</t>
  </si>
  <si>
    <t>SO103</t>
  </si>
  <si>
    <t>Rekonstrukce stávající silnice II/353 v km 62,761 09 – 62,908 09 (kompletní konstrukce)</t>
  </si>
  <si>
    <t>Materiál:
vhodný nenamrzavý materiál:
podrobná specifikace:
dosypávka zhutněným nenamrzavým materiálem pod  nezpevněnou krajnicí:
Reference:
ČSN 736133, D.3.4 vzorové řezy, D.3.1 technická zpráva:
specifikace:
dosypávka zhutněným nenamrzavým materiálem :</t>
  </si>
  <si>
    <t xml:space="preserve"> Staničení: 62,76109 - 62,908: 14,3003205558842 (2hxzTIOkkwhG0000000b8w) = 14,300 [A]</t>
  </si>
  <si>
    <t xml:space="preserve"> Staničení: 62,76109 - 62,908: 14,2849363880205 (2hxzTIOkkwhG0000000b67) = 14,285 [B]</t>
  </si>
  <si>
    <t xml:space="preserve"> Celkové množství 28.585000 = 28,585 [C]</t>
  </si>
  <si>
    <t>Materiál:
úprava pláně se zhutněním v zemině I.třídy:
podrobná specifikace:
zhutněná zemní pláň tvořená na zlepšené zemině upravené vápněním, Edef,2=45MPa:
Reference:
ČSN 736133, ČSN EN 72 1006, D.3.4 vzorové řezy, D.3.1 technická zpráva:
specifikace:
úprava zemní pláně se zhutněním dle ČSN 736133, sklony pláně v souladu s ČSN 736101:</t>
  </si>
  <si>
    <t xml:space="preserve"> Staničení: 62,76109 - 62,907: 1527,93607647088 (2hxzTIOkkwhG0000000Wsu) = 1527,936 [A]</t>
  </si>
  <si>
    <t xml:space="preserve"> Celkové množství 1527.936000 = 1527,936 [B]</t>
  </si>
  <si>
    <t>Materiál:
ŠDA :
podrobná specifikace:
GE:
Reference:
ČSN 73 6126-1, D.3.4 vzorové řezy, D.3.1 technická zpráva:
specifikace:
ŠDA fr. 0/63, tl. 200mm:</t>
  </si>
  <si>
    <t xml:space="preserve"> Staničení: 62,76109 - 62,907: 13,1849476567392 (2hxzTIOkkwhG0000000b58) = 13,185 [A]</t>
  </si>
  <si>
    <t xml:space="preserve"> Staničení: 62,76109 - 62,907: 124,052072907379 (2hxzTIOkkwhG0000000b2$) = 124,052 [B]</t>
  </si>
  <si>
    <t xml:space="preserve"> Staničení: 62,76109 - 62,907: 123,994924849649 (2hxzTIOkkwhG0000000b3K) = 123,995 [C]</t>
  </si>
  <si>
    <t xml:space="preserve"> Staničení: 62,76109 - 62,907: 13,1977623195875 (2hxzTIOkkwhG0000000b7x) = 13,198 [D]</t>
  </si>
  <si>
    <t xml:space="preserve"> Celkové množství 274.430000 = 274,430 [E]</t>
  </si>
  <si>
    <t>Materiál:
ŠDA :
podrobná specifikace:
GE:
Reference:
ČSN 73 6126-1, D.3.4 vzorové řezy, D.3.1 technická zpráva:
specifikace:
ŠDA fr. 0/63, tl. 150mm:</t>
  </si>
  <si>
    <t xml:space="preserve"> Staničení: 62,76109 - 62,907: 21,3821631622645 (2hxzTIOkkwhG0000000b8G) = 21,382 [A]</t>
  </si>
  <si>
    <t xml:space="preserve"> Staničení: 62,76109 - 62,907: 12,783201636168 (2hxzTIOkkwhG0000000b8b) = 12,783 [B]</t>
  </si>
  <si>
    <t xml:space="preserve"> Staničení: 62,76109 - 62,907: 99,5829183383953 (2hxzTIOkkwhG0000000b3_) = 99,583 [C]</t>
  </si>
  <si>
    <t xml:space="preserve"> Staničení: 62,76109 - 62,907: 12,7681849681019 (2hxzTIOkkwhG0000000b5o) = 12,768 [D]</t>
  </si>
  <si>
    <t xml:space="preserve"> Staničení: 62,76109 - 62,907: 21,3605012643818 (2hxzTIOkkwhG0000000b5T) = 21,361 [E]</t>
  </si>
  <si>
    <t xml:space="preserve"> Staničení: 62,76109 - 62,907: 99,6298267337732 (2hxzTIOkkwhG0000000b3f) = 99,630 [F]</t>
  </si>
  <si>
    <t xml:space="preserve"> Celkové množství 267.507000 = 267,507 [G]</t>
  </si>
  <si>
    <t>Materiál:
R-Mat:
podrobná specifikace:
protříděný recyklát získaný frézováním stávajících vozovek, snížení o 0.03m oproti zpevněné krajnici :
Reference:
ČSN 736133, TKP4, vzorové příčné řezy, D.3.1 technická zpráva:
specifikace:
nezpevněná krajnice, 32 RA 0/22, tl. 150 mm:</t>
  </si>
  <si>
    <t xml:space="preserve"> Staničení: 62,76109 - 62,908: 18,8022243314741 (2hxzTIOkkwhG0000000bA9) = 18,802 [A]</t>
  </si>
  <si>
    <t xml:space="preserve"> Staničení: 62,76109 - 62,908: 18,821765610202 (2hxzTIOkkwhG0000000b9v) = 18,822 [B]</t>
  </si>
  <si>
    <t xml:space="preserve"> Celkové množství 37.624000 = 37,624 [C]</t>
  </si>
  <si>
    <t>Materiál:
modifikovaná asfaltová kationaktivní emulze:
podrobná specifikace:
0.3kg/m2:
Reference:
ČSN 73 6129, D.3.4 vzorové řezy, D.3.1 technická zpráva:
specifikace:
PS-C:</t>
  </si>
  <si>
    <t xml:space="preserve"> Staničení: 62,76222 - 62,908: 1290,00637587207 (2hxzTIOkkwhG0000000Wrk) = 1290,006 [A]</t>
  </si>
  <si>
    <t xml:space="preserve"> Celkové množství 1290.006000 = 1290,006 [B]</t>
  </si>
  <si>
    <t>Materiál:
modifikovaná asfaltová kationaktivní emulze:
podrobná specifikace:
0.6kg/m2:
Reference:
ČSN 73 6129, D.3.4 vzorové řezy, D.3.1 technická zpráva:
specifikace:
PS-C:</t>
  </si>
  <si>
    <t xml:space="preserve"> Staničení: 62,76222 - 62,908: 1323,61620197137 (2hxzTIOkkwhG0000000WrX) = 1323,616 [A]</t>
  </si>
  <si>
    <t xml:space="preserve"> Celkové množství 1323.616000 = 1323,616 [B]</t>
  </si>
  <si>
    <t xml:space="preserve"> Staničení: 62,90615 - 62,908: 15,9615133442886 (2hxzTIOkkwhG0000000a6m) = 15,962 [A]</t>
  </si>
  <si>
    <t xml:space="preserve"> Staničení: 62,90615 - 62,908: 12,3911544906974 (2hxzTIOkkwhG0000000a7Q) = 12,391 [B]</t>
  </si>
  <si>
    <t xml:space="preserve"> Celkové množství 28.353000 = 28,353 [C]</t>
  </si>
  <si>
    <t>Materiál:
asfaltový beton pro obrusnou vrstvu:
podrobná specifikace:
nemodifikovaný:
Reference:
ČSN EN 13108-1, D.3.4  vzorové řezy, D.3.1 technická zpráva:
specifikace:
ACO 11+ 50/70, tl. 40mm:</t>
  </si>
  <si>
    <t xml:space="preserve"> Staničení: 62,76109 - 62,908: 24,9689849761903 (2hxzTIOkkwhG0000000b1b) = 24,969 [A]</t>
  </si>
  <si>
    <t xml:space="preserve"> Staničení: 62,76109 - 62,908: 24,9804145596267 (2hxzTIOkkwhG0000000b1L) = 24,980 [B]</t>
  </si>
  <si>
    <t xml:space="preserve"> Staničení: 62,76109 - 62,908: 0,0594803766562299 (2hxzTIOkkwhG0000000b4J) = 0,059 [C]</t>
  </si>
  <si>
    <t xml:space="preserve"> Staničení: 62,76109 - 62,908: 0,059532888438392 (2hxzTIOkkwhG0000000b76) = 0,060 [D]</t>
  </si>
  <si>
    <t xml:space="preserve"> Celkové množství 50.068000 = 50,068 [E]</t>
  </si>
  <si>
    <t>Materiál:
asfaltový beton pro ložní vrstvu:
podrobná specifikace:
vrstva se zvýšenou odolností proti prokopírování trhlin s modifikací CRmB dle TP 148, tab. 3 podle 4.4.1:
Reference:
ČSN EN 13108-1, D.3.4  vzorové řezy,  D.3.1 technická zpráva:
specifikace:
ACL 16S 50/70, tl. 60mm:</t>
  </si>
  <si>
    <t xml:space="preserve"> Staničení: 62,76109 - 62,908: 37,470621852937 (2hxzTIOkkwhG0000000b1r) = 37,471 [A]</t>
  </si>
  <si>
    <t xml:space="preserve"> Staničení: 62,76109 - 62,908: 0,752784527499926 (2hxzTIOkkwhG0000000b4Z) = 0,753 [B]</t>
  </si>
  <si>
    <t xml:space="preserve"> Staničení: 62,76109 - 62,908: 0,753477104340712 (2hxzTIOkkwhG0000000b7M) = 0,753 [C]</t>
  </si>
  <si>
    <t xml:space="preserve"> Staničení: 62,76109 - 62,908: 37,4534774605612 (2hxzTIOkkwhG0000000b25) = 37,453 [D]</t>
  </si>
  <si>
    <t xml:space="preserve"> Celkové množství 76.430000 = 76,430 [E]</t>
  </si>
  <si>
    <t>Materiál:
asfaltový beton pro podkladní vrstvu:
podrobná specifikace:
nemodifikovaný:
Reference:
ČSN EN 13108-1, D.3.4 vzorové řezy, D.3.1 technická zpráva:
specifikace:
ACP 22+ 50/70, tl. 90mm:</t>
  </si>
  <si>
    <t xml:space="preserve"> Staničení: 62,76109 - 62,9075: 56,0146827936026 (2hxzTIOkkwhG0000000b2L) = 56,015 [A]</t>
  </si>
  <si>
    <t xml:space="preserve"> Staničení: 62,76109 - 62,9075: 2,28399520079054 (2hxzTIOkkwhG0000000b4p) = 2,284 [B]</t>
  </si>
  <si>
    <t xml:space="preserve"> Staničení: 62,76109 - 62,9075: 55,9889661864476 (2hxzTIOkkwhG0000000b2g) = 55,989 [C]</t>
  </si>
  <si>
    <t xml:space="preserve"> Staničení: 62,76109 - 62,9075: 2,28612715439064 (2hxzTIOkkwhG0000000b7c) = 2,286 [D]</t>
  </si>
  <si>
    <t xml:space="preserve"> Celkové množství 116.574000 = 116,574 [E]</t>
  </si>
  <si>
    <t>Další specifikace:
zpětné použití do násypů a aktivní zóny s podmínkou úpravy vápnem:
Klasifikace zemin / hornin:
F4 CS, S5 SC, F5ML/MI, F6 CI, S4 SM, S3 S-F, G3 G-F, R6-R4:
Třída těžitelnosti:
1:</t>
  </si>
  <si>
    <t xml:space="preserve"> Staničení: 62,76109 - 62,908: 680,725002774529 (2hxzTIOkkwhG0000000a1g) = 680,725 [A]</t>
  </si>
  <si>
    <t xml:space="preserve"> Celkové množství 680.725000 = 680,725 [B]</t>
  </si>
  <si>
    <t>Materiál:
ornice/místní materiál:
podrobná specifikace:
ornice získaná skrývkou ornice z pozemků s ochranou ZPF/ humozní vrstva získaná odhumusováním z prostoru lesních pozemků a silničních pozemků podél trasy:
Reference:
D.3.4 vzorové řezy, D.3.1 technická zpráva:
specifikace:
ornice/humozní vrstva skrytá mimo pozemky ZPF, tl. 150mm:</t>
  </si>
  <si>
    <t xml:space="preserve"> Staničení: 62,76109 - 62,908: 41,6991350614966 (2hxzTIOkkwhG0000000b9P) = 41,699 [A]</t>
  </si>
  <si>
    <t xml:space="preserve"> Staničení: 62,76109 - 62,908: 68,4758051142504 (2hxzTIOkkwhG0000000b6M) = 68,476 [B]</t>
  </si>
  <si>
    <t xml:space="preserve"> Staničení: 62,76109 - 62,908: 37,7977770866831 (2hxzTIOkkwhG0000000b6c) = 37,798 [C]</t>
  </si>
  <si>
    <t xml:space="preserve"> Staničení: 62,76109 - 62,908: 53,2024148538842 (2hxzTIOkkwhG0000000b99) = 53,202 [D]</t>
  </si>
  <si>
    <t xml:space="preserve"> Staničení: 62,76109 - 62,908: 1,28278013847865 (2hxzTIOkkwhG0000000b6s) = 1,283 [E]</t>
  </si>
  <si>
    <t xml:space="preserve"> Staničení: 62,76109 - 62,908: 1,19792024041493 (2hxzTIOkkwhG0000000b9f) = 1,198 [F]</t>
  </si>
  <si>
    <t xml:space="preserve"> Celkové množství 203.656000 = 203,656 [G]</t>
  </si>
  <si>
    <t xml:space="preserve"> Staničení: 62,7814 - 62,908: 0,0861507971153488 (2hxzTIOkkwhG0000000ZUF) = 0,086 [A]</t>
  </si>
  <si>
    <t xml:space="preserve"> Celkové množství 0.086000 = 0,086 [B]</t>
  </si>
  <si>
    <t>Materiál:
ornice/místní materiál:
podrobná specifikace:
ornice získaná skrývkou ornice z pozemků s ochranou ZPF/ nedostatek řešen nákupem
Reference:
D.3.4 vzorové řezy, D.3.1 technická zpráva:
specifikace:
ornice/humozní vrstva, tl. 150mm:</t>
  </si>
  <si>
    <t>Materiál:
travní směs:
podrobná specifikace:
Založení porostů musí být provedeno ihned po provedení jemných terénních úprav, tak aby nový porost redukoval výskyt plevelů.:
Reference:
D.3.4 vzorové řezy, D.3.1 technická zpráva, ČSN 83 9031:
specifikace:
založení travního porostu osevem:</t>
  </si>
  <si>
    <t xml:space="preserve"> Staničení: 62,76109 - 62,908: 1281,78388353711 (2hxzTIOkkwhG0000000X40) = 1281,784 [A]</t>
  </si>
  <si>
    <t xml:space="preserve"> Celkové množství 1281.784000 = 1281,784 [B]</t>
  </si>
  <si>
    <t>Materiál:
zemina:
podrobná specifikace:
upravená vápnem, dávkování 1-2% hmotnosti suché zeminy:
Reference:
ČSN 736133, D.3.4 vzorové řezy, D.3.1 technická zpráva, geotechnická zpráva:
specifikace:
zemina třídy F4-CS(F5-MI, F6-CI), tl. 500mm:</t>
  </si>
  <si>
    <t xml:space="preserve"> Staničení: 62,76109 - 62,907: 108,471881262832 (2hxzTIOkkwhG0000000b0p) = 108,472 [A]</t>
  </si>
  <si>
    <t xml:space="preserve"> Staničení: 62,76109 - 62,907: 310,130182307451 (2hxzTIOkkwhG0000000b0H) = 310,130 [B]</t>
  </si>
  <si>
    <t xml:space="preserve"> Staničení: 62,76109 - 62,907: 108,589442899778 (2hxzTIOkkwhG0000000bAP) = 108,589 [C]</t>
  </si>
  <si>
    <t xml:space="preserve"> Staničení: 62,76109 - 62,907: 309,98731211665 (2hxzTIOkkwhG0000000b0Y) = 309,987 [D]</t>
  </si>
  <si>
    <t xml:space="preserve"> Celkové množství 837.178000 = 837,178 [E]</t>
  </si>
  <si>
    <t>12930</t>
  </si>
  <si>
    <t>ČIŠTĚNÍ PŘÍKOPŮ OD NÁNOSU</t>
  </si>
  <si>
    <t>Materiál:
zemina:
podrobná specifikace:
odvoz zeminy na skládku,  průměrná tloušťka 0,2 m:
Reference:
ČSN 736133, vzorové řezy, technická zpráva:
specifikace:
pročištění nánosů v příkopu, třída těžitelnosti 1:</t>
  </si>
  <si>
    <t xml:space="preserve"> Staničení: 62,96906 - 63,18967: 112,0954433936536 (2gr835Jglv300000000WAm) = 112,095 [A]</t>
  </si>
  <si>
    <t xml:space="preserve"> Staničení: 62,94271 - 63,10544: 76,3616943653146 (2gr835Jglv300000000WAl) = 76,362 [B]</t>
  </si>
  <si>
    <t xml:space="preserve"> Celkové množství 188.457000 = 188,457 [C]</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</si>
  <si>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</si>
  <si>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Materiál:
zemina:
podrobná specifikace:
odvoz zeminy na skládku, průměrná tloušťka 0,5 m:
Reference:
ČSN 736133, vzorové řezy, technická zpráva:
specifikace:
prohloubení příkopů a odstranění nánosů v příkopu, , třída těžitelnosti 1:</t>
  </si>
  <si>
    <t xml:space="preserve"> Staničení: 62,91084 - 62,9152: 24,85034711698480 (2gr835Jglv300000000WAo) = 24,850 [A]</t>
  </si>
  <si>
    <t xml:space="preserve"> Staničení: 62,908 - 62,93109: 25,72547402684495 (2gr835Jglv300000000WAn) = 25,725 [B]</t>
  </si>
  <si>
    <t xml:space="preserve"> Celkové množství 50.575000 = 50,575 [C]</t>
  </si>
  <si>
    <t>Materiál:
travní směs:
podrobná specifikace:
Založení porostů musí být provedeno ihned po provedení jemných terénních úprav, tak aby nový porost redukoval výskyt plevelů.:
Reference:
vzorové řezy, technická zpráva, ČSN 83 9031:
specifikace:
založení travního porostu osevem:</t>
  </si>
  <si>
    <t xml:space="preserve"> Staničení: 62,90802 - 63,18967: 1043,43733108223 (2gr835Jglv300000000WT4) = 1043,437 [A]</t>
  </si>
  <si>
    <t xml:space="preserve"> Celkové množství 1043.437000 = 1043,437 [B]</t>
  </si>
  <si>
    <t>Materiál:
modifikovaná asfaltová kationaktivní emulze:
podrobná specifikace:
0.3kg/m2:
Reference:
ČSN 73 6129, vzorové řezy, technická zpráva:
specifikace:
PS-C:</t>
  </si>
  <si>
    <t xml:space="preserve"> Staničení: 62,908 - 63,18573: 2861,61471180981 (2gr835Jglv300000000WSu) = 2861,615 [A]</t>
  </si>
  <si>
    <t xml:space="preserve"> Celkové množství 2861.615000 = 2861,615 [B]</t>
  </si>
  <si>
    <t>Materiál:
asfaltový beton pro obrusnou vrstvu:
podrobná specifikace:
nemodifikovaný, navýšení o 0-20mm oproti stávajícímu stavu:
Reference:
ČSN EN 13108-1, vzorové řezy, technická zpráva:</t>
  </si>
  <si>
    <t xml:space="preserve"> Staničení: 62,908 - 63,18967: 142,949786028613 (2gr835Jglv300000000WA$) = 142,950 [A]</t>
  </si>
  <si>
    <t xml:space="preserve"> Celkové množství 142.950000 = 142,950 [B]</t>
  </si>
  <si>
    <t>574C06</t>
  </si>
  <si>
    <t>ASFALTOVÝ BETON PRO LOŽNÍ VRSTVY ACL 16+, 16S</t>
  </si>
  <si>
    <t>případné vyrovnávky po odfrézování stávající obrusné vrstvy. Určeno odhadem jako 10% celkového objemu. Bude čerpáno na základě odsouhlasení TDI.</t>
  </si>
  <si>
    <t xml:space="preserve"> 10% objemu z položky č. 574B04 142,950000 (574B04)*0,1 = 14,295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</si>
  <si>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</si>
  <si>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Materiál:
zálivka z modifikovaného asfaltu:
podrobná specifikace:
typ N2, boční stěny opatřeny adhezním nátěrem:
Reference:
VL1 42-04, ČSN 14188-1, technická zpráva, vzorové řezy:
specifikace:
proříznutí spáry š. 12mm, hl. 25 mm, zálivka z modifikovaného asfaltu za horka:</t>
  </si>
  <si>
    <t xml:space="preserve"> Staničení: 63,18952 - 63,18967: 13,411 (2gr835Jglv300000000WXk) = 13,411 [A]</t>
  </si>
  <si>
    <t xml:space="preserve"> Staničení: 63,1169 - 63,15879: 45,96 (2gr835Jglv300000000WXy) = 45,960 [B]</t>
  </si>
  <si>
    <t xml:space="preserve"> Staničení: 63,16866 - 63,18422: 16,397 (2gr835Jglv300000000WXr) = 16,397 [C]</t>
  </si>
  <si>
    <t xml:space="preserve"> Celkové množství 75.768000 = 75,768 [D]</t>
  </si>
  <si>
    <t>Další specifikace:
zpětné použití do násypů a aktivní zóny:
Klasifikace zemin / hornin:
F4 CS, S5 SC, F5ML/MI, F6 CI, S4 SM, S3 S-F, G3 G-F, R6-R4:
Třída těžitelnosti:
1:</t>
  </si>
  <si>
    <t xml:space="preserve"> Staničení: 0 - 0,22045: 1007,60554441868 (2Z9tl9MuwGgW0000000kxf) = 1007,606 [A]</t>
  </si>
  <si>
    <t xml:space="preserve"> Celkové množství 1007.606000 = 1007,606 [B]</t>
  </si>
  <si>
    <t>Materiál:
vhodný nenamrzavý materiál:
podrobná specifikace:
dosypávka zhutněným nenamrzavým materiálem pod  nezpevněnou krajnicí:
Reference:
ČSN 736133, D.5.4 vzorové řezy, D.5.1 technická zpráva:
specifikace:
dosypávka zhutněným nenamrzavým materiálem :</t>
  </si>
  <si>
    <t xml:space="preserve"> Staničení: 0 - 0,22045: 10,999791307241 (2Z9tl9MuwGgW0000000iHk) = 11,000 [A]</t>
  </si>
  <si>
    <t xml:space="preserve"> Staničení: 0,01701 - 0,22045: 3,33003791941222 (2Z9tl9MuwGgW0000000iHY) = 3,330 [B]</t>
  </si>
  <si>
    <t xml:space="preserve"> Celkové množství 14.330000 = 14,330 [C]</t>
  </si>
  <si>
    <t>Materiál:
zemina:
podrobná specifikace:
upravená vápnem, dávkování 1-2% hmotnosti suché zeminy:
Reference:
ČSN 736133, D.5.4 vzorové řezy, D.5.1 technická zpráva:
specifikace:
zemina třídy F4-CS(F5-MI, F6-CI), tl. 500mm:</t>
  </si>
  <si>
    <t xml:space="preserve"> Staničení: 0,01701 - 0,22045: 119,498129539764 (2Z9tl9MuwGgW0000000iHZ) = 119,498 [A]</t>
  </si>
  <si>
    <t xml:space="preserve"> Staničení: 0 - 0,22045: 244,642617369575 (2Z9tl9MuwGgW0000000iHS) = 244,643 [B]</t>
  </si>
  <si>
    <t xml:space="preserve"> Staničení: 0 - 0,22045: 230,263032997303 (2Z9tl9MuwGgW0000000iHR) = 230,263 [C]</t>
  </si>
  <si>
    <t xml:space="preserve"> Staničení: 0 - 0,22045: 109,530637984125 (2Z9tl9MuwGgW0000000iHl) = 109,531 [D]</t>
  </si>
  <si>
    <t xml:space="preserve"> Celkové množství 703.935000 = 703,935 [E]</t>
  </si>
  <si>
    <t>Materiál:
ornice/místní materiál:
podrobná specifikace:
ornice získaná skrývkou ornice z pozemků s ochranou ZPF/ nedostatek řešen nákupem:
Reference:
D.5.4 vzorové řezy, D.5.1 technická zpráva:
specifikace:
ornice/humozní vrstva, tl. 150mm:</t>
  </si>
  <si>
    <t xml:space="preserve"> Staničení: 0 - 0,22045: 33,8408242433909 (2p1QE7Onnwnm0000000WTv) = 33,841 [A]</t>
  </si>
  <si>
    <t xml:space="preserve"> Staničení: 0,01701 - 0,22045: 37,2502255297407 (2p1QE7Onnwnm0000000WTN) = 37,250 [B]</t>
  </si>
  <si>
    <t xml:space="preserve"> Staničení: 0,01701 - 0,22045: 36,6710027227042 (2p1QE7Onnwnm0000000WTe) = 36,671 [C]</t>
  </si>
  <si>
    <t xml:space="preserve"> Celkové množství 107.762000 = 107,762 [D]</t>
  </si>
  <si>
    <t>Materiál:
zemina:
podrobná specifikace:
upravená vápnem, dávkování 1-2% hmotnosti suché zeminy:
Reference:
ČSN 736133, vzorové řezy, technická zpráva:
specifikace:
zemina třídy F4-CS(F5-MI, F6-CI):
včetně dodání hydraulického pojiva, pro potřeby rozpočtu uvažováno 2%</t>
  </si>
  <si>
    <t xml:space="preserve"> Staničení: 0,00362 - 0,21686: 0,0470938886281985 (2Z9tl9MuwGgW0000000kxe) = 0,047 [A]</t>
  </si>
  <si>
    <t xml:space="preserve"> Celkové množství 0.047000 = 0,047 [B]</t>
  </si>
  <si>
    <t>18120</t>
  </si>
  <si>
    <t>ÚPRAVA PLÁNĚ SE ZHUTNĚNÍM V HORNINĚ TŘ. II</t>
  </si>
  <si>
    <t>Materiál:
úprava pláně se zhutněním v zemině II.třídy:
podrobná specifikace:
zhutněná zemní pláň tvořená na zlepšené zemině upravené vápněním, Edef,2=30MPa:
Reference:
ČSN 736133, ČSN EN 72 1006, D.5.4 vzorové řezy, D.5.1 technická zpráva:
specifikace:
úprava zemní pláně se zhutněním dle ČSN 736133, sklony pláně v souladu s ČSN 736101:</t>
  </si>
  <si>
    <t xml:space="preserve"> Staničení: 0,003 - 0,22045: 1308,64291390436 (2Z9tl9MuwGgW0000000mf3) = 1308,643 [A]</t>
  </si>
  <si>
    <t xml:space="preserve"> Celkové množství 1308.643000 = 1308,643 [B]</t>
  </si>
  <si>
    <t>ornice získaná skrývkou ornice z pozemků s ochranou ZPF/ nedostatek řešen nákupem</t>
  </si>
  <si>
    <t xml:space="preserve"> Staničení: 0 - 0,22045: 33,840824 (2Z9tl9MuwGgW0000000iHi) = 33,841 [A]</t>
  </si>
  <si>
    <t xml:space="preserve"> Staničení: 0,01701 - 0,22045: 37,250226 (2Z9tl9MuwGgW0000000iHV) = 37,250 [B]</t>
  </si>
  <si>
    <t xml:space="preserve"> Staničení: 0,01701 - 0,22045: 36,671003 (2Z9tl9MuwGgW0000000iHW) = 36,671 [C]</t>
  </si>
  <si>
    <t xml:space="preserve"> Mezisoučet 107.762000 = 107,762 [E]</t>
  </si>
  <si>
    <t>Položka zahrnuje:
- nutné přemístění ornice z dočasných skládek vzdálených do 50m
- rozprostření ornice v předepsané tloušťce ve svahu přes 1:5
Položka nezahrnuje:
- x</t>
  </si>
  <si>
    <t>Materiál:
travní směs:
podrobná specifikace:
Založení porostů musí být provedeno ihned po provedení jemných terénních úprav, tak aby nový porost redukoval výskyt plevelů.:
Reference:
D.5.4 vzorové řezy, D.5.1 technická zpráva, ČSN 83 9031:
specifikace:
založení travního porostu osevem:</t>
  </si>
  <si>
    <t xml:space="preserve"> Staničení: 0,004 - 0,22045: 720,825171435863 (2Z9tl9MuwGgW0000000mmw) = 720,825 [A]</t>
  </si>
  <si>
    <t xml:space="preserve"> Celkové množství 720.825000 = 720,825 [B]</t>
  </si>
  <si>
    <t>Materiál:
ŠDB:
podrobná specifikace:
GN:
Reference:
ČSN EN 13108-1, D.5.4 vzorové řezy, D.5.1 technická zpráva:
specifikace:
ŠDB fr. 0/125, tl. 300mm:</t>
  </si>
  <si>
    <t xml:space="preserve"> Staničení: 0 - 0,22045: 147,089087832623 (2Z9tl9MuwGgW0000000iHQ) = 147,089 [A]</t>
  </si>
  <si>
    <t xml:space="preserve"> Staničení: 0,01701 - 0,22045: 29,2789898867233 (2Z9tl9MuwGgW0000000iHX) = 29,279 [B]</t>
  </si>
  <si>
    <t xml:space="preserve"> Staničení: 0 - 0,22045: 24,1806079191711 (2Z9tl9MuwGgW0000000iHj) = 24,181 [C]</t>
  </si>
  <si>
    <t xml:space="preserve"> Staničení: 0 - 0,22045: 138,352245434088 (2Z9tl9MuwGgW0000000iHP) = 138,352 [D]</t>
  </si>
  <si>
    <t xml:space="preserve"> Celkové množství 338.901000 = 338,901 [E]</t>
  </si>
  <si>
    <t>Materiál:
R-Mat:
podrobná specifikace:
protříděný recyklát získaný frézováním stávajících vozovek:
Reference:
ČSN EN 13108-1, D.5.4 vzorové řezy, D.5.1 technická zpráva:
specifikace:
32 RA 0/16, tl. 100mm:</t>
  </si>
  <si>
    <t xml:space="preserve"> Staničení: 0 - 0,22045: 0,544145304735879 (2Z9tl9MuwGgW0000000iHg) = 0,544 [A]</t>
  </si>
  <si>
    <t xml:space="preserve"> Staničení: 0,01701 - 0,22045: 0,516652357761594 (2Z9tl9MuwGgW0000000iHT) = 0,517 [B]</t>
  </si>
  <si>
    <t xml:space="preserve"> Staničení: 0 - 0,22045: 48,9285163121195 (2Z9tl9MuwGgW0000000iHO) = 48,929 [C]</t>
  </si>
  <si>
    <t xml:space="preserve"> Staničení: 0 - 0,22045: 46,0526134050149 (2Z9tl9MuwGgW0000000iHM) = 46,053 [D]</t>
  </si>
  <si>
    <t xml:space="preserve"> Celkové množství 96.043000 = 96,043 [E]</t>
  </si>
  <si>
    <t>Materiál:
R-Mat:
podrobná specifikace:
protříděný recyklát získaný frézováním stávajících vozovek:
Reference:
ČSN 736133, TKP4, D.5.4 vzorové příčné řezy, D.5.1 technická zpráva:
specifikace:
nezpevněná krajnice, 32 RA 0/22, tl. 150 mm:</t>
  </si>
  <si>
    <t xml:space="preserve"> Staničení: 0 - 0,22045: 13,3096918853419 (2Z9tl9MuwGgW0000000iHm) = 13,310 [A]</t>
  </si>
  <si>
    <t xml:space="preserve"> Staničení: 0,01701 - 0,22045: 12,5409009386442 (2Z9tl9MuwGgW0000000iHa) = 12,541 [B]</t>
  </si>
  <si>
    <t xml:space="preserve"> Celkové množství 25.851000 = 25,851 [C]</t>
  </si>
  <si>
    <t>SO108</t>
  </si>
  <si>
    <t>Autobusová zastávka v km 0,850</t>
  </si>
  <si>
    <t>Materiál:
vhodný nenamrzavý materiál:
podrobná specifikace:
dosypávka zhutněným nenamrzavým materiálem pod  nezpevněnou krajnicí:
Reference:
ČSN 736133, D.6.3 vzorové řezy, D.6.1 technická zpráva:
specifikace:
dosypávka zhutněným nenamrzavým materiálem :</t>
  </si>
  <si>
    <t xml:space="preserve"> Staničení: 0,0069 - 0,01299: 0,099829 (2aboNnJ24lpW0000001ca$) = 0,100 [A]</t>
  </si>
  <si>
    <t xml:space="preserve"> Staničení: 0,002 - 0,00719: 0,0670885096569726 (2aboNnJ24lpW0000001cMD) = 0,067 [B]</t>
  </si>
  <si>
    <t xml:space="preserve"> Staničení: 0,0069 - 0,01299: 0,0646394237478436 (2aboNnJ24lpW0000001cG5) = 0,065 [C]</t>
  </si>
  <si>
    <t xml:space="preserve"> Staničení: 0,0022 - 0,00818: 0,12109940223714 (2aboNnJ24lpW0000001cO7) = 0,121 [D]</t>
  </si>
  <si>
    <t xml:space="preserve"> Celkové množství 0.353000 = 0,353 [E]</t>
  </si>
  <si>
    <t xml:space="preserve"> Staničení: 0,79314 - 0,91111: 500,49518208346 (2TQ7FGLHHma00000004PIA) = 500,495 [A]</t>
  </si>
  <si>
    <t xml:space="preserve"> Staničení: 0,79309 - 0,91334: 512,754693886418 (2TQ7FGLHHma00000004PI9) = 512,755 [B]</t>
  </si>
  <si>
    <t xml:space="preserve"> Celkové množství 1013.250000 = 1013,250 [C]</t>
  </si>
  <si>
    <t xml:space="preserve"> Staničení: 0,86205 - 0,864: 1,3623622440081 (2TQ7FGLHHma000000054LJ) = 1,362 [A]</t>
  </si>
  <si>
    <t xml:space="preserve"> Staničení: 0,847 - 0,862: 10,4976601857917 (2TQ7FGLHHma000000054_r) = 10,498 [B]</t>
  </si>
  <si>
    <t xml:space="preserve"> Staničení: 0,86205 - 0,864: 1,36106768818298 (2TQ7FGLHHma000000054sO) = 1,361 [C]</t>
  </si>
  <si>
    <t xml:space="preserve"> Staničení: 0,79713 - 0,847: 18,4931561368197 (2TQ7FGLHHma0000000545m) = 18,493 [D]</t>
  </si>
  <si>
    <t xml:space="preserve"> Staničení: 0,864 - 0,912: 18,1198891923237 (2TQ7FGLHHma000000054wu) = 18,120 [E]</t>
  </si>
  <si>
    <t xml:space="preserve"> Staničení: 0,847 - 0,862: 10,4998995172901 (2TQ7FGLHHma000000054p0) = 10,500 [F]</t>
  </si>
  <si>
    <t xml:space="preserve"> Staničení: 0,864 - 0,91334: 18,2345460877949 (2TQ7FGLHHma000000054zI) = 18,235 [G]</t>
  </si>
  <si>
    <t xml:space="preserve"> Staničení: 0,798 - 0,847: 15,8528 (2TQ7FGLHHma00000005418) = 15,853 [H]</t>
  </si>
  <si>
    <t xml:space="preserve"> Celkové množství 94.422000 = 94,422 [I]</t>
  </si>
  <si>
    <t>Materiál:
ŠDA:
podrobná specifikace:
GE:
Reference:
ČSN 73 6126-1, D.1.4 vzorové řezy, D.1.1 technická zpráva:
specifikace:
ŠDA fr. 0/63, tl. 150 mm:</t>
  </si>
  <si>
    <t xml:space="preserve"> Staničení: 0,847 - 0,862: 8,33251989620194 (2TQ7FGLHHma000000054$6) = 8,333 [A]</t>
  </si>
  <si>
    <t xml:space="preserve"> Staničení: 0,86205 - 0,864: 1,08128585137309 (2TQ7FGLHHma000000054Lh) = 1,081 [B]</t>
  </si>
  <si>
    <t xml:space="preserve"> Staničení: 0,847 - 0,862: 8,33429261630291 (2TQ7FGLHHma000000054pH) = 8,334 [C]</t>
  </si>
  <si>
    <t xml:space="preserve"> Staničení: 0,86205 - 0,864: 1,080226086923 (2TQ7FGLHHma000000054sm) = 1,080 [D]</t>
  </si>
  <si>
    <t xml:space="preserve"> Staničení: 0,798 - 0,847: 1,83736842767293 (2TQ7FGLHHma000000054V0) = 1,837 [E]</t>
  </si>
  <si>
    <t xml:space="preserve"> Staničení: 0,798 - 0,847: 12,3488 (2TQ7FGLHHma0000000541P) = 12,349 [F]</t>
  </si>
  <si>
    <t xml:space="preserve"> Staničení: 0,847 - 0,862: 1,07857381325524 (2TQ7FGLHHma000000054ZU) = 1,079 [G]</t>
  </si>
  <si>
    <t xml:space="preserve"> Staničení: 0,864 - 0,91334: 14,2090517729684 (2TQ7FGLHHma000000054zg) = 14,209 [H]</t>
  </si>
  <si>
    <t xml:space="preserve"> Staničení: 0,79713 - 0,847: 14,4371409622956 (2TQ7FGLHHma00000005468) = 14,437 [I]</t>
  </si>
  <si>
    <t xml:space="preserve"> Staničení: 0,864 - 0,912: 14,121960372785 (2TQ7FGLHHma000000054xG) = 14,122 [J]</t>
  </si>
  <si>
    <t xml:space="preserve"> Staničení: 0,864 - 0,912: 1,06330423497475 (2TQ7FGLHHma000000053_y) = 1,063 [K]</t>
  </si>
  <si>
    <t xml:space="preserve"> Celkové množství 77.924000 = 77,924 [L]</t>
  </si>
  <si>
    <t>Materiál:
modifikovaná asfaltová kationaktivní emulze:
podrobná specifikace:
0.3kg/m2:
Reference:
ČSN 73 6129, D.6.3 vzorové řezy, D.6.1 technická zpráva:
specifikace:
PS-C:</t>
  </si>
  <si>
    <t xml:space="preserve"> Staničení: 0,799 - 0,91334: 230,171002046514 (2TQ7FGLHHma00000004PI0) = 230,171 [A]</t>
  </si>
  <si>
    <t xml:space="preserve"> Staničení: 0,7942 - 0,91148: 242,837833874785 (2TQ7FGLHHma00000004PI1) = 242,838 [B]</t>
  </si>
  <si>
    <t xml:space="preserve"> Celkové množství 473.009000 = 473,009 [C]</t>
  </si>
  <si>
    <t>Materiál:
modifikovaná asfaltová kationaktivní emulze:
podrobná specifikace:
0.6kg/m2:
Reference:
ČSN 73 6129, D.6.3 vzorové řezy, D.6.1 technická zpráva:
specifikace:
PS-C:</t>
  </si>
  <si>
    <t xml:space="preserve"> Staničení: 0,799 - 0,91334: 230,171002046514 (2TQ7FGLHHma00000004PI2) = 230,171 [A]</t>
  </si>
  <si>
    <t xml:space="preserve"> Staničení: 0,79309 - 0,91111: 242,841153045429 (2TQ7FGLHHma00000004PI3) = 242,841 [B]</t>
  </si>
  <si>
    <t xml:space="preserve"> Celkové množství 473.012000 = 473,012 [C]</t>
  </si>
  <si>
    <t xml:space="preserve"> Staničení: 0,864 - 0,912: 3,62378771278745 (2TQ7FGLHHma000000054vm) = 3,624 [A]</t>
  </si>
  <si>
    <t xml:space="preserve"> Staničení: 0,864 - 0,91334: 3,64667303107417 (2TQ7FGLHHma000000054yA) = 3,647 [B]</t>
  </si>
  <si>
    <t xml:space="preserve"> Staničení: 0,847 - 0,862: 2,09953142470757 (2TQ7FGLHHma000000054_2) = 2,100 [C]</t>
  </si>
  <si>
    <t xml:space="preserve"> Staničení: 0,86205 - 0,864: 0,272604188854688 (2TQ7FGLHHma000000054KZ) = 0,273 [D]</t>
  </si>
  <si>
    <t xml:space="preserve"> Staničení: 0,847 - 0,862: 2,099980505226 (2TQ7FGLHHma000000054oD) = 2,100 [E]</t>
  </si>
  <si>
    <t xml:space="preserve"> Staničení: 0,798 - 0,847: 3,17052367721577 (2TQ7FGLHHma0000000541g) = 3,171 [F]</t>
  </si>
  <si>
    <t xml:space="preserve"> Staničení: 0,86205 - 0,864: 0,272364943019649 (2TQ7FGLHHma000000054rN) = 0,272 [G]</t>
  </si>
  <si>
    <t xml:space="preserve"> Celkové množství 15.187000 = 15,187 [H]</t>
  </si>
  <si>
    <t xml:space="preserve"> Staničení: 0,847 - 0,862: 3,14929841515627 (2TQ7FGLHHma000000054_J) = 3,149 [A]</t>
  </si>
  <si>
    <t xml:space="preserve"> Staničení: 0,86205 - 0,864: 0,40890628339662 (2TQ7FGLHHma0000000559P) = 0,409 [B]</t>
  </si>
  <si>
    <t xml:space="preserve"> Staničení: 0,79713 - 0,847: 5,54799260440713 (2TQ7FGLHHma00000005450) = 5,548 [C]</t>
  </si>
  <si>
    <t xml:space="preserve"> Staničení: 0,847 - 0,862: 3,14996950193465 (2TQ7FGLHHma000000054oU) = 3,150 [D]</t>
  </si>
  <si>
    <t xml:space="preserve"> Staničení: 0,798 - 0,847: 4,7558 (2TQ7FGLHHma000000054M3) = 4,756 [E]</t>
  </si>
  <si>
    <t xml:space="preserve"> Staničení: 0,864 - 0,912: 5,4356815666493 (2TQ7FGLHHma000000054w8) = 5,436 [F]</t>
  </si>
  <si>
    <t xml:space="preserve"> Staničení: 0,86205 - 0,864: 0,408551605552223 (2TQ7FGLHHma000000054rl) = 0,409 [G]</t>
  </si>
  <si>
    <t xml:space="preserve"> Staničení: 0,864 - 0,91334: 5,47000954536757 (2TQ7FGLHHma000000054yY) = 5,470 [H]</t>
  </si>
  <si>
    <t xml:space="preserve"> Celkové množství 28.327000 = 28,327 [I]</t>
  </si>
  <si>
    <t xml:space="preserve"> Staničení: 0,79713 - 0,847: 8,32195847848525 (2TQ7FGLHHma0000000545O) = 8,322 [A]</t>
  </si>
  <si>
    <t xml:space="preserve"> Staničení: 0,864 - 0,91334: 8,20501431765727 (2TQ7FGLHHma000000054yw) = 8,205 [B]</t>
  </si>
  <si>
    <t xml:space="preserve"> Staničení: 0,847 - 0,862: 4,72394736584535 (2TQ7FGLHHma000000054_a) = 4,724 [C]</t>
  </si>
  <si>
    <t xml:space="preserve"> Staničení: 0,864 - 0,912: 8,15352235055399 (2TQ7FGLHHma000000054wW) = 8,154 [D]</t>
  </si>
  <si>
    <t xml:space="preserve"> Staničení: 0,86205 - 0,864: 0,612669603224378 (2TQ7FGLHHma000000054s0) = 0,613 [E]</t>
  </si>
  <si>
    <t xml:space="preserve"> Staničení: 0,86205 - 0,864: 0,613359425126241 (2TQ7FGLHHma000000054Kx) = 0,613 [F]</t>
  </si>
  <si>
    <t xml:space="preserve"> Staničení: 0,847 - 0,862: 4,72495450539451 (2TQ7FGLHHma000000054ol) = 4,725 [G]</t>
  </si>
  <si>
    <t xml:space="preserve"> Staničení: 0,798 - 0,847: 7,1337 (2TQ7FGLHHma0000000540t) = 7,134 [H]</t>
  </si>
  <si>
    <t xml:space="preserve"> Celkové množství 42.490000 = 42,490 [I]</t>
  </si>
  <si>
    <t>Kategorie stavebního výrobku:
Klasifikace dle CCI:
Podrobná specifikace:
obrubník silniční 1000x150x250, výška podstupnice 0.08m - 0.15m:
Reference:
TKP10, D.6.3 vzorové příčné řezy, D.6.1 technická zpráva:
Specifikace:
obrubník silniční 1000x150x250, do betonového lože C20/25nXF3:
Stavební výrobek:
betonový obrubník silniční :
Typ stavebního výrobku:
obrubník:
Výrobce:
Nd:</t>
  </si>
  <si>
    <t xml:space="preserve"> Staničení: 0,864 - 0,912: 49,11 (2TQ7FGLHHma000000054SC) = 49,110 [A]</t>
  </si>
  <si>
    <t xml:space="preserve"> Staničení: 0,864 - 0,91334: 49,45 (2TQ7FGLHHma000000055Nw) = 49,450 [B]</t>
  </si>
  <si>
    <t xml:space="preserve"> Staničení: 0,79713 - 0,847: 49,79 (2TQ7FGLHHma000000053x2) = 49,790 [C]</t>
  </si>
  <si>
    <t xml:space="preserve"> Staničení: 0,79713 - 0,798: 0,88 (2TQ7FGLHHma000000055IX) = 0,880 [D]</t>
  </si>
  <si>
    <t xml:space="preserve"> Staničení: 0,798 - 0,847: 49,35 (2TQ7FGLHHma000000055I1) = 49,350 [E]</t>
  </si>
  <si>
    <t xml:space="preserve"> Celkové množství 198.580000 = 198,580 [F]</t>
  </si>
  <si>
    <t>Kategorie stavebního výrobku:
Klasifikace dle CCI:
Podrobná specifikace:
obrubník silniční 1000x150x150, výška podstupnice 0.02m:
Reference:
TKP10, D.6.3 vzorové příčné řezy, D.6.1 technická zpráva:
Specifikace:
obrubník silniční 1000x150x150, do betonového lože C20/25nXF3:
Stavební výrobek:
betonový obrubník silniční :
Typ stavebního výrobku:
obrubník:
Výrobce:
Nd:</t>
  </si>
  <si>
    <t xml:space="preserve"> Staničení: 0,79309 - 0,79313: 0,05 (2TQ7FGLHHma000000055Je) = 0,050 [A]</t>
  </si>
  <si>
    <t xml:space="preserve"> Staničení: 0,79314 - 0,79713: 4,02 (2TQ7FGLHHma000000053st) = 4,020 [B]</t>
  </si>
  <si>
    <t xml:space="preserve"> Staničení: 0,79314 - 0,79713: 3,99 (2TQ7FGLHHma000000053yo) = 3,990 [C]</t>
  </si>
  <si>
    <t xml:space="preserve"> Celkové množství 8.060000 = 8,060 [D]</t>
  </si>
  <si>
    <t>91725</t>
  </si>
  <si>
    <t>NÁSTUPIŠTNÍ OBRUBNÍKY BETONOVÉ</t>
  </si>
  <si>
    <t>Kategorie stavebního výrobku:
Klasifikace dle CCI:
Podrobná specifikace:
Kasselský bezbariérový obrubník silniční 1000x400x370, výška podstupnice 0.20 m, včetně přechodových obrub:
Reference:
TKP10, D.6.3 vzorové příčné řezy, D.6.1 technická zpráva:
Specifikace:
Kasselský bezbariérový obrubník silniční 1000x400x370, do betonového lože C30/37 XF3:
Stavební výrobek:
betonový Kasselský obrubník:
Typ stavebního výrobku:
obrubník:
Výrobce:
Nd:</t>
  </si>
  <si>
    <t xml:space="preserve"> Staničení: 0,862 - 0,86205: 0,05 (2TQ7FGLHHma000000055MA) = 0,050 [A]</t>
  </si>
  <si>
    <t xml:space="preserve"> Staničení: 0,847 - 0,862: 15 (2TQ7FGLHHma000000055In) = 15,000 [B]</t>
  </si>
  <si>
    <t xml:space="preserve"> Staničení: 0,86205 - 0,864: 1,95 (2TQ7FGLHHma000000053$b) = 1,950 [C]</t>
  </si>
  <si>
    <t xml:space="preserve"> Staničení: 0,86205 - 0,864: 1,95 (2TQ7FGLHHma000000055Ng) = 1,950 [D]</t>
  </si>
  <si>
    <t xml:space="preserve"> Staničení: 0,847 - 0,862: 15 (2TQ7FGLHHma000000054pY) = 15,000 [E]</t>
  </si>
  <si>
    <t xml:space="preserve"> Staničení: 0,862 - 0,86205: 0,05 (2TQ7FGLHHma000000055KO) = 0,050 [F]</t>
  </si>
  <si>
    <t xml:space="preserve"> Celkové množství 34.000000 = 34,000 [G]</t>
  </si>
  <si>
    <t xml:space="preserve"> Staničení: 0,0148 - 0,01498: 0,00245972542432161 (2aboNnJ24lpW0000001a6P) = 0,002 [A]</t>
  </si>
  <si>
    <t xml:space="preserve"> Staničení: 0,013 - 0,01479: 0,103291930341085 (2aboNnJ24lpW0000001a95) = 0,103 [B]</t>
  </si>
  <si>
    <t xml:space="preserve"> Staničení: 0,0148 - 0,01483: 0,000435802605921374 (2aboNnJ24lpW0000001a2Q) = 0,000 [C]</t>
  </si>
  <si>
    <t xml:space="preserve"> Staničení: 0,0033 - 0,00426: 0,0411250526129112 (2aboNnJ24lpW0000001cUQ) = 0,041 [D]</t>
  </si>
  <si>
    <t xml:space="preserve"> Celkové množství 0.146000 = 0,146 [E]</t>
  </si>
  <si>
    <t>Materiál:
ŠDB:
podrobná specifikace:
GN:
Reference:
ČSN 73 6126-1, D.6.3 vzorové řezy, D.6.1 technická zpráva:
specifikace:
ŠDB fr. 0/32, tl. 150 mm:</t>
  </si>
  <si>
    <t xml:space="preserve"> Staničení: 0,013 - 0,01479: 0,459819138785212 (2aboNnJ24lpW0000001Zzr) = 0,460 [A]</t>
  </si>
  <si>
    <t xml:space="preserve"> Staničení: 0,0033 - 0,00399: 0,659435160414517 (2aboNnJ24lpW0000001cS8) = 0,659 [B]</t>
  </si>
  <si>
    <t xml:space="preserve"> Staničení: 0,0148 - 0,01483: 0,00865497955052737 (2aboNnJ24lpW0000001a15) = 0,009 [C]</t>
  </si>
  <si>
    <t xml:space="preserve"> Staničení: 0,002 - 0,00802: 1,87891294314726 (2aboNnJ24lpW0000001cLy) = 1,879 [D]</t>
  </si>
  <si>
    <t xml:space="preserve"> Staničení: 0,0069 - 0,01299: 1,63321277430556 (2aboNnJ24lpW0000001cFq) = 1,633 [E]</t>
  </si>
  <si>
    <t xml:space="preserve"> Celkové množství 4.640000 = 4,640 [F]</t>
  </si>
  <si>
    <t xml:space="preserve"> Staničení: 0,79713 - 0,847: 14,3876824940751 (2TQ7FGLHHma000000053w0) = 14,388 [A]</t>
  </si>
  <si>
    <t xml:space="preserve"> Staničení: 0,847 - 0,862: 4,9262472974925 (2TQ7FGLHHma000000054Yz) = 4,926 [B]</t>
  </si>
  <si>
    <t xml:space="preserve"> Staničení: 0,847 - 0,862: 0,000564734362517231 (2TQ7FGLHHma000000054a0) = 0,001 [C]</t>
  </si>
  <si>
    <t xml:space="preserve"> Staničení: 0,79314 - 0,79713: 1,12933613880499 (2TQ7FGLHHma000000054ld) = 1,129 [D]</t>
  </si>
  <si>
    <t xml:space="preserve"> Staničení: 0,847 - 0,862: 4,92635083052486 (2TQ7FGLHHma000000054q3) = 4,926 [E]</t>
  </si>
  <si>
    <t xml:space="preserve"> Staničení: 0,798 - 0,847: 14,2262337576721 (2TQ7FGLHHma000000054UV) = 14,226 [F]</t>
  </si>
  <si>
    <t xml:space="preserve"> Staničení: 0,79314 - 0,79713: 1,14667931351429 (2TQ7FGLHHma000000054$v) = 1,147 [G]</t>
  </si>
  <si>
    <t xml:space="preserve"> Staničení: 0,79713 - 0,798: 0,252404116922138 (2TQ7FGLHHma000000054Wc) = 0,252 [H]</t>
  </si>
  <si>
    <t xml:space="preserve"> Celkové množství 40.995000 = 40,995 [I]</t>
  </si>
  <si>
    <t>582611</t>
  </si>
  <si>
    <t>KRYTY Z BETON DLAŽDIC SE ZÁMKEM ŠEDÝCH TL 60MM DO LOŽE Z KAM</t>
  </si>
  <si>
    <t>Materiál:
betonová dlažba:
podrobná specifikace:
betonová dlažba, barva šedá, tl. 60 mm, hrany bez zkosení:
Reference:
ČSN 73 6131, ČSN 73 6126-1, D.6.3 vzorové řezy, D.6.1 technická zpráva:
specifikace:
betonová dlažba, barva šedá, tl. 60 mm, lože z drceného kameniva fr.4-8 mm, tl. 30 mm:</t>
  </si>
  <si>
    <t xml:space="preserve"> Staničení: 0,0033 - 0,00399: 4,0569924980370666666666666667 (2aboNnJ24lpW0000001cbs) = 4,057 [A]</t>
  </si>
  <si>
    <t xml:space="preserve"> Staničení: 0,0148 - 0,01483: 0,0579427646433591666666666667 (2aboNnJ24lpW0000000d3P) = 0,058 [B]</t>
  </si>
  <si>
    <t xml:space="preserve"> Staničení: 0,013 - 0,01443: 2,4119331251249666666666666667 (2aboNnJ24lpW0000001cbW) = 2,412 [C]</t>
  </si>
  <si>
    <t xml:space="preserve"> Staničení: 0,002 - 0,00802: 12,091727285382416666666666667 (2aboNnJ24lpW0000001cLQ) = 12,092 [D]</t>
  </si>
  <si>
    <t xml:space="preserve"> Staničení: 0,0069 - 0,01299: 10,510041200421116666666666667 (2aboNnJ24lpW0000001cFI) = 10,510 [E]</t>
  </si>
  <si>
    <t xml:space="preserve"> Celkové množství 29.129000 = 29,129 [F]</t>
  </si>
  <si>
    <t xml:space="preserve"> Staničení: 0,79713 - 0,798: 1,385390911164325 (2TQ7FGLHHma0000000556o) = 1,385 [A]</t>
  </si>
  <si>
    <t xml:space="preserve"> Staničení: 0,847 - 0,862: 26,081543892766333333333333333 (2TQ7FGLHHma0000000557w) = 26,082 [B]</t>
  </si>
  <si>
    <t xml:space="preserve"> Staničení: 0,79713 - 0,847: 91,28329078481183333333333333 (2TQ7FGLHHma00000005472) = 91,283 [C]</t>
  </si>
  <si>
    <t xml:space="preserve"> Staničení: 0,847 - 0,862: 26,082672796305166666666666667 (2TQ7FGLHHma00000005578) = 26,083 [D]</t>
  </si>
  <si>
    <t xml:space="preserve"> Staničení: 0,798 - 0,847: 91,48935632971916666666666667 (2TQ7FGLHHma0000000556X) = 91,489 [E]</t>
  </si>
  <si>
    <t xml:space="preserve"> Staničení: 0,79353 - 0,79713: 5,2658239633228333333333333333 (2TQ7FGLHHma0000000557a) = 5,266 [F]</t>
  </si>
  <si>
    <t xml:space="preserve"> Staničení: 0,79314 - 0,79713: 5,7523829403906 (2TQ7FGLHHma0000000558I) = 5,752 [G]</t>
  </si>
  <si>
    <t xml:space="preserve"> Celkové množství 247.340000 = 247,340 [H]</t>
  </si>
  <si>
    <t>582614</t>
  </si>
  <si>
    <t>KRYTY Z BETON DLAŽDIC SE ZÁMKEM BAREV TL 60MM DO LOŽE Z KAM</t>
  </si>
  <si>
    <t>Materiál:
betonová dlažba:
podrobná specifikace:
betonová dlažba, barva červená, tl. 60 mm, hrany bez zkosení:
Reference:
ČSN 73 6131, ČSN 73 6126-1, D.6.3 vzorové řezy, D.6.1 technická zpráva:
specifikace:
betonová dlažba, barva červená, tl. 60 mm, lože z drceného kameniva fr.4-8 mm, tl. 30 mm:</t>
  </si>
  <si>
    <t xml:space="preserve"> Staničení: 0,849 - 0,862: 3,9006883084256 (2TQ7FGLHHma00000004EBL) = 3,901 [A]</t>
  </si>
  <si>
    <t xml:space="preserve"> Staničení: 0,849 - 0,862: 3,9005294088207333333333333333 (2TQ7FGLHHma00000004EBg) = 3,901 [B]</t>
  </si>
  <si>
    <t xml:space="preserve"> Celkové množství 7.802000 = 7,802 [C]</t>
  </si>
  <si>
    <t>58261A</t>
  </si>
  <si>
    <t>KRYTY Z BETON DLAŽDIC SE ZÁMKEM BAREV RELIÉF TL 60MM DO LOŽE Z KAM</t>
  </si>
  <si>
    <t>Materiál:
betonová dlažba:
podrobná specifikace:
betonová dlažba reliéfní, barva červená, tl. 60 mm, hrany bez zkosení:
Reference:
ČSN 73 6131, ČSN 73 6126-1, D.6.3 vzorové řezy, D.6.1 technická zpráva:
specifikace:
betonová dlažba reliéfní, barva červená, tl. 60 mm, lože z drceného kameniva fr.4-8 mm, tl. 30 mm:</t>
  </si>
  <si>
    <t xml:space="preserve"> Staničení: 0,0033 - 0,00202: 0,234641445949445 (2aboNnJ24lpW0000000d40) = 0,235 [A]</t>
  </si>
  <si>
    <t xml:space="preserve"> Staničení: 0,013 - 0,01479: 0,5131227184846216666666666667 (2aboNnJ24lpW0000000d3g) = 0,513 [B]</t>
  </si>
  <si>
    <t xml:space="preserve"> Celkové množství 0.748000 = 0,748 [C]</t>
  </si>
  <si>
    <t xml:space="preserve"> Staničení: 0,79713 - 0,79774: 0,2431628567176566666666666667 (2TQ7FGLHHma00000004EAK) = 0,243 [A]</t>
  </si>
  <si>
    <t xml:space="preserve"> Staničení: 0,79314 - 0,79713: 2,1880726271754666666666666667 (2TQ7FGLHHma00000004E9g) = 2,188 [B]</t>
  </si>
  <si>
    <t xml:space="preserve"> Staničení: 0,79713 - 0,79779: 0,2607045134686466666666666667 (2TQ7FGLHHma00000004ECh) = 0,261 [C]</t>
  </si>
  <si>
    <t xml:space="preserve"> Staničení: 0,84986 - 0,85066: 1,44030467085128 (2TQ7FGLHHma00000004EAf) = 1,440 [D]</t>
  </si>
  <si>
    <t xml:space="preserve"> Staničení: 0,86034 - 0,86114: 1,44028976392369 (2TQ7FGLHHma00000004EB$) = 1,440 [E]</t>
  </si>
  <si>
    <t xml:space="preserve"> Staničení: 0,79314 - 0,79713: 1,5888688216703833333333333333 (2TQ7FGLHHma00000004ECM) = 1,589 [F]</t>
  </si>
  <si>
    <t xml:space="preserve"> Celkové množství 7.161000 = 7,161 [G]</t>
  </si>
  <si>
    <t>917211</t>
  </si>
  <si>
    <t>ZÁHONOVÉ OBRUBY Z BETONOVÝCH OBRUBNÍKŮ ŠÍŘ 50MM</t>
  </si>
  <si>
    <t>Kategorie stavebního výrobku:
Klasifikace dle CCI:
Podrobná specifikace:
obrubník záhonový 1000x50x200, výška podstupnice 0.06m:
Reference:
TKP10, D.6.3 vzorové příčné řezy, D.6.1 technická zpráva:
Specifikace:
obrubník záhonový 1000x50x200, do betonového lože C20/25nXF3:
Stavební výrobek:
betonový obrubník záhonový:
Typ stavebního výrobku:
obrubník:
Výrobce:
Nd:</t>
  </si>
  <si>
    <t xml:space="preserve"> Staničení: 0,862 - 0,86205: 0,05 (2TQ7FGLHHma000000055GH) = 0,050 [A]</t>
  </si>
  <si>
    <t xml:space="preserve"> Staničení: 0,847 - 0,862: 15,03 (2TQ7FGLHHma000000053q7) = 15,030 [B]</t>
  </si>
  <si>
    <t xml:space="preserve"> Staničení: 0,862 - 0,86205: 0,05 (2TQ7FGLHHma000000053r7) = 0,050 [C]</t>
  </si>
  <si>
    <t xml:space="preserve"> Staničení: 0,79314 - 0,79713: 4,03 (2TQ7FGLHHma000000053s7) = 4,030 [D]</t>
  </si>
  <si>
    <t xml:space="preserve"> Staničení: 0,79713 - 0,798: 0,88 (2TQ7FGLHHma000000053rt) = 0,880 [E]</t>
  </si>
  <si>
    <t xml:space="preserve"> Staničení: 0,862 - 0,86205: 0,05 (2TQ7FGLHHma000000053vV) = 0,050 [F]</t>
  </si>
  <si>
    <t xml:space="preserve"> Staničení: 0,79309 - 0,79313: 1,85 (2TQ7FGLHHma000000055K8) = 1,850 [G]</t>
  </si>
  <si>
    <t xml:space="preserve"> Staničení: 0,79713 - 0,847: 49,73 (2TQ7FGLHHma000000053xY) = 49,730 [H]</t>
  </si>
  <si>
    <t xml:space="preserve"> Staničení: 0,79314 - 0,79713: 3,96 (2TQ7FGLHHma000000053yY) = 3,960 [I]</t>
  </si>
  <si>
    <t xml:space="preserve"> Staničení: 0,847 - 0,862: 15,04 (2TQ7FGLHHma000000055En) = 15,040 [J]</t>
  </si>
  <si>
    <t xml:space="preserve"> Staničení: 0,79309 - 0,79313: 0,05 (2TQ7FGLHHma000000055Gn) = 0,050 [K]</t>
  </si>
  <si>
    <t xml:space="preserve"> Staničení: 0,862 - 0,86205: 1,85 (2TQ7FGLHHma000000053qd) = 1,850 [L]</t>
  </si>
  <si>
    <t xml:space="preserve"> Staničení: 0,798 - 0,847: 49,45 (2TQ7FGLHHma000000053rd) = 49,450 [M]</t>
  </si>
  <si>
    <t xml:space="preserve"> Celkové množství 142.020000 = 142,020 [N]</t>
  </si>
  <si>
    <t xml:space="preserve"> Staničení: 0,0148 - 0,01483: 0,04 (2aboNnJ24lpW0000001fSp) = 0,040 [A]</t>
  </si>
  <si>
    <t xml:space="preserve"> Staničení: 0,0033 - 0,00404: 2,13 (2aboNnJ24lpW0000001fap) = 2,130 [B]</t>
  </si>
  <si>
    <t xml:space="preserve"> Staničení: 0,0148 - 0,01498: 0,15 (2aboNnJ24lpW0000001fTZ) = 0,150 [C]</t>
  </si>
  <si>
    <t xml:space="preserve"> Staničení: 0,00399 - 0,00804: 5,99 (2aboNnJ24lpW0000001faZ) = 5,990 [D]</t>
  </si>
  <si>
    <t xml:space="preserve"> Staničení: 0,00802 - 0,01299: 5,2 (2aboNnJ24lpW0000001faJ) = 5,200 [E]</t>
  </si>
  <si>
    <t xml:space="preserve"> Celkové množství 13.510000 = 13,510 [F]</t>
  </si>
  <si>
    <t xml:space="preserve"> Staničení: 0,01299 - 0,01479: 1,86 (2aboNnJ24lpW0000001gAD) = 1,860 [A]</t>
  </si>
  <si>
    <t xml:space="preserve"> Celkové množství 1.860000 = 1,860 [B]</t>
  </si>
  <si>
    <t xml:space="preserve"> Staničení: 0,0148 - 0,01498: 1,39 (2aboNnJ24lpW0000001fTJ) = 1,390 [A]</t>
  </si>
  <si>
    <t xml:space="preserve"> Celkové množství 1.390000 = 1,390 [B]</t>
  </si>
  <si>
    <t>914132</t>
  </si>
  <si>
    <t>DOPRAVNÍ ZNAČKY ZÁKLADNÍ VELIKOSTI OCELOVÉ FÓLIE TŘ 2 - MONTÁŽ S PŘEMÍSTĚNÍM</t>
  </si>
  <si>
    <t>Kategorie stavebního výrobku:
Klasifikace dle CCI:
Podrobná specifikace:
typ dle IMS a přílohy D.7:
Reference:
TP66, ČSN EN 12899-1, technická zpráva, situace DZ:
Specifikace:
 lisovaný pozinkovaný plech  s dvojím ohybem bez hliníkových komponentů, značky pro označení pracovních míst musí být retroreflexní materiál min. třídy R1:
Stavební výrobek:
dopravní značení základní velikosti ocelové:
Typ stavebního výrobku:
provizorní svislé dopravní značení:
Výrobce:
Nd:</t>
  </si>
  <si>
    <t>E13 Staničení: 0 - 0: 14 (2ROzpdHdh$EG0000000WFY) = 14,000 [A]</t>
  </si>
  <si>
    <t>C2a Staničení: 0 - 0: 1 (2ROzpdHdh$EG0000000WFP) = 1,000 [B]</t>
  </si>
  <si>
    <t>C2c Staničení: 0 - 0: 2 (2ROzpdHdh$EG0000000WFR) = 2,000 [C]</t>
  </si>
  <si>
    <t>B1 Staničení: 0 - 0: 13 (2ROzpdHdh$EG0000000WFN) = 13,000 [D]</t>
  </si>
  <si>
    <t>E3a Staničení: 0 - 0: 4 (2ROzpdHdh$EG0000000WFT) = 4,000 [E]</t>
  </si>
  <si>
    <t>IP10b Staničení: 0 - 0: 1 (2ROzpdHdh$EG0000000WFV) = 1,000 [F]</t>
  </si>
  <si>
    <t>IS11b Staničení: 0 - 0: 105 (2ROzpdHdh$EG0000000WFK) = 105,000 [G]</t>
  </si>
  <si>
    <t>C2b Staničení: 0 - 0: 1 (2ROzpdHdh$EG0000000WFQ) = 1,000 [H]</t>
  </si>
  <si>
    <t>B20a Staničení: 0 - 0: 5 (2ROzpdHdh$EG0000000WFM) = 5,000 [I]</t>
  </si>
  <si>
    <t>IS11a Staničení: 0 - 0: 1 (2ROzpdHdh$EG0000000WFS) = 1,000 [J]</t>
  </si>
  <si>
    <t>A10 Staničení: 0 - 0: 2 (2ROzpdHdh$EG0000000WFO) = 2,000 [K]</t>
  </si>
  <si>
    <t>IP10a Staničení: 0 - 0: 3 (2ROzpdHdh$EG0000000WFU) = 3,000 [L]</t>
  </si>
  <si>
    <t>IP10c Staničení: 0 - 0: 1 (2ROzpdHdh$EG0000000WFW) = 1,000 [M]</t>
  </si>
  <si>
    <t>IP22 Staničení: 0 - 0: 29 (2ROzpdHdh$EG0000000WFJ) = 29,000 [N]</t>
  </si>
  <si>
    <t>IS11c Staničení: 0 - 0: 34 (2ROzpdHdh$EG0000000WFL) = 34,000 [O]</t>
  </si>
  <si>
    <t xml:space="preserve"> Celkové množství 216.000000 = 216,000 [P]</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</si>
  <si>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</si>
  <si>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</si>
  <si>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</si>
  <si>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Kategorie stavebního výrobku:
Klasifikace dle CCI:
Podrobná specifikace:
E13:
Reference:
TP66, ČSN EN 12899-1, technická zpráva, situace DZ:
Specifikace:
 lisovaný pozinkovaný plech  s dvojím ohybem bez hliníkových komponentů, značky pro označení pracovních míst musí být retroreflexní materiál min. třídy R1:
Stavební výrobek:
dopravní značení základní velikosti ocelové:
Typ stavebního výrobku:
provizorní svislé dopravní značení:
Výrobce:
Nd:</t>
  </si>
  <si>
    <t>Položka zahrnuje odstranění, demontáž a odklizení materiálu s odvozem na předepsané místo</t>
  </si>
  <si>
    <t>914139</t>
  </si>
  <si>
    <t>DOPRAV ZNAČKY ZÁKLAD VEL OCEL FÓLIE TŘ 2 - NÁJEMNÉ</t>
  </si>
  <si>
    <t>KSDEN</t>
  </si>
  <si>
    <t xml:space="preserve"> počet ks*počet dní 216,000000 (914132)*365 = 78840,000 [A]</t>
  </si>
  <si>
    <t>položka zahrnuje sazbu za pronájem dopravních značek a zařízení, počet jednotek je určen jako součin počtu značek a počtu dní použití</t>
  </si>
  <si>
    <t>914922</t>
  </si>
  <si>
    <t>SLOUPKY A STOJKY DZ Z OCEL TRUBEK DO PATKY MONTÁŽ S PŘESUNEM</t>
  </si>
  <si>
    <t>včetně patek
Kategorie stavebního výrobku:
Klasifikace dle CCI:
Podrobná specifikace:
zahrnuje podstavec z recyklovaného PVC:
Reference:
TP66, ČSN EN 12899-1, technická zpráva, schemata značení objízdných tras:
Specifikace:
kovový sloupek 40x40mm včetně objímek:
Stavební výrobek:
sloupek pro provizorní svislé dopravní značení:
Typ stavebního výrobku:
sloupek:
Výrobce:
Nd:</t>
  </si>
  <si>
    <t xml:space="preserve"> Staničení: 0 - 0: 151 (2ROzpdHdh$EG0000000WFX) = 151,000 [A]</t>
  </si>
  <si>
    <t xml:space="preserve"> Celkové množství 151.000000 = 151,000 [B]</t>
  </si>
  <si>
    <t>položka zahrnuje:
- dopravu demontovaného zařízení z dočasné skládky
- osazení a montáž zařízení na místě určeném projektem
- nutnou opravu poškozených částí
nezahrnuje dodávku sloupku, stojky a upevňovacího zařízení</t>
  </si>
  <si>
    <t>914923</t>
  </si>
  <si>
    <t>SLOUPKY A STOJKY DZ Z OCEL TRUBEK DO PATKY DEMONTÁŽ</t>
  </si>
  <si>
    <t>Kategorie stavebního výrobku:
Klasifikace dle CCI:
Podrobná specifikace:
zahrnuje podstavec z recyklovaného PVC:
Reference:
TP66, ČSN EN 12899-1, technická zpráva, schemata značení objízdných tras:
Specifikace:
kovový sloupek 40x40mm včetně objímek:
Stavební výrobek:
sloupek pro provizorní svislé dopravní značení:
Typ stavebního výrobku:
sloupek:
Výrobce:
Nd:</t>
  </si>
  <si>
    <t>914929</t>
  </si>
  <si>
    <t>SLOUPKY A STOJKY DZ Z OCEL TRUBEK DO PATKY NÁJEMNÉ</t>
  </si>
  <si>
    <t xml:space="preserve"> počet ks*počet dní 151,000000 (914922)*365 = 55115,000 [A]</t>
  </si>
  <si>
    <t xml:space="preserve"> Celkové množství 55115.000000 = 55115,000 [B]</t>
  </si>
  <si>
    <t>položka zahrnuje sazbu za pronájem dopravních značek a zařízení. Počet měrných jednotek se určí jako součin počtu sloupků a počtu dní použití</t>
  </si>
  <si>
    <t>916132</t>
  </si>
  <si>
    <t>DOPRAV SVĚTLO VÝSTRAŽ SOUPRAVA 5KS - MONTÁŽ S PŘESUNEM</t>
  </si>
  <si>
    <t>Kategorie stavebního výrobku:
Klasifikace dle CCI:
Podrobná specifikace:
S7, typ1:
Reference:
TP66, ČSN EN 12899-1, technická zpráva, situace DZ:
Specifikace:
přerušované žluté světlo:
Stavební výrobek:
výstražné světlo:
Typ stavebního výrobku:
provizorní svislé dopravní značení:
Výrobce:
Nd:</t>
  </si>
  <si>
    <t xml:space="preserve"> Staničení: 0 - 0: 2 (2ROzpdHdh$EG0000000WUv) = 2,000 [A]</t>
  </si>
  <si>
    <t xml:space="preserve"> Celkové množství 2.000000 = 2,000 [B]</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</si>
  <si>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</si>
  <si>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916133</t>
  </si>
  <si>
    <t>DOPRAV SVĚTLO VÝSTRAŽ SOUPRAVA 5KS - DEMONTÁŽ</t>
  </si>
  <si>
    <t>Položka zahrnuje odstranění, demontáž a odklizení zařízení s odvozem na předepsané místo</t>
  </si>
  <si>
    <t>916139</t>
  </si>
  <si>
    <t>DOPRAVNÍ SVĚTLO VÝSTRAŽNÉ SOUPRAVA 5 KUSŮ - NÁJEMNÉ</t>
  </si>
  <si>
    <t xml:space="preserve"> počet ks*počet dní 2,000000 (916132)*62 = 124,000 [A]</t>
  </si>
  <si>
    <t xml:space="preserve"> Celkové množství 124.000000 = 124,000 [B]</t>
  </si>
  <si>
    <t>položka zahrnuje sazbu za pronájem zařízení. Počet měrných jednotek se určí jako součin počtu zařízení a počtu dní použití.</t>
  </si>
  <si>
    <t>916152</t>
  </si>
  <si>
    <t>SEMAFOROVÁ PŘENOSNÁ SOUPRAVA - MONTÁŽ S PŘESUNEM</t>
  </si>
  <si>
    <t>Kategorie stavebního výrobku:
Klasifikace dle CCI:
Podrobná specifikace:
s vlastním zdrojem napájení:
Reference:
TP66, ČSN EN 12899-1, technická zpráva, situace DZ:
Specifikace:
tříbarevná světelná signalizační soustava:
Stavební výrobek:
světelná signalizační soustava:
Typ stavebního výrobku:
provizorní svislé dopravní značení:
Výrobce:
Nd:</t>
  </si>
  <si>
    <t xml:space="preserve"> Staničení: 0 - 0: 2 (2ROzpdHdh$EG0000000WeZ) = 2,000 [A]</t>
  </si>
  <si>
    <t>916153</t>
  </si>
  <si>
    <t>SEMAFOROVÁ PŘENOSNÁ SOUPRAVA - DEMONTÁŽ</t>
  </si>
  <si>
    <t>916159</t>
  </si>
  <si>
    <t>SEMAFOROVÁ PŘENOSNÁ SOUPRAVA - NÁJEMNÉ</t>
  </si>
  <si>
    <t xml:space="preserve"> počet ks*počet dní 2,000000 (916152)*62 = 124,000 [A]</t>
  </si>
  <si>
    <t>916322</t>
  </si>
  <si>
    <t>DOPRAVNÍ ZÁBRANY Z2 S FÓLIÍ TŘ 2 - MONTÁŽ S PŘESUNEM</t>
  </si>
  <si>
    <t>Kategorie stavebního výrobku:
Klasifikace dle CCI:
Podrobná specifikace:
Z2:
Reference:
TP66, ČSN EN 12899-1, technická zpráva, situace DZ:
Specifikace:
 lisovaný pozinkovaný plech  s dvojím ohybem bez hliníkových komponentů, značky pro označení pracovních míst musí být retroreflexní materiál min. třídy R1:
Stavební výrobek:
dopravní značení základní velikosti ocelové:
Typ stavebního výrobku:
provizorní svislé dopravní značení:
Výrobce:
Nd:</t>
  </si>
  <si>
    <t xml:space="preserve"> Staničení: 0 - 0: 4 (2ROzpdHdh$EG0000000WUr) = 4,000 [A]</t>
  </si>
  <si>
    <t xml:space="preserve"> Staničení: 0 - 0: 2 (2ROzpdHdh$EG0000000WUn) = 2,000 [B]</t>
  </si>
  <si>
    <t xml:space="preserve"> Celkové množství 6.000000 = 6,000 [C]</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</si>
  <si>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</si>
  <si>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</si>
  <si>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</si>
  <si>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916329</t>
  </si>
  <si>
    <t>DOPRAVNÍ ZÁBRANY Z2 S FÓLIÍ TŘ 2 - NÁJEMNÉ</t>
  </si>
  <si>
    <t xml:space="preserve"> počet ks z položky č. 916322*počet dní Staničení: 0 - 0: 4 (2ROzpdHdh$EG0000000WUr)*334 = 1336,000 [A]</t>
  </si>
  <si>
    <t xml:space="preserve"> počet ks z položky č. 916322*počet dní Staničení: 0 - 0: 2 (2ROzpdHdh$EG0000000WUn)*62 = 124,000 [B]</t>
  </si>
  <si>
    <t xml:space="preserve"> Celkové množství 1460.000000 = 1460,000 [C]</t>
  </si>
  <si>
    <t>91228</t>
  </si>
  <si>
    <t>SMĚROVÉ SLOUPKY Z PLAST HMOT VČETNĚ ODRAZNÉHO PÁSKU</t>
  </si>
  <si>
    <t>Kategorie stavebního výrobku:
Klasifikace dle CCI:
Podrobná specifikace:
svislé dopravní značení Z11ab:
Reference:
TP 65, TP 58, technická zpráva:
Specifikace:
plastový, trojúhelníkový průřez, včetně odrazného pásku a odražeče proti zvěři dle TP 130:
Stavební výrobek:
směrový sloupek bílý:
Typ stavebního výrobku:
vodící prvek s odrazkou:
Výrobce:
Nd:</t>
  </si>
  <si>
    <t xml:space="preserve"> Staničení: 0,75 - 0,75: 1 (2_7VoXjDm$k00000000eC8) = 1,000 [A]</t>
  </si>
  <si>
    <t xml:space="preserve"> Staničení: 0,668 - 0,668: 1 (2_7VoXjDm$k00000000eF8) = 1,000 [B]</t>
  </si>
  <si>
    <t xml:space="preserve"> Staničení: 0,24 - 0,24: 1 (2_7VoXjDm$k00000000e38) = 1,000 [C]</t>
  </si>
  <si>
    <t xml:space="preserve"> Staničení: 0,61 - 0,61: 1 (2_7VoXjDm$k00000000e68) = 1,000 [D]</t>
  </si>
  <si>
    <t xml:space="preserve"> Staničení: 0,39 - 0,39: 1 (2_7VoXjDm$k00000000e98) = 1,000 [E]</t>
  </si>
  <si>
    <t xml:space="preserve"> Staničení: 62,78109 - 62,78109: 1 (2_7VoXjDm$k00000000clw) = 1,000 [F]</t>
  </si>
  <si>
    <t xml:space="preserve"> Staničení: 0,01988 - 0,01988: 1 (2_7VoXjDm$k00000000dL5) = 1,000 [G]</t>
  </si>
  <si>
    <t xml:space="preserve"> Staničení: 62,83109 - 62,83109: 1 (2_7VoXjDm$k00000000cnc) = 1,000 [H]</t>
  </si>
  <si>
    <t xml:space="preserve"> Staničení: 0,02 - 0,02: 1 (2_7VoXjDm$k00000000dJP) = 1,000 [I]</t>
  </si>
  <si>
    <t xml:space="preserve"> Staničení: 0,09 - 0,09: 1 (2_7VoXjDm$k00000000dJz) = 1,000 [J]</t>
  </si>
  <si>
    <t xml:space="preserve"> Staničení: 0,55 - 0,55: 1 (2_7VoXjDm$k00000000eAe) = 1,000 [K]</t>
  </si>
  <si>
    <t xml:space="preserve"> Staničení: 0,13 - 0,13: 1 (2_7VoXjDm$k00000000eGe) = 1,000 [L]</t>
  </si>
  <si>
    <t xml:space="preserve"> Staničení: 0,63 - 0,63: 1 (2_7VoXjDm$k00000000eBO) = 1,000 [M]</t>
  </si>
  <si>
    <t xml:space="preserve"> Staničení: 0,81 - 0,81: 1 (2_7VoXjDm$k00000000eHO) = 1,000 [N]</t>
  </si>
  <si>
    <t xml:space="preserve"> Staničení: 0,77 - 0,77: 1 (2_7VoXjDm$k00000000e7e) = 1,000 [O]</t>
  </si>
  <si>
    <t xml:space="preserve"> Staničení: 0,45 - 0,45: 1 (2_7VoXjDm$k00000000e4e) = 1,000 [P]</t>
  </si>
  <si>
    <t xml:space="preserve"> Staničení: 0,73 - 0,73: 1 (2_7VoXjDm$k00000000eBy) = 1,000 [Q]</t>
  </si>
  <si>
    <t xml:space="preserve"> Staničení: 0,69 - 0,69: 1 (2_7VoXjDm$k00000000eEy) = 1,000 [R]</t>
  </si>
  <si>
    <t xml:space="preserve"> Staničení: 0,03 - 0,03: 1 (2_7VoXjDm$k00000000e2O) = 1,000 [S]</t>
  </si>
  <si>
    <t xml:space="preserve"> Staničení: 0,81 - 0,81: 1 (2_7VoXjDm$k00000000eHy) = 1,000 [T]</t>
  </si>
  <si>
    <t xml:space="preserve"> Staničení: 0,53 - 0,53: 1 (2_7VoXjDm$k00000000e5O) = 1,000 [U]</t>
  </si>
  <si>
    <t xml:space="preserve"> Staničení: 0,08 - 0,08: 1 (2_7VoXjDm$k00000000dJn) = 1,000 [V]</t>
  </si>
  <si>
    <t xml:space="preserve"> Staničení: 0,06 - 0,06: 1 (2_7VoXjDm$k00000000e8O) = 1,000 [W]</t>
  </si>
  <si>
    <t xml:space="preserve"> Staničení: 0,61 - 0,61: 1 (2_7VoXjDm$k00000000eBC) = 1,000 [X]</t>
  </si>
  <si>
    <t xml:space="preserve"> Staničení: 0,84 - 0,84: 1 (2_7VoXjDm$k00000000eHC) = 1,000 [Y]</t>
  </si>
  <si>
    <t xml:space="preserve"> Staničení: 0,21 - 0,21: 1 (2_7VoXjDm$k00000000e2y) = 1,000 [Z]</t>
  </si>
  <si>
    <t xml:space="preserve"> Staničení: 0,59 - 0,59: 1 (2_7VoXjDm$k00000000e5y) = 1,000 [AA]</t>
  </si>
  <si>
    <t xml:space="preserve"> Staničení: 0,36 - 0,36: 1 (2_7VoXjDm$k00000000e8y) = 1,000 [AB]</t>
  </si>
  <si>
    <t xml:space="preserve"> Staničení: 0,51 - 0,51: 1 (2_7VoXjDm$k00000000e5C) = 1,000 [AC]</t>
  </si>
  <si>
    <t xml:space="preserve"> Staničení: 0,03 - 0,03: 1 (2_7VoXjDm$k00000000e8C) = 1,000 [AD]</t>
  </si>
  <si>
    <t xml:space="preserve"> Staničení: 0,9 - 0,9: 1 (2_7VoXjDm$k00000000eCW) = 1,000 [AE]</t>
  </si>
  <si>
    <t xml:space="preserve"> Staničení: 0,3 - 0,3: 1 (2_7VoXjDm$k00000000e3W) = 1,000 [AF]</t>
  </si>
  <si>
    <t xml:space="preserve"> Staničení: 0,65 - 0,65: 1 (2_7VoXjDm$k00000000e6W) = 1,000 [AG]</t>
  </si>
  <si>
    <t xml:space="preserve"> Staničení: 0,43 - 0,43: 1 (2_7VoXjDm$k00000000e9W) = 1,000 [AH]</t>
  </si>
  <si>
    <t xml:space="preserve"> Staničení: 0,49 - 0,49: 1 (2_7VoXjDm$k00000000eA4) = 1,000 [AI]</t>
  </si>
  <si>
    <t xml:space="preserve"> Staničení: 0,08029 - 0,08029: 1 (2_7VoXjDm$k00000000eG4) = 1,000 [AJ]</t>
  </si>
  <si>
    <t xml:space="preserve"> Staničení: 1,05 - 1,05: 1 (2_7VoXjDm$k00000000eD4) = 1,000 [AK]</t>
  </si>
  <si>
    <t xml:space="preserve"> Staničení: 0,71 - 0,71: 1 (2_7VoXjDm$k00000000e74) = 1,000 [AL]</t>
  </si>
  <si>
    <t xml:space="preserve"> Staničení: 0,39 - 0,39: 1 (2_7VoXjDm$k00000000e44) = 1,000 [AM]</t>
  </si>
  <si>
    <t xml:space="preserve"> Staničení: 62,88099 - 62,88099: 1 (2_7VoXjDm$k00000000cnQ) = 1,000 [AN]</t>
  </si>
  <si>
    <t xml:space="preserve"> Staničení: 62,83109 - 62,83109: 1 (2_7VoXjDm$k00000000clk) = 1,000 [AO]</t>
  </si>
  <si>
    <t xml:space="preserve"> Staničení: 0,1 - 0,1: 1 (2_7VoXjDm$k00000000dK9) = 1,000 [AP]</t>
  </si>
  <si>
    <t xml:space="preserve"> Staničení: 0,01154 - 0,01154: 1 (2_7VoXjDm$k00000000dJD) = 1,000 [AQ]</t>
  </si>
  <si>
    <t xml:space="preserve"> Staničení: 0,09 - 0,09: 1 (2_7VoXjDm$k00000000dKX) = 1,000 [AR]</t>
  </si>
  <si>
    <t xml:space="preserve"> Staničení: 0,05 - 0,05: 1 (2_7VoXjDm$k00000000dJb) = 1,000 [AS]</t>
  </si>
  <si>
    <t xml:space="preserve"> Staničení: 0,71 - 0,71: 1 (2_7VoXjDm$k00000000eBm) = 1,000 [AT]</t>
  </si>
  <si>
    <t xml:space="preserve"> Staničení: 0,84 - 0,84: 1 (2_7VoXjDm$k00000000eHm) = 1,000 [AU]</t>
  </si>
  <si>
    <t xml:space="preserve"> Staničení: 0,085 - 0,085: 1 (2_7VoXjDm$k00000000e2m) = 1,000 [AV]</t>
  </si>
  <si>
    <t xml:space="preserve"> Staničení: 0,05 - 0,05: 1 (2_7VoXjDm$k00000000dKv) = 1,000 [AW]</t>
  </si>
  <si>
    <t xml:space="preserve"> Staničení: 0,11 - 0,11: 1 (2_7VoXjDm$k00000000dKL) = 1,000 [AX]</t>
  </si>
  <si>
    <t xml:space="preserve"> Staničení: 0,57 - 0,57: 1 (2_7VoXjDm$k00000000e5m) = 1,000 [AY]</t>
  </si>
  <si>
    <t xml:space="preserve"> Staničení: 0,33 - 0,33: 1 (2_7VoXjDm$k00000000e8m) = 1,000 [AZ]</t>
  </si>
  <si>
    <t xml:space="preserve"> Staničení: 0,65 - 0,65: 1 (2_7VoXjDm$k00000000eBa) = 1,000 [BA]</t>
  </si>
  <si>
    <t xml:space="preserve"> Staničení: 0,87 - 0,87: 1 (2_7VoXjDm$k00000000eHa) = 1,000 [BB]</t>
  </si>
  <si>
    <t xml:space="preserve"> Staničení: 0,76 - 0,76: 1 (2_7VoXjDm$k00000000eCK) = 1,000 [BC]</t>
  </si>
  <si>
    <t xml:space="preserve"> Staničení: 0,06 - 0,06: 1 (2_7VoXjDm$k00000000e2a) = 1,000 [BD]</t>
  </si>
  <si>
    <t xml:space="preserve"> Staničení: 0,55 - 0,55: 1 (2_7VoXjDm$k00000000e5a) = 1,000 [BE]</t>
  </si>
  <si>
    <t xml:space="preserve"> Staničení: 0,3 - 0,3: 1 (2_7VoXjDm$k00000000e8a) = 1,000 [BF]</t>
  </si>
  <si>
    <t xml:space="preserve"> Staničení: 1,00007 - 1,00007: 1 (2_7VoXjDm$k00000000eCu) = 1,000 [BG]</t>
  </si>
  <si>
    <t xml:space="preserve"> Staničení: 0,27 - 0,27: 1 (2_7VoXjDm$k00000000e3K) = 1,000 [BH]</t>
  </si>
  <si>
    <t xml:space="preserve"> Staničení: 0,63 - 0,63: 1 (2_7VoXjDm$k00000000e6K) = 1,000 [BI]</t>
  </si>
  <si>
    <t xml:space="preserve"> Staničení: 0,41 - 0,41: 1 (2_7VoXjDm$k00000000e9K) = 1,000 [BJ]</t>
  </si>
  <si>
    <t xml:space="preserve"> Staničení: 0,36 - 0,36: 1 (2_7VoXjDm$k00000000e3u) = 1,000 [BK]</t>
  </si>
  <si>
    <t xml:space="preserve"> Staničení: 0,69 - 0,69: 1 (2_7VoXjDm$k00000000e6u) = 1,000 [BL]</t>
  </si>
  <si>
    <t xml:space="preserve"> Staničení: 0,47 - 0,47: 1 (2_7VoXjDm$k00000000e9u) = 1,000 [BM]</t>
  </si>
  <si>
    <t xml:space="preserve"> Staničení: 0,53 - 0,53: 1 (2_7VoXjDm$k00000000eAS) = 1,000 [BN]</t>
  </si>
  <si>
    <t xml:space="preserve"> Staničení: 0,1 - 0,1: 1 (2_7VoXjDm$k00000000eGS) = 1,000 [BO]</t>
  </si>
  <si>
    <t xml:space="preserve"> Staničení: 0,75 - 0,75: 1 (2_7VoXjDm$k00000000e7S) = 1,000 [BP]</t>
  </si>
  <si>
    <t xml:space="preserve"> Staničení: 0,43 - 0,43: 1 (2_7VoXjDm$k00000000e4S) = 1,000 [BQ]</t>
  </si>
  <si>
    <t xml:space="preserve"> Staničení: 0,59023 - 0,59023: 1 (2_7VoXjDm$k00000000eB0) = 1,000 [BR]</t>
  </si>
  <si>
    <t xml:space="preserve"> Staničení: 0,87 - 0,87: 1 (2_7VoXjDm$k00000000eH0) = 1,000 [BS]</t>
  </si>
  <si>
    <t xml:space="preserve"> Staničení: 62,881 - 62,881: 1 (2_7VoXjDm$k00000000clY) = 1,000 [BT]</t>
  </si>
  <si>
    <t xml:space="preserve"> Staničení: 0,49 - 0,49: 1 (2_7VoXjDm$k00000000e50) = 1,000 [BU]</t>
  </si>
  <si>
    <t xml:space="preserve"> Staničení: 0,95 - 0,95: 1 (2_7VoXjDm$k00000000e80) = 1,000 [BV]</t>
  </si>
  <si>
    <t xml:space="preserve"> Staničení: 62,78109 - 62,78109: 1 (2_7VoXjDm$k00000000cno) = 1,000 [BW]</t>
  </si>
  <si>
    <t xml:space="preserve"> Staničení: 0,08 - 0,08: 1 (2_7VoXjDm$k00000000dKj) = 1,000 [BX]</t>
  </si>
  <si>
    <t xml:space="preserve"> Staničení: 0,95 - 0,95: 1 (2_7VoXjDm$k00000000eCi) = 1,000 [BY]</t>
  </si>
  <si>
    <t xml:space="preserve"> Staničení: 0,33 - 0,33: 1 (2_7VoXjDm$k00000000e3i) = 1,000 [BZ]</t>
  </si>
  <si>
    <t xml:space="preserve"> Staničení: 0,67 - 0,67: 1 (2_7VoXjDm$k00000000e6i) = 1,000 [CA]</t>
  </si>
  <si>
    <t xml:space="preserve"> Staničení: 0,45 - 0,45: 1 (2_7VoXjDm$k00000000e9i) = 1,000 [CB]</t>
  </si>
  <si>
    <t xml:space="preserve"> Staničení: 0,51 - 0,51: 1 (2_7VoXjDm$k00000000eAG) = 1,000 [CC]</t>
  </si>
  <si>
    <t xml:space="preserve"> Staničení: 0,1 - 0,1: 1 (2_7VoXjDm$k00000000eGG) = 1,000 [CD]</t>
  </si>
  <si>
    <t xml:space="preserve"> Staničení: 1,1 - 1,1: 1 (2_7VoXjDm$k00000000eDG) = 1,000 [CE]</t>
  </si>
  <si>
    <t xml:space="preserve"> Staničení: 0,57 - 0,57: 1 (2_7VoXjDm$k00000000eAq) = 1,000 [CF]</t>
  </si>
  <si>
    <t xml:space="preserve"> Staničení: 0,79311 - 0,79311: 1 (2_7VoXjDm$k00000000eGq) = 1,000 [CG]</t>
  </si>
  <si>
    <t xml:space="preserve"> Staničení: 0,73 - 0,73: 1 (2_7VoXjDm$k00000000e7G) = 1,000 [CH]</t>
  </si>
  <si>
    <t xml:space="preserve"> Staničení: 0,41 - 0,41: 1 (2_7VoXjDm$k00000000e4G) = 1,000 [CI]</t>
  </si>
  <si>
    <t xml:space="preserve"> Staničení: 0,9 - 0,9: 1 (2_7VoXjDm$k00000000e7q) = 1,000 [CJ]</t>
  </si>
  <si>
    <t xml:space="preserve"> Staničení: 0,47 - 0,47: 1 (2_7VoXjDm$k00000000e4q) = 1,000 [CK]</t>
  </si>
  <si>
    <t xml:space="preserve"> Celkové množství 89.000000 = 89,000 [CL]</t>
  </si>
  <si>
    <t>Položka zahrnuje:
- dodání a osazení sloupku včetně nutných zemních prací
- vnitrostaveništní a mimostaveništní doprava
- odrazky plastové nebo z retroreflexní fólie
Položka nezahrnuje:
- x</t>
  </si>
  <si>
    <t xml:space="preserve"> Staničení: 63,11109 - 63,11109: 1 (2_7VoXjDm$k00000000ckc) = 1,000 [A]</t>
  </si>
  <si>
    <t xml:space="preserve"> Staničení: 63,15109 - 63,15109: 1 (2_7VoXjDm$k00000000cmI) = 1,000 [B]</t>
  </si>
  <si>
    <t xml:space="preserve"> Staničení: 63,03109 - 63,03109: 1 (2_7VoXjDm$k00000000ck_) = 1,000 [C]</t>
  </si>
  <si>
    <t xml:space="preserve"> Staničení: 62,93109 - 62,93109: 1 (2_7VoXjDm$k00000000cnE) = 1,000 [D]</t>
  </si>
  <si>
    <t xml:space="preserve"> Staničení: 63,18109 - 63,18109: 1 (2_7VoXjDm$k00000000cm6) = 1,000 [E]</t>
  </si>
  <si>
    <t xml:space="preserve"> Staničení: 63,07109 - 63,07109: 1 (2_7VoXjDm$k00000000cmg) = 1,000 [F]</t>
  </si>
  <si>
    <t xml:space="preserve"> Staničení: 62,93109 - 62,93109: 1 (2_7VoXjDm$k00000000clM) = 1,000 [G]</t>
  </si>
  <si>
    <t xml:space="preserve"> Staničení: 63,03109 - 63,03109: 1 (2_7VoXjDm$k00000000cms) = 1,000 [H]</t>
  </si>
  <si>
    <t xml:space="preserve"> Staničení: 63,07109 - 63,07109: 1 (2_7VoXjDm$k00000000cko) = 1,000 [I]</t>
  </si>
  <si>
    <t xml:space="preserve"> Staničení: 63,11109 - 63,11109: 1 (2_7VoXjDm$k00000000cmU) = 1,000 [J]</t>
  </si>
  <si>
    <t xml:space="preserve"> Staničení: 62,98109 - 62,98109: 1 (2_7VoXjDm$k00000000clA) = 1,000 [K]</t>
  </si>
  <si>
    <t xml:space="preserve"> Staničení: 62,98109 - 62,98109: 1 (2_7VoXjDm$k00000000cn2) = 1,000 [L]</t>
  </si>
  <si>
    <t xml:space="preserve"> Celkové množství 12.000000 = 12,000 [M]</t>
  </si>
  <si>
    <t>Kategorie stavebního výrobku:
Klasifikace dle CCI:
Podrobná specifikace:
Z11 cd:
Reference:
TP 65, TP 58, D.8.2 situace DZ, D.8.1 technická zpráva:
Specifikace:
plastový, trojúhelníkový průřez, včetně odrazného pásku:
Stavební výrobek:
směrový sloupek červený:
Typ stavebního výrobku:
vodící prvek s odrazkou:
Výrobce:
Nd:</t>
  </si>
  <si>
    <t xml:space="preserve"> Staničení: 0,21 - 0,21: 1 (2_7VoXjDm$k00000000eDe) = 1,000 [A]</t>
  </si>
  <si>
    <t xml:space="preserve"> Staničení: 1,1174 - 1,1174: 1 (2_7VoXjDm$k00000000eEO) = 1,000 [B]</t>
  </si>
  <si>
    <t xml:space="preserve"> Staničení: 1,1096 - 1,1096: 1 (2_7VoXjDm$k00000000eEC) = 1,000 [C]</t>
  </si>
  <si>
    <t xml:space="preserve"> Staničení: 0,09636 - 0,09636: 1 (2_7VoXjDm$k00000000eFW) = 1,000 [D]</t>
  </si>
  <si>
    <t xml:space="preserve"> Staničení: 0,68454 - 0,68454: 1 (2_7VoXjDm$k00000000eEm) = 1,000 [E]</t>
  </si>
  <si>
    <t xml:space="preserve"> Staničení: 0,67298 - 0,67298: 1 (2_7VoXjDm$k00000000eEa) = 1,000 [F]</t>
  </si>
  <si>
    <t xml:space="preserve"> Staničení: 0,085 - 0,085: 1 (2_7VoXjDm$k00000000eFK) = 1,000 [G]</t>
  </si>
  <si>
    <t xml:space="preserve"> Staničení: 0,12679 - 0,12679: 1 (2_7VoXjDm$k00000000eFu) = 1,000 [H]</t>
  </si>
  <si>
    <t xml:space="preserve"> Staničení: 0,185 - 0,185: 1 (2_7VoXjDm$k00000000eDS) = 1,000 [I]</t>
  </si>
  <si>
    <t xml:space="preserve"> Staničení: 0,79323 - 0,79323: 1 (2_7VoXjDm$k00000000eE0) = 1,000 [J]</t>
  </si>
  <si>
    <t xml:space="preserve"> Staničení: 0,10418 - 0,10418: 1 (2_7VoXjDm$k00000000eFi) = 1,000 [K]</t>
  </si>
  <si>
    <t xml:space="preserve"> Staničení: 0,778 - 0,778: 1 (2_7VoXjDm$k00000000eDq) = 1,000 [L]</t>
  </si>
  <si>
    <t>912283</t>
  </si>
  <si>
    <t>SMĚROVÉ SLOUPKY Z PLAST HMOT - DEMONTÁŽ A ODVOZ</t>
  </si>
  <si>
    <t>Kategorie stavebního výrobku:
Klasifikace dle CCI:
Podrobná specifikace:
O odstraněném značení a jeho případném dalším využití rozhodne KSUSV na základě jeho aktuálního technického stavu.:
Reference:
TP65, ČSN EN 12899-1, technická zpráva, situace DZ:
Specifikace:
zahrnuje demontáž a odvoz na předepsané místo investorem/KSUSV:
Stavební výrobek:
demontáž stávajícího dopravního značení - směrových sloupků:
Typ stavebního výrobku:
rušené dopravní značení - směrové sloupky:
Výrobce:
Nd:</t>
  </si>
  <si>
    <t xml:space="preserve"> Staničení: 61,80893 - 61,80893: 59 (2ROzpdHdh$EG0000000WgZ) = 59,000 [A]</t>
  </si>
  <si>
    <t xml:space="preserve"> Celkové množství 59.000000 = 59,000 [B]</t>
  </si>
  <si>
    <t>položka zahrnuje demontáž stávajícího sloupku, jeho odvoz do skladu nebo na skládku</t>
  </si>
  <si>
    <t>91257</t>
  </si>
  <si>
    <t>ODRAŽEČE PROTI ZVĚŘI</t>
  </si>
  <si>
    <t>Položka zahrnuje:
- dodání a montáž odražeče včetně připevňovacích dílů
Položka nezahrnuje:
- x</t>
  </si>
  <si>
    <t>91267</t>
  </si>
  <si>
    <t>ODRAZKY NA SVODIDLA</t>
  </si>
  <si>
    <t>Kategorie stavebního výrobku:
 Zákona o stavebních výrobcích a jejich použití do staveb:
Podrobná specifikace:
oboustranná:
Reference:
TP 65, TP 58, technická zpráva:
Specifikace:
plastová, včetně odrazného pásku:
Stavební výrobek:
odrazky na svodidlo:
Typ stavebního výrobku:
vodící prvek s odrazkou:
Výrobce:
Nd:</t>
  </si>
  <si>
    <t xml:space="preserve"> Staničení: 0 - 0: 11 (2ROzpdHdh$EG0000000WhE) = 11,000 [A]</t>
  </si>
  <si>
    <t xml:space="preserve"> Celkové množství 11.000000 = 11,000 [B]</t>
  </si>
  <si>
    <t>- kompletní dodávka se všemi pomocnými a doplňujícími pracemi a součástmi</t>
  </si>
  <si>
    <t>914113</t>
  </si>
  <si>
    <t>DOPRAVNÍ ZNAČKY ZÁKLADNÍ VELIKOSTI OCELOVÉ NEREFLEXNÍ - DEMONTÁŽ</t>
  </si>
  <si>
    <t>Kategorie stavebního výrobku:
Klasifikace dle CCI:
Podrobná specifikace:
odvoz na předepsané místo investorem:
Reference:
TP65, ČSN EN 12899-1, technická zpráva, situace DZ:
Specifikace:
zahrnuje demontáž značení, odstranění patky a sloupku:
Stavební výrobek:
demontáž stávajícího dopravního značení:
Typ stavebního výrobku:
rušené dopravní značení:
Výrobce:
Nd:</t>
  </si>
  <si>
    <t xml:space="preserve"> Staničení: 0,86372 - 0,86372: 1 (2_7VoXjDm$k00000000bu8) = 1,000 [A]</t>
  </si>
  <si>
    <t xml:space="preserve"> Staničení: 0,85898 - 0,85898: 1 (2_7VoXjDm$k00000000buK) = 1,000 [B]</t>
  </si>
  <si>
    <t xml:space="preserve"> Staničení: 0,92297 - 0,92297: 1 (2_7VoXjDm$k00000000btm) = 1,000 [C]</t>
  </si>
  <si>
    <t xml:space="preserve"> Staničení: 0 - 0: 1 (2_7VoXjDm$k00000000bHm) = 1,000 [D]</t>
  </si>
  <si>
    <t xml:space="preserve"> Staničení: 0,88169 - 0,88169: 1 (2_7VoXjDm$k00000000bty) = 1,000 [E]</t>
  </si>
  <si>
    <t xml:space="preserve"> Staničení: 0 - 0: 1 (2_7VoXjDm$k00000000cEB) = 1,000 [F]</t>
  </si>
  <si>
    <t xml:space="preserve"> Staničení: 0 - 0: 1 (2_7VoXjDm$k00000000cD$) = 1,000 [G]</t>
  </si>
  <si>
    <t xml:space="preserve"> Staničení: 0,14459 - 0,14459: 1 (2_7VoXjDm$k00000000cDd) = 1,000 [H]</t>
  </si>
  <si>
    <t xml:space="preserve"> Staničení: 0 - 0: 1 (2_7VoXjDm$k00000000btO) = 1,000 [I]</t>
  </si>
  <si>
    <t xml:space="preserve"> Staničení: 1,03339 - 1,03339: 1 (2_7VoXjDm$k00000000bta) = 1,000 [J]</t>
  </si>
  <si>
    <t xml:space="preserve"> Staničení: 0,84368 - 0,84368: 1 (2_7VoXjDm$k00000000buW) = 1,000 [K]</t>
  </si>
  <si>
    <t xml:space="preserve"> Staničení: 62,83684 - 62,83684: 1 (2_7VoXjDm$k00000000bM$) = 1,000 [L]</t>
  </si>
  <si>
    <t xml:space="preserve"> Staničení: 62,76241 - 62,76241: 1 (2_7VoXjDm$k00000000bMp) = 1,000 [M]</t>
  </si>
  <si>
    <t xml:space="preserve"> Staničení: 0 - 0: 1 (2_7VoXjDm$k00000000cDF) = 1,000 [N]</t>
  </si>
  <si>
    <t xml:space="preserve"> Staničení: 0 - 0: 1 (2_7VoXjDm$k00000000cDR) = 1,000 [O]</t>
  </si>
  <si>
    <t xml:space="preserve"> Staničení: 0,40801 - 0,40801: 1 (2_7VoXjDm$k00000000bui) = 1,000 [P]</t>
  </si>
  <si>
    <t xml:space="preserve"> Celkové množství 16.000000 = 16,000 [Q]</t>
  </si>
  <si>
    <t>914131</t>
  </si>
  <si>
    <t>DOPRAVNÍ ZNAČKY ZÁKLADNÍ VELIKOSTI OCELOVÉ FÓLIE TŘ 2 - DODÁVKA A MONTÁŽ</t>
  </si>
  <si>
    <t>Kategorie stavebního výrobku:
Klasifikace dle CCI:
Podrobná specifikace:
svislé dopravní značení - typ dle IMS a situace DZ D.8.2:_x000D_
E13 – 7x_x000D_
IJ4b – 2x_x000D_
B11 – 5x_x000D_
B20b – 2x_x000D_
B20a – 4x_x000D_
B21a – 4x_x000D_
P4 – 1x_x000D_
IZ4a – 1x_x000D_
A22 – 2x_x000D_
P2 – 2x_x000D_
IS1a – 1x_x000D_
IS3b – 3x_x000D_
IS3c – 1x_x000D_
IS3d – 3x_x000D_
P1 – 2x_x000D_
P6 – 2x_x000D_
B2 – 1x_x000D_
IZ4b – 1x_x000D_
Reference:
TP65, ČSN EN 12899-1, technická zpráva, situace DZ:
Specifikace:
retroreflexní materiál min. třídy RA2, lisovaný pozinkovaný plech  s dvojím ohybem bez hliníkových komponentů:
Stavební výrobek:
dopravní značení základní velikosti ocelové:
Typ stavebního výrobku:
svislé dopravní značení:
Výrobce:
Nd:</t>
  </si>
  <si>
    <t>E13 Staničení: 0,12564 - 0,12564: 1 (2_7VoXjDm$k00000000bve) = 1,000 [A]</t>
  </si>
  <si>
    <t>IJ4b Staničení: 0,84906 - 0,84906: 1 (2_7VoXjDm$k00000000bye) = 1,000 [B]</t>
  </si>
  <si>
    <t>B11 Staničení: 0,18756 - 0,18756: 1 (2_7VoXjDm$k00000000bvq) = 1,000 [C]</t>
  </si>
  <si>
    <t>IJ4b Staničení: 0,86197 - 0,86197: 1 (2_7VoXjDm$k00000000byq) = 1,000 [D]</t>
  </si>
  <si>
    <t>B20b Staničení: 0,66633 - 0,66633: 1 (2_7VoXjDm$k00000000bx8) = 1,000 [E]</t>
  </si>
  <si>
    <t>B21a Staničení: 63,05409 - 63,05409: 1 (2_7VoXjDm$k00000000bI8) = 1,000 [F]</t>
  </si>
  <si>
    <t>E13 Staničení: 62,76313 - 62,76313: 1 (2_7VoXjDm$k00000000bNN) = 1,000 [G]</t>
  </si>
  <si>
    <t>B11 Staničení: 0,08696 - 0,08696: 1 (2_7VoXjDm$k00000000bv4) = 1,000 [H]</t>
  </si>
  <si>
    <t>B21a Staničení: 0,7929 - 0,7929: 1 (2_7VoXjDm$k00000000by4) = 1,000 [I]</t>
  </si>
  <si>
    <t>P4 Staničení: 0,01966 - 0,01966: 1 (2_7VoXjDm$k00000000cEx) = 1,000 [J]</t>
  </si>
  <si>
    <t>IZ4a Staničení: 0,01235 - 0,01235: 1 (2_7VoXjDm$k00000000cEN) = 1,000 [K]</t>
  </si>
  <si>
    <t>A22 Staničení: 62,76299 - 62,76299: 1 (2_7VoXjDm$k00000000bNZ) = 1,000 [L]</t>
  </si>
  <si>
    <t>P2 Staničení: 0,14258 - 0,14258: 1 (2_7VoXjDm$k00000000cFt) = 1,000 [M]</t>
  </si>
  <si>
    <t>B20a Staničení: 0,01237 - 0,01237: 1 (2_7VoXjDm$k00000000cEZ) = 1,000 [N]</t>
  </si>
  <si>
    <t>IS3b Staničení: 0,04875 - 0,04875: 1 (2_7VoXjDm$k00000000cFV) = 1,000 [O]</t>
  </si>
  <si>
    <t>B11 Staničení: 0,68503 - 0,68503: 1 (2_7VoXjDm$k00000000bxK) = 1,000 [P]</t>
  </si>
  <si>
    <t>E13 Staničení: 0,08696 - 0,08696: 1 (2_7VoXjDm$k00000000bvG) = 1,000 [Q]</t>
  </si>
  <si>
    <t>IS3b Staničení: 0,83848 - 0,83848: 1 (2_7VoXjDm$k00000000byG) = 1,000 [R]</t>
  </si>
  <si>
    <t>P1 Staničení: 0,56092 - 0,56092: 1 (2_7VoXjDm$k00000000bwm) = 1,000 [S]</t>
  </si>
  <si>
    <t>B11 Staničení: 0,12564 - 0,12564: 1 (2_7VoXjDm$k00000000bvS) = 1,000 [T]</t>
  </si>
  <si>
    <t>IS3d Staničení: 0,83852 - 0,83852: 1 (2_7VoXjDm$k00000000byS) = 1,000 [U]</t>
  </si>
  <si>
    <t>B20a Staničení: 0,66633 - 0,66633: 1 (2_7VoXjDm$k00000000bwy) = 1,000 [V]</t>
  </si>
  <si>
    <t>B2 Staničení: 0 - 0: 1 (2_7VoXjDm$k00000000bHy) = 1,000 [W]</t>
  </si>
  <si>
    <t>B21a Staničení: 0,76612 - 0,76612: 1 (2_7VoXjDm$k00000000buu) = 1,000 [X]</t>
  </si>
  <si>
    <t>E13 Staničení: 0,79087 - 0,79087: 1 (2_7VoXjDm$k00000000bxu) = 1,000 [Y]</t>
  </si>
  <si>
    <t>B20a Staničení: 0,14475 - 0,14475: 1 (2_7VoXjDm$k00000000cG3) = 1,000 [Z]</t>
  </si>
  <si>
    <t>A22 Staničení: 62,76313 - 62,76313: 1 (2_7VoXjDm$k00000000bNB) = 1,000 [AA]</t>
  </si>
  <si>
    <t>P6 Staničení: 0 - 0: 1 (2_7VoXjDm$k00000000cFh) = 1,000 [AB]</t>
  </si>
  <si>
    <t>IS3d Staničení: 0,04875 - 0,04875: 1 (2_7VoXjDm$k00000000cFJ) = 1,000 [AC]</t>
  </si>
  <si>
    <t>IS3d Staničení: 0,45778 - 0,45778: 1 (2_7VoXjDm$k00000000bwO) = 1,000 [AD]</t>
  </si>
  <si>
    <t>P1 Staničení: 0,99326 - 0,99326: 1 (2_7VoXjDm$k00000000bzO) = 1,000 [AE]</t>
  </si>
  <si>
    <t>IS3c Staničení: 0,45778 - 0,45778: 1 (2_7VoXjDm$k00000000bwa) = 1,000 [AF]</t>
  </si>
  <si>
    <t>B21a Staničení: 1,14007 - 1,14007: 1 (2_7VoXjDm$k00000000bza) = 1,000 [AG]</t>
  </si>
  <si>
    <t>E13 Staničení: 0,68502 - 0,68502: 1 (2_7VoXjDm$k00000000bxW) = 1,000 [AH]</t>
  </si>
  <si>
    <t>IS1a Staničení: 0,04875 - 0,04875: 1 (2_7VoXjDm$k00000000cF7) = 1,000 [AI]</t>
  </si>
  <si>
    <t>E13 Staničení: 0,18756 - 0,18756: 1 (2_7VoXjDm$k00000000bw0) = 1,000 [AJ]</t>
  </si>
  <si>
    <t>B20b Staničení: 0,91644 - 0,91644: 1 (2_7VoXjDm$k00000000bz0) = 1,000 [AK]</t>
  </si>
  <si>
    <t>E13 Staničení: 62,76299 - 62,76299: 1 (2_7VoXjDm$k00000000bNl) = 1,000 [AL]</t>
  </si>
  <si>
    <t>P6 Staničení: 0,14713 - 0,14713: 1 (2_7VoXjDm$k00000000cGF) = 1,000 [AM]</t>
  </si>
  <si>
    <t>P2 Staničení: 0 - 0: 1 (2_7VoXjDm$k00000000cGR) = 1,000 [AN]</t>
  </si>
  <si>
    <t>IZ4b Staničení: 0,01013 - 0,01013: 1 (2_7VoXjDm$k00000000cEl) = 1,000 [AO]</t>
  </si>
  <si>
    <t>IS3b Staničení: 0,45781 - 0,45781: 1 (2_7VoXjDm$k00000000bwC) = 1,000 [AP]</t>
  </si>
  <si>
    <t>B20a Staničení: 0,91635 - 0,91635: 1 (2_7VoXjDm$k00000000bzC) = 1,000 [AQ]</t>
  </si>
  <si>
    <t>B11 Staničení: 0,79087 - 0,79087: 1 (2_7VoXjDm$k00000000bxi) = 1,000 [AR]</t>
  </si>
  <si>
    <t xml:space="preserve"> Celkové množství 44.000000 = 44,000 [AS]</t>
  </si>
  <si>
    <t>Položka zahrnuje:
- dodávku a montáž značek v požadovaném provedení
Položka nezahrnuje:
- x</t>
  </si>
  <si>
    <t>914911</t>
  </si>
  <si>
    <t>SLOUPKY A STOJKY DOPRAVNÍCH ZNAČEK Z OCEL TRUBEK SE ZABETONOVÁNÍM - DODÁVKA A MONTÁŽ</t>
  </si>
  <si>
    <t>Kategorie stavebního výrobku:
Klasifikace dle CCI:
Podrobná specifikace:
včetně betonové patky C20/25nXF3 a případných výložníků:
Reference:
TP65, ČSN EN 12899-1, technická zpráva, situace DZ:
Specifikace:
sloupky ze žárově zinkované ocelové trubky o průměru 60 mm:
Stavební výrobek:
sloupek pro svislé dopravní značení:
Typ stavebního výrobku:
sloupek:
Výrobce:
Nd:</t>
  </si>
  <si>
    <t xml:space="preserve"> Staničení: 0,79295 - 0,79295: 1 (2_7VoXjDm$k00000000bse) = 1,000 [A]</t>
  </si>
  <si>
    <t xml:space="preserve"> Staničení: 1,13998 - 1,13998: 1 (2_7VoXjDm$k00000000bsq) = 1,000 [B]</t>
  </si>
  <si>
    <t xml:space="preserve"> Staničení: 62,76306 - 62,76306: 1 (2_7VoXjDm$k00000000bMR) = 1,000 [C]</t>
  </si>
  <si>
    <t xml:space="preserve"> Staničení: 0,68506 - 0,68506: 1 (2_7VoXjDm$k00000000br8) = 1,000 [D]</t>
  </si>
  <si>
    <t xml:space="preserve"> Staničení: 0,99321 - 0,99321: 1 (2_7VoXjDm$k00000000bs4) = 1,000 [E]</t>
  </si>
  <si>
    <t xml:space="preserve"> Staničení: 0,14709 - 0,14709: 1 (2_7VoXjDm$k00000000cBx) = 1,000 [F]</t>
  </si>
  <si>
    <t xml:space="preserve"> Staničení: 0,0487 - 0,0487: 1 (2_7VoXjDm$k00000000cCt) = 1,000 [G]</t>
  </si>
  <si>
    <t xml:space="preserve"> Staničení: 0 - 0: 1 (2_7VoXjDm$k00000000cCV) = 1,000 [H]</t>
  </si>
  <si>
    <t xml:space="preserve"> Staničení: 0,84903 - 0,84903: 1 (2_7VoXjDm$k00000000brK) = 1,000 [I]</t>
  </si>
  <si>
    <t xml:space="preserve"> Staničení: 0,79092 - 0,79092: 1 (2_7VoXjDm$k00000000bsG) = 1,000 [J]</t>
  </si>
  <si>
    <t xml:space="preserve"> Staničení: 0,66633 - 0,66633: 1 (2_7VoXjDm$k00000000bqm) = 1,000 [K]</t>
  </si>
  <si>
    <t xml:space="preserve"> Staničení: 0,76607 - 0,76607: 1 (2_7VoXjDm$k00000000bsS) = 1,000 [L]</t>
  </si>
  <si>
    <t xml:space="preserve"> Staničení: 0,66638 - 0,66638: 1 (2_7VoXjDm$k00000000bqy) = 1,000 [M]</t>
  </si>
  <si>
    <t xml:space="preserve"> Staničení: 0,91647 - 0,91647: 1 (2_7VoXjDm$k00000000bru) = 1,000 [N]</t>
  </si>
  <si>
    <t xml:space="preserve"> Staničení: 0,01008 - 0,01008: 1 (2_7VoXjDm$k00000000cD3) = 1,000 [O]</t>
  </si>
  <si>
    <t xml:space="preserve"> Staničení: 62,76306 - 62,76306: 1 (2_7VoXjDm$k00000000bMd) = 1,000 [P]</t>
  </si>
  <si>
    <t xml:space="preserve"> Staničení: 0,14262 - 0,14262: 1 (2_7VoXjDm$k00000000cCh) = 1,000 [Q]</t>
  </si>
  <si>
    <t xml:space="preserve"> Staničení: 0,01242 - 0,01242: 1 (2_7VoXjDm$k00000000cCJ) = 1,000 [R]</t>
  </si>
  <si>
    <t xml:space="preserve"> Staničení: 0,18753 - 0,18753: 1 (2_7VoXjDm$k00000000bqO) = 1,000 [S]</t>
  </si>
  <si>
    <t xml:space="preserve"> Staničení: 0 - 0: 1 (2_7VoXjDm$k00000000bHO) = 1,000 [T]</t>
  </si>
  <si>
    <t xml:space="preserve"> Staničení: 0,56099 - 0,56099: 1 (2_7VoXjDm$k00000000bqa) = 1,000 [U]</t>
  </si>
  <si>
    <t xml:space="preserve"> Staničení: 63,054 - 63,054: 1 (2_7VoXjDm$k00000000bHa) = 1,000 [V]</t>
  </si>
  <si>
    <t xml:space="preserve"> Staničení: 0,86197 - 0,86197: 1 (2_7VoXjDm$k00000000brW) = 1,000 [W]</t>
  </si>
  <si>
    <t xml:space="preserve"> Staničení: 0,01961 - 0,01961: 1 (2_7VoXjDm$k00000000cC7) = 1,000 [X]</t>
  </si>
  <si>
    <t xml:space="preserve"> Staničení: 0,08693 - 0,08693: 1 (2_7VoXjDm$k00000000bq0) = 1,000 [Y]</t>
  </si>
  <si>
    <t xml:space="preserve"> Staničení: 0,45787 - 0,45787: 1 (2_7VoXjDm$k00000000bt0) = 1,000 [Z]</t>
  </si>
  <si>
    <t xml:space="preserve"> Staničení: 0 - 0: 1 (2_7VoXjDm$k00000000cDp) = 1,000 [AA]</t>
  </si>
  <si>
    <t xml:space="preserve"> Staničení: 0,14472 - 0,14472: 1 (2_7VoXjDm$k00000000cBl) = 1,000 [AB]</t>
  </si>
  <si>
    <t xml:space="preserve"> Staničení: 0,12567 - 0,12567: 1 (2_7VoXjDm$k00000000bqC) = 1,000 [AC]</t>
  </si>
  <si>
    <t xml:space="preserve"> Staničení: 0,83843 - 0,83843: 1 (2_7VoXjDm$k00000000btC) = 1,000 [AD]</t>
  </si>
  <si>
    <t xml:space="preserve"> Staničení: 0,91632 - 0,91632: 1 (2_7VoXjDm$k00000000bri) = 1,000 [AE]</t>
  </si>
  <si>
    <t xml:space="preserve"> Celkové množství 31.000000 = 31,000 [AF]</t>
  </si>
  <si>
    <t>Položka zahrnuje:
- sloupky
- upevňovací zařízení
- osazení (betonová patka, zemní práce)
Položka nezahrnuje:
- x</t>
  </si>
  <si>
    <t>914913</t>
  </si>
  <si>
    <t>SLOUPKY A STOJKY DZ Z OCEL TRUBEK ZABETON DEMONTÁŽ</t>
  </si>
  <si>
    <t xml:space="preserve"> Staničení: 0,14459 - 0,14459: 1 (2_7VoXjDm$k00000000cDd) = 1,000 [G]</t>
  </si>
  <si>
    <t xml:space="preserve"> Staničení: 0 - 0: 1 (2_7VoXjDm$k00000000btO) = 1,000 [H]</t>
  </si>
  <si>
    <t xml:space="preserve"> Staničení: 1,03339 - 1,03339: 1 (2_7VoXjDm$k00000000bta) = 1,000 [I]</t>
  </si>
  <si>
    <t xml:space="preserve"> Staničení: 0,84368 - 0,84368: 1 (2_7VoXjDm$k00000000buW) = 1,000 [J]</t>
  </si>
  <si>
    <t xml:space="preserve"> Staničení: 62,83684 - 62,83684: 1 (2_7VoXjDm$k00000000bM$) = 1,000 [K]</t>
  </si>
  <si>
    <t xml:space="preserve"> Staničení: 62,76241 - 62,76241: 1 (2_7VoXjDm$k00000000bMp) = 1,000 [L]</t>
  </si>
  <si>
    <t xml:space="preserve"> Staničení: 0 - 0: 1 (2_7VoXjDm$k00000000cDF) = 1,000 [M]</t>
  </si>
  <si>
    <t xml:space="preserve"> Staničení: 0 - 0: 1 (2_7VoXjDm$k00000000cDR) = 1,000 [N]</t>
  </si>
  <si>
    <t xml:space="preserve"> Staničení: 0,40801 - 0,40801: 1 (2_7VoXjDm$k00000000bui) = 1,000 [O]</t>
  </si>
  <si>
    <t xml:space="preserve"> Celkové množství 15.000000 = 15,000 [P]</t>
  </si>
  <si>
    <t>915221</t>
  </si>
  <si>
    <t>VODOR DOPRAV ZNAČ PLASTEM STRUKTURÁLNÍ NEHLUČNÉ - DOD A POKLÁDKA</t>
  </si>
  <si>
    <t>Kategorie stavebního výrobku:
Klasifikace dle CCI:
Podrobná specifikace:
Typ čar dle IMS a situace DZ D.8.2:
Reference:
TP 133,ČSN EN 1436, ČSN EN 1436 Změna Z1, ČSN EN 1790, ČSN EN 1423, ČSN P ENV 13459-2, ČSN P ENV 134593, TP 70, VL6.2, technická zpráva, situace DZ:
Specifikace:
plast s retroreflexní úpravou, profilovaná termoplastická hmota:
Stavební výrobek:
bílé vodorovné dopravní značení:
Typ stavebního výrobku:
vodorovné dopravní značení:
Výrobce:
Nd:</t>
  </si>
  <si>
    <t xml:space="preserve"> Staničení: 0,88166 - 0,88216: 0,12515368263242 (2_7VoXjDm$k00000000YwT) = 0,125 [A]</t>
  </si>
  <si>
    <t xml:space="preserve"> Staničení: 0,86566 - 0,86616: 0,125139500107902 (2_7VoXjDm$k00000000YtT) = 0,125 [B]</t>
  </si>
  <si>
    <t xml:space="preserve"> Staničení: 0,88866 - 0,88916: 0,12516022865759 (2_7VoXjDm$k00000000Yxn) = 0,125 [C]</t>
  </si>
  <si>
    <t xml:space="preserve"> Staničení: 0,89766 - 0,89816: 0,125163839437914 (2_7VoXjDm$k00000000YzT) = 0,125 [D]</t>
  </si>
  <si>
    <t xml:space="preserve"> Staničení: 0,75352 - 0,76344: 2,50351689798333 (2_7VoXjDm$k00000000YRt) = 2,504 [E]</t>
  </si>
  <si>
    <t xml:space="preserve"> Staničení: 0,99334 - 1,00334: 2,5032767888218 (2_7VoXjDm$k00000000YAn) = 2,503 [F]</t>
  </si>
  <si>
    <t xml:space="preserve"> Staničení: 0,23277 - 0,24277: 1,25100062174974 (2_7VoXjDm$k00000000YUt) = 1,251 [G]</t>
  </si>
  <si>
    <t xml:space="preserve"> Staničení: 1,08334 - 1,09334: 2,50354231957428 (2_7VoXjDm$k00000000YCT) = 2,504 [H]</t>
  </si>
  <si>
    <t xml:space="preserve"> Staničení: 0,07277 - 0,08277: 1,25049288896195 (2_7VoXjDm$k00000000YXt) = 1,250 [I]</t>
  </si>
  <si>
    <t xml:space="preserve"> Staničení: 0,95637 - 0,96637: 1,25124830067307 (2_7VoXjDm$k00000000YZn) = 1,251 [J]</t>
  </si>
  <si>
    <t xml:space="preserve"> Staničení: 0,13357 - 0,1337: 0,0626291888190559 (2_7VoXjDm$k00000000ZaO) = 0,063 [K]</t>
  </si>
  <si>
    <t xml:space="preserve"> Staničení: 0,90466 - 0,90516: 0,125163839438024 (2_7VoXjDm$k00000000Y_n) = 0,125 [L]</t>
  </si>
  <si>
    <t xml:space="preserve"> Staničení: 0,67428 - 0,68418: 2,50443215493571 (2_7VoXjDm$k00000000YQN) = 2,504 [M]</t>
  </si>
  <si>
    <t xml:space="preserve"> Staničení: 0,15277 - 0,16277: 1,25056299536991 (2_7VoXjDm$k00000000YWN) = 1,251 [N]</t>
  </si>
  <si>
    <t xml:space="preserve"> Staničení: 62,87832 - 62,88832: 1,2504942146565 (2_7VoXjDm$k00000000ZpO) = 1,250 [O]</t>
  </si>
  <si>
    <t xml:space="preserve"> Staničení: 0,31277 - 0,32277: 1,25187931264008 (2_7VoXjDm$k00000000YTN) = 1,252 [P]</t>
  </si>
  <si>
    <t xml:space="preserve"> Staničení: 0 - 0,00277: 0,345750272912972 (2_7VoXjDm$k00000000YZN) = 0,346 [Q]</t>
  </si>
  <si>
    <t xml:space="preserve"> Staničení: 1,12637 - 1,13637: 1,25110025830899 (2_7VoXjDm$k00000000Ycz) = 1,251 [R]</t>
  </si>
  <si>
    <t xml:space="preserve"> Staničení: 0,69112 - 0,70121: 2,50449742724729 (2_7VoXjDm$k00000000Y7n) = 2,504 [S]</t>
  </si>
  <si>
    <t xml:space="preserve"> Staničení: 0,79637 - 0,80637: 1,25062575282471 (2_7VoXjDm$k00000000Yfz) = 1,251 [T]</t>
  </si>
  <si>
    <t xml:space="preserve"> Staničení: 0,92334 - 0,93334: 2,50327678882217 (2_7VoXjDm$k00000000Y9T) = 2,503 [U]</t>
  </si>
  <si>
    <t xml:space="preserve"> Staničení: 0,63136 - 0,64136: 1,25224858622856 (2_7VoXjDm$k00000000Yiz) = 1,252 [V]</t>
  </si>
  <si>
    <t xml:space="preserve"> Staničení: 0,942 - 0,952: 2,50327678882204 (2_7VoXjDm$k00000000Yoz) = 2,503 [W]</t>
  </si>
  <si>
    <t xml:space="preserve"> Staničení: 0,46686 - 0,47686: 1,25263723018576 (2_7VoXjDm$k00000000Ylz) = 1,253 [X]</t>
  </si>
  <si>
    <t xml:space="preserve"> Staničení: 1,102 - 1,112: 2,50329012687054 (2_7VoXjDm$k00000000Yrz) = 2,503 [Y]</t>
  </si>
  <si>
    <t xml:space="preserve"> Staničení: 0,87366 - 0,87416: 0,125146423881163 (2_7VoXjDm$k00000000Yuz) = 0,125 [Z]</t>
  </si>
  <si>
    <t xml:space="preserve"> Staničení: 0,88966 - 0,89016: 0,125161176338 (2_7VoXjDm$k00000000Yxz) = 0,125 [AA]</t>
  </si>
  <si>
    <t xml:space="preserve"> Staničení: 0,78516 - 0,78637: 0,150334235130779 (2_7VoXjDm$k00000000ekJ) = 0,150 [AB]</t>
  </si>
  <si>
    <t xml:space="preserve"> Staničení: 1,00334 - 1,01334: 2,50327678882185 (2_7VoXjDm$k00000000YAz) = 2,503 [AC]</t>
  </si>
  <si>
    <t xml:space="preserve"> Staničení: 62,83832 - 62,84832: 1,25027276125293 (2_7VoXjDm$k00000000Zoe) = 1,250 [AD]</t>
  </si>
  <si>
    <t xml:space="preserve"> Staničení: 0,96637 - 0,97637: 1,25124830067184 (2_7VoXjDm$k00000000YZz) = 1,251 [AE]</t>
  </si>
  <si>
    <t xml:space="preserve"> Staničení: 0,90566 - 0,90616: 0,125163839437921 (2_7VoXjDm$k00000000Y_z) = 0,125 [AF]</t>
  </si>
  <si>
    <t xml:space="preserve"> Staničení: 0,69409 - 0,70399: 2,50451093101111 (2_7VoXjDm$k00000000YQl) = 2,505 [AG]</t>
  </si>
  <si>
    <t xml:space="preserve"> Staničení: 0,13277 - 0,14277: 1,25051331571557 (2_7VoXjDm$k00000000YWl) = 1,251 [AH]</t>
  </si>
  <si>
    <t xml:space="preserve"> Staničení: 0,29277 - 0,30277: 1,25183240481813 (2_7VoXjDm$k00000000YTl) = 1,252 [AI]</t>
  </si>
  <si>
    <t xml:space="preserve"> Staničení: 0,70121 - 0,71131: 2,50454915068793 (2_7VoXjDm$k00000000Y7z) = 2,505 [AJ]</t>
  </si>
  <si>
    <t xml:space="preserve"> Staničení: 0,12857 - 0,1287: 0,0626291888126972 (2_7VoXjDm$k00000000ZZe) = 0,063 [AK]</t>
  </si>
  <si>
    <t xml:space="preserve"> Staničení: 62,81832 - 62,82832: 1,25020077741141 (2_7VoXjDm$k00000000ZoG) = 1,250 [AL]</t>
  </si>
  <si>
    <t xml:space="preserve"> Staničení: 0,78966 - 0,79267: 0,375186972023615 (2_7VoXjDm$k00000000ekh) = 0,375 [AM]</t>
  </si>
  <si>
    <t xml:space="preserve"> Staničení: 0,78637 - 0,78816: 0,224853224367686 (2_7VoXjDm$k00000000eih) = 0,225 [AN]</t>
  </si>
  <si>
    <t xml:space="preserve"> Staničení: 0,33277 - 0,34277: 1,2518738653764 (2_7VoXjDm$k00000000YS$) = 1,252 [AO]</t>
  </si>
  <si>
    <t xml:space="preserve"> Staničení: 0,17277 - 0,18277: 1,25062648288094 (2_7VoXjDm$k00000000YV$) = 1,251 [AP]</t>
  </si>
  <si>
    <t xml:space="preserve"> Staničení: 0,01277 - 0,02277: 1,25001570589519 (2_7VoXjDm$k00000000YY$) = 1,250 [AQ]</t>
  </si>
  <si>
    <t xml:space="preserve"> Staničení: 0,13107 - 0,1312: 0,0626291888149028 (2_7VoXjDm$k00000000Za0) = 0,063 [AR]</t>
  </si>
  <si>
    <t xml:space="preserve"> Staničení: 62,85832 - 62,86832: 1,25037479474264 (2_7VoXjDm$k00000000Zp0) = 1,250 [AS]</t>
  </si>
  <si>
    <t xml:space="preserve"> Staničení: 0,84919 - 0,85039: 1,43746311268219 (2_7VoXjDm$k00000000Xwd) = 1,437 [AT]</t>
  </si>
  <si>
    <t xml:space="preserve"> Staničení: 0,85494 - 0,85722: 0,43210232427825 (2_7VoXjDm$k00000000Xtd) = 0,432 [AU]</t>
  </si>
  <si>
    <t xml:space="preserve"> Staničení: 0,87584 - 0,87634: 0,125148544278238 (2_7VoXjDm$k00000000ZCr) = 0,125 [AV]</t>
  </si>
  <si>
    <t xml:space="preserve"> Staničení: 0,79914 - 0,79963: 0,125067343398119 (2_7VoXjDm$k00000000ZFr) = 0,125 [AW]</t>
  </si>
  <si>
    <t xml:space="preserve"> Staničení: 0,81507 - 0,81557: 0,125112758156661 (2_7VoXjDm$k00000000ZIr) = 0,125 [AX]</t>
  </si>
  <si>
    <t xml:space="preserve"> Staničení: 0,79719 - 0,79769: 0,125089584004447 (2_7VoXjDm$k00000000ZOr) = 0,125 [AY]</t>
  </si>
  <si>
    <t xml:space="preserve"> Staničení: 0,83103 - 0,83153: 0,125111672099741 (2_7VoXjDm$k00000000ZLr) = 0,125 [AZ]</t>
  </si>
  <si>
    <t xml:space="preserve"> Staničení: 0,81325 - 0,81376: 0,125099897399557 (2_7VoXjDm$k00000000ZRr) = 0,125 [BA]</t>
  </si>
  <si>
    <t xml:space="preserve"> Staničení: 0,8293 - 0,8298: 0,125110888782346 (2_7VoXjDm$k00000000ZUr) = 0,125 [BB]</t>
  </si>
  <si>
    <t xml:space="preserve"> Staničení: 0,84532 - 0,84582: 0,125122781482637 (2_7VoXjDm$k00000000ZXr) = 0,125 [BC]</t>
  </si>
  <si>
    <t xml:space="preserve"> Staničení: 0,85959 - 0,86063: 0,425951770342318 (2_7VoXjDm$k00000000XvJ) = 0,426 [BD]</t>
  </si>
  <si>
    <t xml:space="preserve"> Staničení: 0,85713 - 0,85941: 0,428352434421642 (2_7VoXjDm$k00000000Xtp) = 0,428 [BE]</t>
  </si>
  <si>
    <t xml:space="preserve"> Staničení: 0,76117 - 0,76268: 0,37539317035805 (2_7VoXjDm$k00000000Z3r) = 0,375 [BF]</t>
  </si>
  <si>
    <t xml:space="preserve"> Staničení: 0,8565 - 0,86266: 1,54277875047041 (2_7VoXjDm$k00000000Z0r) = 1,543 [BG]</t>
  </si>
  <si>
    <t xml:space="preserve"> Staničení: 0,90784 - 0,90834: 0,125163839437868 (2_7VoXjDm$k00000000Z6r) = 0,125 [BH]</t>
  </si>
  <si>
    <t xml:space="preserve"> Staničení: 0,89184 - 0,89234: 0,125163299277419 (2_7VoXjDm$k00000000Z9r) = 0,125 [BI]</t>
  </si>
  <si>
    <t xml:space="preserve"> Staničení: 0,87784 - 0,87834: 0,125150354134943 (2_7VoXjDm$k00000000ZCT) = 0,125 [BJ]</t>
  </si>
  <si>
    <t xml:space="preserve"> Staničení: 0,79715 - 0,79764: 0,125066456148212 (2_7VoXjDm$k00000000ZFT) = 0,125 [BK]</t>
  </si>
  <si>
    <t xml:space="preserve"> Staničení: 0,81308 - 0,81358: 0,125105113373197 (2_7VoXjDm$k00000000ZIT) = 0,125 [BL]</t>
  </si>
  <si>
    <t xml:space="preserve"> Staničení: 0,84501 - 0,84551: 0,125122339395275 (2_7VoXjDm$k00000000ZOT) = 0,125 [BM]</t>
  </si>
  <si>
    <t xml:space="preserve"> Staničení: 0,82903 - 0,82953: 0,125110186816507 (2_7VoXjDm$k00000000ZLT) = 0,125 [BN]</t>
  </si>
  <si>
    <t xml:space="preserve"> Staničení: 0,81125 - 0,81175: 0,125098566526933 (2_7VoXjDm$k00000000ZRT) = 0,125 [BO]</t>
  </si>
  <si>
    <t xml:space="preserve"> Staničení: 0,7139 - 0,7238: 2,50462101477507 (2_7VoXjDm$k00000000YR7) = 2,505 [BP]</t>
  </si>
  <si>
    <t xml:space="preserve"> Staničení: 0,8273 - 0,8278: 0,125109464855202 (2_7VoXjDm$k00000000ZUT) = 0,125 [BQ]</t>
  </si>
  <si>
    <t xml:space="preserve"> Staničení: 0,27277 - 0,28277: 1,25153158172664 (2_7VoXjDm$k00000000YU7) = 1,252 [BR]</t>
  </si>
  <si>
    <t xml:space="preserve"> Staničení: 0,84332 - 0,84382: 0,12512123638476 (2_7VoXjDm$k00000000ZXT) = 0,125 [BS]</t>
  </si>
  <si>
    <t xml:space="preserve"> Staničení: 0,11277 - 0,12277: 1,25053874669538 (2_7VoXjDm$k00000000YX7) = 1,251 [BT]</t>
  </si>
  <si>
    <t xml:space="preserve"> Staničení: 0,85959 - 0,86079: 1,43746311201762 (2_7VoXjDm$k00000000XvV) = 1,437 [BU]</t>
  </si>
  <si>
    <t xml:space="preserve"> Staničení: 0,88184 - 0,88234: 0,125154018653875 (2_7VoXjDm$k00000000ZBj) = 0,125 [BV]</t>
  </si>
  <si>
    <t xml:space="preserve"> Staničení: 0,86584 - 0,86634: 0,125139761982514 (2_7VoXjDm$k00000000ZEj) = 0,125 [BW]</t>
  </si>
  <si>
    <t xml:space="preserve"> Staničení: 0,859 - 0,861: 0,250268889905493 (2_7VoXjDm$k00000000Z3T) = 0,250 [BX]</t>
  </si>
  <si>
    <t xml:space="preserve"> Staničení: 0,82504 - 0,82554: 0,125107273259735 (2_7VoXjDm$k00000000ZKj) = 0,125 [BY]</t>
  </si>
  <si>
    <t xml:space="preserve"> Staničení: 0,8565 - 0,86266: 1,5419379549302 (2_7VoXjDm$k00000000Z0T) = 1,542 [BZ]</t>
  </si>
  <si>
    <t xml:space="preserve"> Staničení: 0,80909 - 0,80959: 0,125091620111749 (2_7VoXjDm$k00000000ZHj) = 0,125 [CA]</t>
  </si>
  <si>
    <t xml:space="preserve"> Staničení: 0,90984 - 0,91034: 0,12516383943795 (2_7VoXjDm$k00000000Z6T) = 0,125 [CB]</t>
  </si>
  <si>
    <t xml:space="preserve"> Staničení: 0,84101 - 0,84151: 0,125119338547463 (2_7VoXjDm$k00000000ZNj) = 0,125 [CC]</t>
  </si>
  <si>
    <t xml:space="preserve"> Staničení: 0,89384 - 0,89434: 0,125163839437947 (2_7VoXjDm$k00000000Z9T) = 0,125 [CD]</t>
  </si>
  <si>
    <t xml:space="preserve"> Staničení: 0,80723 - 0,80773: 0,125095979427207 (2_7VoXjDm$k00000000ZQj) = 0,125 [CE]</t>
  </si>
  <si>
    <t xml:space="preserve"> Staničení: 0,83932 - 0,83982: 0,125118212157266 (2_7VoXjDm$k00000000ZWj) = 0,125 [CF]</t>
  </si>
  <si>
    <t xml:space="preserve"> Staničení: 0,82329 - 0,82379: 0,125106676362091 (2_7VoXjDm$k00000000ZTj) = 0,125 [CG]</t>
  </si>
  <si>
    <t xml:space="preserve"> Staničení: 1,02637 - 1,03637: 1,25126825517766 (2_7VoXjDm$k00000000Yb5) = 1,251 [CH]</t>
  </si>
  <si>
    <t xml:space="preserve"> Staničení: 0,89637 - 0,90637: 1,25124830377906 (2_7VoXjDm$k00000000Ye5) = 1,251 [CI]</t>
  </si>
  <si>
    <t xml:space="preserve"> Staničení: 0,56886 - 0,57886: 1,25231506688775 (2_7VoXjDm$k00000000Yk5) = 1,252 [CJ]</t>
  </si>
  <si>
    <t xml:space="preserve"> Staničení: 0,73587 - 0,74637: 1,31491341275531 (2_7VoXjDm$k00000000Yh5) = 1,315 [CK]</t>
  </si>
  <si>
    <t xml:space="preserve"> Staničení: 0,40686 - 0,41686: 1,25102251370305 (2_7VoXjDm$k00000000Yn5) = 1,251 [CL]</t>
  </si>
  <si>
    <t xml:space="preserve"> Staničení: 1,002 - 1,012: 2,50327678885101 (2_7VoXjDm$k00000000Yq5) = 2,503 [CM]</t>
  </si>
  <si>
    <t xml:space="preserve"> Staničení: 0,87966 - 0,88016: 0,125151852649275 (2_7VoXjDm$k00000000Yw5) = 0,125 [CN]</t>
  </si>
  <si>
    <t xml:space="preserve"> Staničení: 0,85714 - 0,85756: 0,0315719231457754 (2_7VoXjDm$k00000000Z2j) = 0,032 [CO]</t>
  </si>
  <si>
    <t xml:space="preserve"> Staničení: 0,86366 - 0,86416: 0,125137761884977 (2_7VoXjDm$k00000000Yt5) = 0,125 [CP]</t>
  </si>
  <si>
    <t xml:space="preserve"> Staničení: 0,89566 - 0,89616: 0,125163839437958 (2_7VoXjDm$k00000000Yz5) = 0,125 [CQ]</t>
  </si>
  <si>
    <t xml:space="preserve"> Staničení: 0,79138 - 0,79289: 0,375259255576446 (2_7VoXjDm$k00000000Z5j) = 0,375 [CR]</t>
  </si>
  <si>
    <t xml:space="preserve"> Staničení: 0,89784 - 0,89834: 0,125163839437863 (2_7VoXjDm$k00000000Z8j) = 0,125 [CS]</t>
  </si>
  <si>
    <t xml:space="preserve"> Staničení: 1,06334 - 1,07334: 2,50346200832791 (2_7VoXjDm$k00000000YC5) = 2,503 [CT]</t>
  </si>
  <si>
    <t xml:space="preserve"> Staničení: 0,88384 - 0,88434: 0,125155863291137 (2_7VoXjDm$k00000000ZBL) = 0,125 [CU]</t>
  </si>
  <si>
    <t xml:space="preserve"> Staničení: 0,86784 - 0,86834: 0,125141474571359 (2_7VoXjDm$k00000000ZEL) = 0,125 [CV]</t>
  </si>
  <si>
    <t xml:space="preserve"> Staničení: 0,82305 - 0,82354: 0,125105843512415 (2_7VoXjDm$k00000000ZKL) = 0,125 [CW]</t>
  </si>
  <si>
    <t xml:space="preserve"> Staničení: 0,8071 - 0,8076: 0,125086002217769 (2_7VoXjDm$k00000000ZHL) = 0,125 [CX]</t>
  </si>
  <si>
    <t xml:space="preserve"> Staničení: 0,83901 - 0,83951: 0,125117773079569 (2_7VoXjDm$k00000000ZNL) = 0,125 [CY]</t>
  </si>
  <si>
    <t xml:space="preserve"> Staničení: 0,80522 - 0,80573: 0,125094706672262 (2_7VoXjDm$k00000000ZQL) = 0,125 [CZ]</t>
  </si>
  <si>
    <t xml:space="preserve"> Staničení: 0,83731 - 0,83782: 0,125116678825834 (2_7VoXjDm$k00000000ZWL) = 0,125 [DA]</t>
  </si>
  <si>
    <t xml:space="preserve"> Staničení: 0,82128 - 0,82178: 0,125105293208108 (2_7VoXjDm$k00000000ZTL) = 0,125 [DB]</t>
  </si>
  <si>
    <t xml:space="preserve"> Staničení: 0,79315 - 0,79719: 1,0049770350178 (2_7VoXjDm$k00000000Y95) = 1,005 [DC]</t>
  </si>
  <si>
    <t xml:space="preserve"> Staničení: 0,85495 - 0,85699: 0,375392967722612 (2_7VoXjDm$k00000000Z2L) = 0,375 [DD]</t>
  </si>
  <si>
    <t xml:space="preserve"> Staničení: 0,78534 - 0,78685: 0,375248804683723 (2_7VoXjDm$k00000000Z5L) = 0,375 [DE]</t>
  </si>
  <si>
    <t xml:space="preserve"> Staničení: 0,89984 - 0,90034: 0,125163839437913 (2_7VoXjDm$k00000000Z8L) = 0,125 [DF]</t>
  </si>
  <si>
    <t xml:space="preserve"> Staničení: 0,98637 - 0,99637: 1,25124830377782 (2_7VoXjDm$k00000000YaL) = 1,251 [DG]</t>
  </si>
  <si>
    <t xml:space="preserve"> Staničení: 0,93637 - 0,94637: 1,25124830377789 (2_7VoXjDm$k00000000YdL) = 1,251 [DH]</t>
  </si>
  <si>
    <t xml:space="preserve"> Staničení: 0,61036 - 0,62086: 1,31466838606005 (2_7VoXjDm$k00000000YjL) = 1,315 [DI]</t>
  </si>
  <si>
    <t xml:space="preserve"> Staničení: 0,88484 - 0,88534: 0,125156830433637 (2_7VoXjDm$k00000000ZB9) = 0,125 [DJ]</t>
  </si>
  <si>
    <t xml:space="preserve"> Staničení: 0,44686 - 0,45686: 1,25280231055573 (2_7VoXjDm$k00000000YmL) = 1,253 [DK]</t>
  </si>
  <si>
    <t xml:space="preserve"> Staničení: 1,122 - 1,132: 2,50298079634598 (2_7VoXjDm$k00000000YsL) = 2,503 [DL]</t>
  </si>
  <si>
    <t xml:space="preserve"> Staničení: 0,86884 - 0,86934: 0,12514233750644 (2_7VoXjDm$k00000000ZE9) = 0,125 [DM]</t>
  </si>
  <si>
    <t xml:space="preserve"> Staničení: 0,962 - 0,972: 2,50327678882147 (2_7VoXjDm$k00000000YpL) = 2,503 [DN]</t>
  </si>
  <si>
    <t xml:space="preserve"> Staničení: 1,05637 - 1,06637: 1,25132712784864 (2_7VoXjDm$k00000000Ybf) = 1,251 [DO]</t>
  </si>
  <si>
    <t xml:space="preserve"> Staničení: 0,82205 - 0,82255: 0,125105133767106 (2_7VoXjDm$k00000000ZK9) = 0,125 [DP]</t>
  </si>
  <si>
    <t xml:space="preserve"> Staničení: 0,87566 - 0,87616: 0,125148216226888 (2_7VoXjDm$k00000000YvL) = 0,125 [DQ]</t>
  </si>
  <si>
    <t xml:space="preserve"> Staničení: 0,8061 - 0,8066: 0,125083449918652 (2_7VoXjDm$k00000000ZH9) = 0,125 [DR]</t>
  </si>
  <si>
    <t xml:space="preserve"> Staničení: 0,86637 - 0,87637: 1,25105268256487 (2_7VoXjDm$k00000000Yef) = 1,251 [DS]</t>
  </si>
  <si>
    <t xml:space="preserve"> Staničení: 0,83802 - 0,83851: 0,125116996450974 (2_7VoXjDm$k00000000ZN9) = 0,125 [DT]</t>
  </si>
  <si>
    <t xml:space="preserve"> Staničení: 0,89166 - 0,89216: 0,125163013344803 (2_7VoXjDm$k00000000YyL) = 0,125 [DU]</t>
  </si>
  <si>
    <t xml:space="preserve"> Staničení: 0,53736 - 0,54786: 1,31490994731893 (2_7VoXjDm$k00000000Ykf) = 1,315 [DV]</t>
  </si>
  <si>
    <t xml:space="preserve"> Staničení: 0,70436 - 0,71487: 1,31491977919561 (2_7VoXjDm$k00000000Yhf) = 1,315 [DW]</t>
  </si>
  <si>
    <t xml:space="preserve"> Staničení: 0,80422 - 0,80472: 0,125094074698767 (2_7VoXjDm$k00000000ZQ9) = 0,125 [DX]</t>
  </si>
  <si>
    <t xml:space="preserve"> Staničení: 0,68418 - 0,69409: 2,5044685456573 (2_7VoXjDm$k00000000YQZ) = 2,504 [DY]</t>
  </si>
  <si>
    <t xml:space="preserve"> Staničení: 0,37686 - 0,38686: 1,25155657040199 (2_7VoXjDm$k00000000Ynf) = 1,252 [DZ]</t>
  </si>
  <si>
    <t xml:space="preserve"> Staničení: 0,83631 - 0,83681: 0,125115979572451 (2_7VoXjDm$k00000000ZW9) = 0,125 [EA]</t>
  </si>
  <si>
    <t xml:space="preserve"> Staničení: 0,14277 - 0,15277: 1,25054744681541 (2_7VoXjDm$k00000000YWZ) = 1,251 [EB]</t>
  </si>
  <si>
    <t xml:space="preserve"> Staničení: 1,02334 - 1,03334: 2,50330483649756 (2_7VoXjDm$k00000000YBL) = 2,503 [EC]</t>
  </si>
  <si>
    <t xml:space="preserve"> Staničení: 0,82028 - 0,82078: 0,125104606692533 (2_7VoXjDm$k00000000ZT9) = 0,125 [ED]</t>
  </si>
  <si>
    <t xml:space="preserve"> Staničení: 0,30277 - 0,31277: 1,25184712666438 (2_7VoXjDm$k00000000YTZ) = 1,252 [EE]</t>
  </si>
  <si>
    <t xml:space="preserve"> Staničení: 1,032 - 1,042: 2,50333850700309 (2_7VoXjDm$k00000000Yqf) = 2,503 [EF]</t>
  </si>
  <si>
    <t xml:space="preserve"> Staničení: 0,88266 - 0,88316: 0,125154606666593 (2_7VoXjDm$k00000000Ywf) = 0,125 [EG]</t>
  </si>
  <si>
    <t xml:space="preserve"> Staničení: 0,86666 - 0,86716: 0,125140154793824 (2_7VoXjDm$k00000000Ytf) = 0,125 [EH]</t>
  </si>
  <si>
    <t xml:space="preserve"> Staničení: 0,89866 - 0,89916: 0,125163839467109 (2_7VoXjDm$k00000000Yzf) = 0,125 [EI]</t>
  </si>
  <si>
    <t xml:space="preserve"> Staničení: 1,09334 - 1,10334: 2,50352514088724 (2_7VoXjDm$k00000000YCf) = 2,504 [EJ]</t>
  </si>
  <si>
    <t xml:space="preserve"> Staničení: 0,85309 - 0,85505: 0,359731648635328 (2_7VoXjDm$k00000000Z29) = 0,360 [EK]</t>
  </si>
  <si>
    <t xml:space="preserve"> Staničení: 0,78233 - 0,78383: 0,375243719679889 (2_7VoXjDm$k00000000Z59) = 0,375 [EL]</t>
  </si>
  <si>
    <t xml:space="preserve"> Staničení: 0,90766 - 0,90816: 0,125163839442861 (2_7VoXjDm$k00000000Y$L) = 0,125 [EM]</t>
  </si>
  <si>
    <t xml:space="preserve"> Staničení: 0,90084 - 0,90134: 0,125163839466982 (2_7VoXjDm$k00000000Z89) = 0,125 [EN]</t>
  </si>
  <si>
    <t xml:space="preserve"> Staničení: 0,99637 - 1,00637: 1,25124830377786 (2_7VoXjDm$k00000000YaX) = 1,251 [EO]</t>
  </si>
  <si>
    <t xml:space="preserve"> Staničení: 0,77336 - 0,78329: 2,50166098656419 (2_7VoXjDm$k00000000YSF) = 2,502 [EP]</t>
  </si>
  <si>
    <t xml:space="preserve"> Staničení: 0,92637 - 0,93637: 1,25124830377783 (2_7VoXjDm$k00000000YdX) = 1,251 [EQ]</t>
  </si>
  <si>
    <t xml:space="preserve"> Staničení: 0,72141 - 0,7315: 2,5046763792808 (2_7VoXjDm$k00000000Y8L) = 2,505 [ER]</t>
  </si>
  <si>
    <t xml:space="preserve"> Staničení: 62,84832 - 62,85832: 1,25032125183429 (2_7VoXjDm$k00000000Zoq) = 1,250 [ES]</t>
  </si>
  <si>
    <t xml:space="preserve"> Staničení: 0,59986 - 0,61036: 1,31475585358863 (2_7VoXjDm$k00000000YjX) = 1,315 [ET]</t>
  </si>
  <si>
    <t xml:space="preserve"> Staničení: 0,21277 - 0,22277: 1,25084118758768 (2_7VoXjDm$k00000000YVF) = 1,251 [EU]</t>
  </si>
  <si>
    <t xml:space="preserve"> Staničení: 0,43686 - 0,44686: 1,25231216982221 (2_7VoXjDm$k00000000YmX) = 1,252 [EV]</t>
  </si>
  <si>
    <t xml:space="preserve"> Staničení: 0,85957 - 0,86077: 1,43746311094609 (2_7VoXjDm$k00000000Xw3) = 1,437 [EW]</t>
  </si>
  <si>
    <t xml:space="preserve"> Staničení: 0,05277 - 0,06277: 1,25015833646913 (2_7VoXjDm$k00000000YYF) = 1,250 [EX]</t>
  </si>
  <si>
    <t xml:space="preserve"> Staničení: 1,132 - 1,142: 2,50298079634611 (2_7VoXjDm$k00000000YsX) = 2,503 [EY]</t>
  </si>
  <si>
    <t xml:space="preserve"> Staničení: 0,85055 - 0,85067: 0,322007148961518 (2_7VoXjDm$k00000000Xt3) = 0,322 [EZ]</t>
  </si>
  <si>
    <t xml:space="preserve"> Staničení: 0,972 - 0,982: 2,5032767888213 (2_7VoXjDm$k00000000YpX) = 2,503 [FA]</t>
  </si>
  <si>
    <t xml:space="preserve"> Staničení: 1,06637 - 1,07637: 1,25134703273081 (2_7VoXjDm$k00000000Ybr) = 1,251 [FB]</t>
  </si>
  <si>
    <t xml:space="preserve"> Staničení: 0,87666 - 0,87716: 0,125149118029934 (2_7VoXjDm$k00000000YvX) = 0,125 [FC]</t>
  </si>
  <si>
    <t xml:space="preserve"> Staničení: 0,85637 - 0,86637: 1,25096625590939 (2_7VoXjDm$k00000000Yer) = 1,251 [FD]</t>
  </si>
  <si>
    <t xml:space="preserve"> Staničení: 0,93334 - 0,94334: 2,50327678882187 (2_7VoXjDm$k00000000Y9f) = 2,503 [FE]</t>
  </si>
  <si>
    <t xml:space="preserve"> Staničení: 0,89266 - 0,89316: 0,125163839437888 (2_7VoXjDm$k00000000YyX) = 0,125 [FF]</t>
  </si>
  <si>
    <t xml:space="preserve"> Staničení: 0,70399 - 0,7139: 2,50456235697652 (2_7VoXjDm$k00000000YQx) = 2,505 [FG]</t>
  </si>
  <si>
    <t xml:space="preserve"> Staničení: 0,52736 - 0,53736: 1,25239438359849 (2_7VoXjDm$k00000000Ykr) = 1,252 [FH]</t>
  </si>
  <si>
    <t xml:space="preserve"> Staničení: 0,12277 - 0,13277: 1,25056531814044 (2_7VoXjDm$k00000000YWx) = 1,251 [FI]</t>
  </si>
  <si>
    <t xml:space="preserve"> Staničení: 0,69386 - 0,70437: 1,31482790495713 (2_7VoXjDm$k00000000Yhr) = 1,315 [FJ]</t>
  </si>
  <si>
    <t xml:space="preserve"> Staničení: 0,28277 - 0,29277: 1,25165515605805 (2_7VoXjDm$k00000000YTx) = 1,252 [FK]</t>
  </si>
  <si>
    <t xml:space="preserve"> Staničení: 0,36686 - 0,37686: 1,2518235889265 (2_7VoXjDm$k00000000Ynr) = 1,252 [FL]</t>
  </si>
  <si>
    <t xml:space="preserve"> Staničení: 1,03334 - 1,04334: 2,50334373045215 (2_7VoXjDm$k00000000YBX) = 2,503 [FM]</t>
  </si>
  <si>
    <t xml:space="preserve"> Staničení: 1,042 - 1,052: 2,50337761257741 (2_7VoXjDm$k00000000Yqr) = 2,503 [FN]</t>
  </si>
  <si>
    <t xml:space="preserve"> Staničení: 0,88366 - 0,88416: 0,125155529751061 (2_7VoXjDm$k00000000Ywr) = 0,125 [FO]</t>
  </si>
  <si>
    <t xml:space="preserve"> Staničení: 0,86766 - 0,86816: 0,125141190878998 (2_7VoXjDm$k00000000Ytr) = 0,125 [FP]</t>
  </si>
  <si>
    <t xml:space="preserve"> Staničení: 0,89966 - 0,90016: 0,125163839437906 (2_7VoXjDm$k00000000Yzr) = 0,125 [FQ]</t>
  </si>
  <si>
    <t xml:space="preserve"> Staničení: 1,10334 - 1,11334: 2,5032473010295 (2_7VoXjDm$k00000000YCr) = 2,503 [FR]</t>
  </si>
  <si>
    <t xml:space="preserve"> Staničení: 0,13107 - 0,13123: 0,500132180470111 (2_7VoXjDm$k00000000ZZq) = 0,500 [FS]</t>
  </si>
  <si>
    <t xml:space="preserve"> Staničení: 1,08637 - 1,09637: 1,25138605432359 (2_7VoXjDm$k00000000YcD) = 1,251 [FT]</t>
  </si>
  <si>
    <t xml:space="preserve"> Staničení: 0,83637 - 0,84637: 1,25080086726344 (2_7VoXjDm$k00000000YfD) = 1,251 [FU]</t>
  </si>
  <si>
    <t xml:space="preserve"> Staničení: 0,67286 - 0,68337: 1,31464946885397 (2_7VoXjDm$k00000000YiD) = 1,315 [FV]</t>
  </si>
  <si>
    <t xml:space="preserve"> Staničení: 0,90866 - 0,90916: 0,125163839467002 (2_7VoXjDm$k00000000Y$X) = 0,125 [FW]</t>
  </si>
  <si>
    <t xml:space="preserve"> Staničení: 0,35277 - 0,35686: 0,511897419453268 (2_7VoXjDm$k00000000YoD) = 0,512 [FX]</t>
  </si>
  <si>
    <t xml:space="preserve"> Staničení: 0,89084 - 0,89134: 0,125162480880098 (2_7VoXjDm$k00000000ZA1) = 0,125 [FY]</t>
  </si>
  <si>
    <t xml:space="preserve"> Staničení: 0,50686 - 0,51686: 1,25242231583654 (2_7VoXjDm$k00000000YlD) = 1,252 [FZ]</t>
  </si>
  <si>
    <t xml:space="preserve"> Staničení: 0,80013 - 0,80063: 0,125070908943203 (2_7VoXjDm$k00000000ZG1) = 0,125 [GA]</t>
  </si>
  <si>
    <t xml:space="preserve"> Staničení: 1,062 - 1,072: 2,50345671154763 (2_7VoXjDm$k00000000YrD) = 2,503 [GB]</t>
  </si>
  <si>
    <t xml:space="preserve"> Staničení: 0,87484 - 0,87534: 0,125147644824705 (2_7VoXjDm$k00000000ZD1) = 0,125 [GC]</t>
  </si>
  <si>
    <t xml:space="preserve"> Staničení: 0,81607 - 0,81656: 0,125117237999979 (2_7VoXjDm$k00000000ZJ1) = 0,125 [GD]</t>
  </si>
  <si>
    <t xml:space="preserve"> Staničení: 0,86966 - 0,87016: 0,125142883402222 (2_7VoXjDm$k00000000YuD) = 0,125 [GE]</t>
  </si>
  <si>
    <t xml:space="preserve"> Staničení: 0,79324 - 0,79715: 0,983174286794423 (2_7VoXjDm$k00000000YSd) = 0,983 [GF]</t>
  </si>
  <si>
    <t xml:space="preserve"> Staničení: 62,82832 - 62,83832: 1,2502448643876 (2_7VoXjDm$k00000000ZoS) = 1,250 [GG]</t>
  </si>
  <si>
    <t xml:space="preserve"> Staničení: 0,83203 - 0,83252: 0,125112420741454 (2_7VoXjDm$k00000000ZM1) = 0,125 [GH]</t>
  </si>
  <si>
    <t xml:space="preserve"> Staničení: 0,88566 - 0,88616: 0,125157400994881 (2_7VoXjDm$k00000000YxD) = 0,125 [GI]</t>
  </si>
  <si>
    <t xml:space="preserve"> Staničení: 0,81426 - 0,81476: 0,125100559058793 (2_7VoXjDm$k00000000ZS1) = 0,125 [GJ]</t>
  </si>
  <si>
    <t xml:space="preserve"> Staničení: 0,78329 - 0,79324: 2,50129798118494 (2_7VoXjDm$k00000000YSR) = 2,501 [GK]</t>
  </si>
  <si>
    <t xml:space="preserve"> Staničení: 0,19277 - 0,20277: 1,2506944979137 (2_7VoXjDm$k00000000YVd) = 1,251 [GL]</t>
  </si>
  <si>
    <t xml:space="preserve"> Staničení: 0,7315 - 0,7416: 2,50475092964116 (2_7VoXjDm$k00000000Y8X) = 2,505 [GM]</t>
  </si>
  <si>
    <t xml:space="preserve"> Staničení: 0,79819 - 0,79869: 0,125090220521576 (2_7VoXjDm$k00000000ZP1) = 0,125 [GN]</t>
  </si>
  <si>
    <t xml:space="preserve"> Staničení: 0,8303 - 0,8308: 0,125111625938579 (2_7VoXjDm$k00000000ZV1) = 0,125 [GO]</t>
  </si>
  <si>
    <t xml:space="preserve"> Staničení: 0,96334 - 0,97334: 2,50327678882226 (2_7VoXjDm$k00000000YAD) = 2,503 [GP]</t>
  </si>
  <si>
    <t xml:space="preserve"> Staničení: 0,20277 - 0,21277: 1,25079713216307 (2_7VoXjDm$k00000000YVR) = 1,251 [GQ]</t>
  </si>
  <si>
    <t xml:space="preserve"> Staničení: 0,03277 - 0,04277: 1,25002036551798 (2_7VoXjDm$k00000000YYd) = 1,250 [GR]</t>
  </si>
  <si>
    <t xml:space="preserve"> Staničení: 0,84632 - 0,8465: 0,0433883221677075 (2_7VoXjDm$k00000000ZY1) = 0,043 [GS]</t>
  </si>
  <si>
    <t xml:space="preserve"> Staničení: 1,12334 - 1,13334: 2,50298079634557 (2_7VoXjDm$k00000000YDD) = 2,503 [GT]</t>
  </si>
  <si>
    <t xml:space="preserve"> Staničení: 0,04277 - 0,05277: 1,25006084220142 (2_7VoXjDm$k00000000YYR) = 1,250 [GU]</t>
  </si>
  <si>
    <t xml:space="preserve"> Staničení: 0,94334 - 0,95334: 2,5032767888211 (2_7VoXjDm$k00000000Y9r) = 2,503 [GV]</t>
  </si>
  <si>
    <t xml:space="preserve"> Staničení: 0,90166 - 0,90216: 0,12516383943798 (2_7VoXjDm$k00000000Y_D) = 0,125 [GW]</t>
  </si>
  <si>
    <t xml:space="preserve"> Staničení: 0,84894 - 0,84907: 0,33624928490308 (2_7VoXjDm$k00000000Z11) = 0,336 [GX]</t>
  </si>
  <si>
    <t xml:space="preserve"> Staničení: 0,90684 - 0,90734: 0,125163839437888 (2_7VoXjDm$k00000000Z71) = 0,125 [GY]</t>
  </si>
  <si>
    <t xml:space="preserve"> Staničení: 0,76419 - 0,76571: 0,375340984967897 (2_7VoXjDm$k00000000Z41) = 0,375 [GZ]</t>
  </si>
  <si>
    <t xml:space="preserve"> Staničení: 62,78832 - 62,79832: 1,25008788063722 (2_7VoXjDm$k00000000Zni) = 1,250 [HA]</t>
  </si>
  <si>
    <t xml:space="preserve"> Staničení: 0,12857 - 0,12873: 0,500132180472055 (2_7VoXjDm$k00000000ZZS) = 0,500 [HB]</t>
  </si>
  <si>
    <t xml:space="preserve"> Staničení: 0,75637 - 0,76116: 0,600454797231611 (2_7VoXjDm$k00000000ejZ) = 0,600 [HC]</t>
  </si>
  <si>
    <t xml:space="preserve"> Staničení: 62,76832 - 62,77832: 1,25004599641386 (2_7VoXjDm$k00000000ZnK) = 1,250 [HD]</t>
  </si>
  <si>
    <t xml:space="preserve"> Staničení: 62,80832 - 62,81832: 1,25014838108246 (2_7VoXjDm$k00000000Zo4) = 1,250 [HE]</t>
  </si>
  <si>
    <t xml:space="preserve"> Staničení: 0,85958 - 0,8608: 0,393593810532786 (2_7VoXjDm$k00000000Xsh) = 0,394 [HF]</t>
  </si>
  <si>
    <t xml:space="preserve"> Staničení: 0,85973 - 0,86077: 0,425951770880288 (2_7VoXjDm$k00000000Xvh) = 0,426 [HG]</t>
  </si>
  <si>
    <t xml:space="preserve"> Staničení: 0,84898 - 0,85899: 1,25129486038711 (2_7VoXjDm$k00000000XuB) = 1,251 [HH]</t>
  </si>
  <si>
    <t xml:space="preserve"> Staničení: 0,88084 - 0,88134: 0,125153097095456 (2_7VoXjDm$k00000000ZBv) = 0,125 [HI]</t>
  </si>
  <si>
    <t xml:space="preserve"> Staničení: 0,86484 - 0,86534: 0,125138773455402 (2_7VoXjDm$k00000000ZEv) = 0,125 [HJ]</t>
  </si>
  <si>
    <t xml:space="preserve"> Staničení: 0,82604 - 0,82654: 0,125107988865443 (2_7VoXjDm$k00000000ZKv) = 0,125 [HK]</t>
  </si>
  <si>
    <t xml:space="preserve"> Staničení: 0,81009 - 0,81059: 0,125094706881087 (2_7VoXjDm$k00000000ZHv) = 0,125 [HL]</t>
  </si>
  <si>
    <t xml:space="preserve"> Staničení: 0,84201 - 0,84251: 0,125120127222119 (2_7VoXjDm$k00000000ZNv) = 0,125 [HM]</t>
  </si>
  <si>
    <t xml:space="preserve"> Staničení: 0,80824 - 0,80874: 0,125096621010448 (2_7VoXjDm$k00000000ZQv) = 0,125 [HN]</t>
  </si>
  <si>
    <t xml:space="preserve"> Staničení: 0,84032 - 0,84082: 0,125118976747845 (2_7VoXjDm$k00000000ZWv) = 0,125 [HO]</t>
  </si>
  <si>
    <t xml:space="preserve"> Staničení: 0,82429 - 0,82479: 0,125107282036588 (2_7VoXjDm$k00000000ZTv) = 0,125 [HP]</t>
  </si>
  <si>
    <t xml:space="preserve"> Staničení: 0,84892 - 0,84905: 0,336249533491808 (2_7VoXjDm$k00000000Xst) = 0,336 [HQ]</t>
  </si>
  <si>
    <t xml:space="preserve"> Staničení: 0,85899 - 0,86099: 0,250268857345918 (2_7VoXjDm$k00000000XuN) = 0,250 [HR]</t>
  </si>
  <si>
    <t xml:space="preserve"> Staničení: 0,85956 - 0,86078: 0,39359381066098 (2_7VoXjDm$k00000000Xvt) = 0,394 [HS]</t>
  </si>
  <si>
    <t xml:space="preserve"> Staničení: 0,85747 - 0,85943: 0,360073060863442 (2_7VoXjDm$k00000000Z2v) = 0,360 [HT]</t>
  </si>
  <si>
    <t xml:space="preserve"> Staničení: 0,91284 - 0,91334: 0,125163839437917 (2_7VoXjDm$k00000000Z5v) = 0,125 [HU]</t>
  </si>
  <si>
    <t xml:space="preserve"> Staničení: 0,89684 - 0,89734: 0,125163839437923 (2_7VoXjDm$k00000000Z8v) = 0,125 [HV]</t>
  </si>
  <si>
    <t xml:space="preserve"> Staničení: 0,88784 - 0,88834: 0,125159626481834 (2_7VoXjDm$k00000000ZAb) = 0,125 [HW]</t>
  </si>
  <si>
    <t xml:space="preserve"> Staničení: 0,80312 - 0,80361: 0,125076872108661 (2_7VoXjDm$k00000000ZGb) = 0,125 [HX]</t>
  </si>
  <si>
    <t xml:space="preserve"> Staničení: 0,87184 - 0,87234: 0,125144959915131 (2_7VoXjDm$k00000000ZDb) = 0,125 [HY]</t>
  </si>
  <si>
    <t xml:space="preserve"> Staničení: 0,81906 - 0,81956: 0,125103017937658 (2_7VoXjDm$k00000000ZJb) = 0,125 [HZ]</t>
  </si>
  <si>
    <t xml:space="preserve"> Staničení: 0,83502 - 0,83552: 0,125114690619807 (2_7VoXjDm$k00000000ZMb) = 0,125 [IA]</t>
  </si>
  <si>
    <t xml:space="preserve"> Staničení: 0,81727 - 0,81777: 0,125102452296622 (2_7VoXjDm$k00000000ZSb) = 0,125 [IB]</t>
  </si>
  <si>
    <t xml:space="preserve"> Staničení: 0,80121 - 0,80171: 0,125092178691889 (2_7VoXjDm$k00000000ZPb) = 0,125 [IC]</t>
  </si>
  <si>
    <t xml:space="preserve"> Staničení: 0,88284 - 0,88334: 0,125154944004213 (2_7VoXjDm$k00000000ZBX) = 0,125 [ID]</t>
  </si>
  <si>
    <t xml:space="preserve"> Staničení: 0,83331 - 0,83381: 0,125113777413075 (2_7VoXjDm$k00000000ZVb) = 0,125 [IE]</t>
  </si>
  <si>
    <t xml:space="preserve"> Staničení: 0,86684 - 0,86734: 0,125140471118799 (2_7VoXjDm$k00000000ZEX) = 0,125 [IF]</t>
  </si>
  <si>
    <t xml:space="preserve"> Staničení: 0,82404 - 0,82454: 0,125106543392842 (2_7VoXjDm$k00000000ZKX) = 0,125 [IG]</t>
  </si>
  <si>
    <t xml:space="preserve"> Staničení: 0,8081 - 0,80859: 0,125088531243448 (2_7VoXjDm$k00000000ZHX) = 0,125 [IH]</t>
  </si>
  <si>
    <t xml:space="preserve"> Staničení: 0,84001 - 0,84051: 0,125118550782881 (2_7VoXjDm$k00000000ZNX) = 0,125 [II]</t>
  </si>
  <si>
    <t xml:space="preserve"> Staničení: 0,80623 - 0,80673: 0,125095356985348 (2_7VoXjDm$k00000000ZQX) = 0,125 [IJ]</t>
  </si>
  <si>
    <t xml:space="preserve"> Staničení: 0,83832 - 0,83882: 0,125117464675187 (2_7VoXjDm$k00000000ZWX) = 0,125 [IK]</t>
  </si>
  <si>
    <t xml:space="preserve"> Staničení: 0,82228 - 0,82278: 0,125105983018221 (2_7VoXjDm$k00000000ZTX) = 0,125 [IL]</t>
  </si>
  <si>
    <t xml:space="preserve"> Staničení: 0,85058 - 0,85262: 0,375382259981272 (2_7VoXjDm$k00000000Z1b) = 0,375 [IM]</t>
  </si>
  <si>
    <t xml:space="preserve"> Staničení: 0,78066 - 0,78367: 0,375177391109797 (2_7VoXjDm$k00000000ek7) = 0,375 [IN]</t>
  </si>
  <si>
    <t xml:space="preserve"> Staničení: 0,76716 - 0,77017: 0,375314370061714 (2_7VoXjDm$k00000000ej7) = 0,375 [IO]</t>
  </si>
  <si>
    <t xml:space="preserve"> Staničení: 0,90384 - 0,90434: 0,125163839437984 (2_7VoXjDm$k00000000Z7b) = 0,125 [IP]</t>
  </si>
  <si>
    <t xml:space="preserve"> Staničení: 0,77326 - 0,77477: 0,375212853367537 (2_7VoXjDm$k00000000Z4b) = 0,375 [IQ]</t>
  </si>
  <si>
    <t xml:space="preserve"> Staničení: 0,88684 - 0,88734: 0,125158682578155 (2_7VoXjDm$k00000000ZAn) = 0,125 [IR]</t>
  </si>
  <si>
    <t xml:space="preserve"> Staničení: 0,80411 - 0,80461: 0,125078865248456 (2_7VoXjDm$k00000000ZGn) = 0,125 [IS]</t>
  </si>
  <si>
    <t xml:space="preserve"> Staničení: 0,87084 - 0,87134: 0,1251440839389 (2_7VoXjDm$k00000000ZDn) = 0,125 [IT]</t>
  </si>
  <si>
    <t xml:space="preserve"> Staničení: 0,8569 - 0,85724: 0,0726222449263184 (2_7VoXjDm$k00000000Z2X) = 0,073 [IU]</t>
  </si>
  <si>
    <t xml:space="preserve"> Staničení: 0,82005 - 0,82055: 0,125103719281509 (2_7VoXjDm$k00000000ZJn) = 0,125 [IV]</t>
  </si>
  <si>
    <t xml:space="preserve"> Staničení: 0,78836 - 0,78987: 0,375253983166116 (2_7VoXjDm$k00000000Z5X) = 0,375 [IW]</t>
  </si>
  <si>
    <t xml:space="preserve"> Staničení: 0,83602 - 0,83652: 0,125115455247152 (2_7VoXjDm$k00000000ZMn) = 0,125 [IX]</t>
  </si>
  <si>
    <t xml:space="preserve"> Staničení: 0,81827 - 0,81877: 0,12510320073047 (2_7VoXjDm$k00000000ZSn) = 0,125 [IY]</t>
  </si>
  <si>
    <t xml:space="preserve"> Staničení: 0,89884 - 0,89934: 0,125163839442944 (2_7VoXjDm$k00000000Z8X) = 0,125 [IZ]</t>
  </si>
  <si>
    <t xml:space="preserve"> Staničení: 0,80221 - 0,80271: 0,125092700623287 (2_7VoXjDm$k00000000ZPn) = 0,125 [JA]</t>
  </si>
  <si>
    <t xml:space="preserve"> Staničení: 0,83431 - 0,83481: 0,125114508050614 (2_7VoXjDm$k00000000ZVn) = 0,125 [JB]</t>
  </si>
  <si>
    <t xml:space="preserve"> Staničení: 0,88984 - 0,89034: 0,125161523500651 (2_7VoXjDm$k00000000ZAD) = 0,125 [JC]</t>
  </si>
  <si>
    <t xml:space="preserve"> Staničení: 0,80113 - 0,80162: 0,125073617634615 (2_7VoXjDm$k00000000ZGD) = 0,125 [JD]</t>
  </si>
  <si>
    <t xml:space="preserve"> Staničení: 0,87384 - 0,87434: 0,12514674907938 (2_7VoXjDm$k00000000ZDD) = 0,125 [JE]</t>
  </si>
  <si>
    <t xml:space="preserve"> Staničení: 0,81706 - 0,81756: 0,125118843079663 (2_7VoXjDm$k00000000ZJD) = 0,125 [JF]</t>
  </si>
  <si>
    <t xml:space="preserve"> Staničení: 0,97637 - 0,98637: 1,2512483037779 (2_7VoXjDm$k00000000Ya9) = 1,251 [JG]</t>
  </si>
  <si>
    <t xml:space="preserve"> Staničení: 0,83302 - 0,83352: 0,125113173396691 (2_7VoXjDm$k00000000ZMD) = 0,125 [JH]</t>
  </si>
  <si>
    <t xml:space="preserve"> Staničení: 0,81526 - 0,81576: 0,125101208825586 (2_7VoXjDm$k00000000ZSD) = 0,125 [JI]</t>
  </si>
  <si>
    <t xml:space="preserve"> Staničení: 1,13637 - 1,14: 0,454301249397316 (2_7VoXjDm$k00000000Yd9) = 0,454 [JJ]</t>
  </si>
  <si>
    <t xml:space="preserve"> Staničení: 0,7992 - 0,7997: 0,125090792196897 (2_7VoXjDm$k00000000ZPD) = 0,125 [JK]</t>
  </si>
  <si>
    <t xml:space="preserve"> Staničení: 0,62086 - 0,63136: 1,31457378041752 (2_7VoXjDm$k00000000Yj9) = 1,315 [JL]</t>
  </si>
  <si>
    <t xml:space="preserve"> Staničení: 0,8313 - 0,83181: 0,125112326319951 (2_7VoXjDm$k00000000ZVD) = 0,125 [JM]</t>
  </si>
  <si>
    <t xml:space="preserve"> Staničení: 0,45686 - 0,46686: 1,2527109634401 (2_7VoXjDm$k00000000Ym9) = 1,253 [JN]</t>
  </si>
  <si>
    <t xml:space="preserve"> Staničení: 1,112 - 1,122: 2,50301808640021 (2_7VoXjDm$k00000000Ys9) = 2,503 [JO]</t>
  </si>
  <si>
    <t xml:space="preserve"> Staničení: 0,952 - 0,962: 2,5032767888218 (2_7VoXjDm$k00000000Yp9) = 2,503 [JP]</t>
  </si>
  <si>
    <t xml:space="preserve"> Staničení: 0,85253 - 0,85286: 0,0480189324118483 (2_7VoXjDm$k00000000Z1n) = 0,048 [JQ]</t>
  </si>
  <si>
    <t xml:space="preserve"> Staničení: 0,87466 - 0,87516: 0,12514731830668 (2_7VoXjDm$k00000000Yv9) = 0,125 [JR]</t>
  </si>
  <si>
    <t xml:space="preserve"> Staničení: 0,90284 - 0,90334: 0,125163839437962 (2_7VoXjDm$k00000000Z7n) = 0,125 [JS]</t>
  </si>
  <si>
    <t xml:space="preserve"> Staničení: 0,77629 - 0,7778: 0,375230274988457 (2_7VoXjDm$k00000000Z4n) = 0,375 [JT]</t>
  </si>
  <si>
    <t xml:space="preserve"> Staničení: 0,89066 - 0,89116: 0,125162133284397 (2_7VoXjDm$k00000000Yy9) = 0,125 [JU]</t>
  </si>
  <si>
    <t xml:space="preserve"> Staničení: 1,01334 - 1,02334: 2,50327782614962 (2_7VoXjDm$k00000000YB9) = 2,503 [JV]</t>
  </si>
  <si>
    <t xml:space="preserve"> Staničení: 0,90584 - 0,90634: 0,125163839467014 (2_7VoXjDm$k00000000Z7D) = 0,125 [JW]</t>
  </si>
  <si>
    <t xml:space="preserve"> Staničení: 0,76722 - 0,76873: 0,375289973568242 (2_7VoXjDm$k00000000Z4D) = 0,375 [JX]</t>
  </si>
  <si>
    <t xml:space="preserve"> Staničení: 0,90666 - 0,90716: 0,125163839437906 (2_7VoXjDm$k00000000Y$9) = 0,125 [JY]</t>
  </si>
  <si>
    <t xml:space="preserve"> Staničení: 0,71131 - 0,72141: 2,50460899791294 (2_7VoXjDm$k00000000Y89) = 2,505 [JZ]</t>
  </si>
  <si>
    <t xml:space="preserve"> Staničení: 1,00637 - 1,01637: 1,25124830377909 (2_7VoXjDm$k00000000Yaj) = 1,251 [KA]</t>
  </si>
  <si>
    <t xml:space="preserve"> Staničení: 1,09637 - 1,10637: 1,25134163761487 (2_7VoXjDm$k00000000YcP) = 1,251 [KB]</t>
  </si>
  <si>
    <t xml:space="preserve"> Staničení: 0,91637 - 0,92637: 1,25124830377786 (2_7VoXjDm$k00000000Ydj) = 1,251 [KC]</t>
  </si>
  <si>
    <t xml:space="preserve"> Staničení: 0,58936 - 0,59986: 1,31458815429062 (2_7VoXjDm$k00000000Yjj) = 1,315 [KD]</t>
  </si>
  <si>
    <t xml:space="preserve"> Staničení: 0,82637 - 0,83637: 1,25073706315115 (2_7VoXjDm$k00000000YfP) = 1,251 [KE]</t>
  </si>
  <si>
    <t xml:space="preserve"> Staničení: 0,42686 - 0,43686: 1,2516667176334 (2_7VoXjDm$k00000000Ymj) = 1,252 [KF]</t>
  </si>
  <si>
    <t xml:space="preserve"> Staničení: 0,66236 - 0,67286: 1,31479374837281 (2_7VoXjDm$k00000000YiP) = 1,315 [KG]</t>
  </si>
  <si>
    <t xml:space="preserve"> Staničení: 1,142 - 1,1445: 0,62428793460356 (2_7VoXjDm$k00000000Ysj) = 0,624 [KH]</t>
  </si>
  <si>
    <t xml:space="preserve"> Staničení: 0,912 - 0,922: 2,50327678882298 (2_7VoXjDm$k00000000YoP) = 2,503 [KI]</t>
  </si>
  <si>
    <t xml:space="preserve"> Staničení: 0,982 - 0,992: 2,50327678882102 (2_7VoXjDm$k00000000Ypj) = 2,503 [KJ]</t>
  </si>
  <si>
    <t xml:space="preserve"> Staničení: 0,49686 - 0,50686: 1,25246891741746 (2_7VoXjDm$k00000000YlP) = 1,252 [KK]</t>
  </si>
  <si>
    <t xml:space="preserve"> Staničení: 0,87766 - 0,87816: 0,12515002354113 (2_7VoXjDm$k00000000Yvj) = 0,125 [KL]</t>
  </si>
  <si>
    <t xml:space="preserve"> Staničení: 1,072 - 1,082: 2,50349670746905 (2_7VoXjDm$k00000000YrP) = 2,503 [KM]</t>
  </si>
  <si>
    <t xml:space="preserve"> Staničení: 0,89366 - 0,89416: 0,125163839438 (2_7VoXjDm$k00000000Yyj) = 0,125 [KN]</t>
  </si>
  <si>
    <t xml:space="preserve"> Staničení: 0,87066 - 0,87116: 0,125143762779132 (2_7VoXjDm$k00000000YuP) = 0,125 [KO]</t>
  </si>
  <si>
    <t xml:space="preserve"> Staničení: 0,34277 - 0,35277: 1,2518876563769 (2_7VoXjDm$k00000000YSp) = 1,252 [KP]</t>
  </si>
  <si>
    <t xml:space="preserve"> Staničení: 0,88666 - 0,88716: 0,125158340004305 (2_7VoXjDm$k00000000YxP) = 0,125 [KQ]</t>
  </si>
  <si>
    <t xml:space="preserve"> Staničení: 1,04334 - 1,05334: 2,50338290231515 (2_7VoXjDm$k00000000YBj) = 2,503 [KR]</t>
  </si>
  <si>
    <t xml:space="preserve"> Staničení: 0,18277 - 0,19277: 1,2506066058762 (2_7VoXjDm$k00000000YVp) = 1,251 [KS]</t>
  </si>
  <si>
    <t xml:space="preserve"> Staničení: 0,97334 - 0,98334: 2,50327678882217 (2_7VoXjDm$k00000000YAP) = 2,503 [KT]</t>
  </si>
  <si>
    <t xml:space="preserve"> Staničení: 0,02277 - 0,03277: 1,25001570653222 (2_7VoXjDm$k00000000YYp) = 1,250 [KU]</t>
  </si>
  <si>
    <t xml:space="preserve"> Staničení: 1,13334 - 1,14334: 2,50298079634552 (2_7VoXjDm$k00000000YDP) = 2,503 [KV]</t>
  </si>
  <si>
    <t xml:space="preserve"> Staničení: 0,90266 - 0,90316: 0,125163839442769 (2_7VoXjDm$k00000000Y_P) = 0,125 [KW]</t>
  </si>
  <si>
    <t xml:space="preserve"> Staničení: 0,90966 - 0,91016: 0,125163839437962 (2_7VoXjDm$k00000000Y$j) = 0,125 [KX]</t>
  </si>
  <si>
    <t xml:space="preserve"> Staničení: 0,7238 - 0,73371: 2,50468551291217 (2_7VoXjDm$k00000000YRJ) = 2,505 [KY]</t>
  </si>
  <si>
    <t xml:space="preserve"> Staničení: 62,79832 - 62,80832: 1,25011548969677 (2_7VoXjDm$k00000000Znu) = 1,250 [KZ]</t>
  </si>
  <si>
    <t xml:space="preserve"> Staničení: 0,26277 - 0,27277: 1,25136181514854 (2_7VoXjDm$k00000000YUJ) = 1,251 [LA]</t>
  </si>
  <si>
    <t xml:space="preserve"> Staničení: 0,84922 - 0,85042: 1,43746311105116 (2_7VoXjDm$k00000000Xv7) = 1,437 [LB]</t>
  </si>
  <si>
    <t xml:space="preserve"> Staničení: 0,10277 - 0,11277: 1,25057192977508 (2_7VoXjDm$k00000000YXJ) = 1,251 [LC]</t>
  </si>
  <si>
    <t xml:space="preserve"> Staničení: 1,01637 - 1,02637: 1,25125105457906 (2_7VoXjDm$k00000000Yav) = 1,251 [LD]</t>
  </si>
  <si>
    <t xml:space="preserve"> Staničení: 0,74637 - 0,75637: 1,2520836925876 (2_7VoXjDm$k00000000Ygv) = 1,252 [LE]</t>
  </si>
  <si>
    <t xml:space="preserve"> Staničení: 0,67093 - 0,68102: 2,50441686225017 (2_7VoXjDm$k00000000Y7P) = 2,504 [LF]</t>
  </si>
  <si>
    <t xml:space="preserve"> Staničení: 0,90637 - 0,91637: 1,25124830377663 (2_7VoXjDm$k00000000Ydv) = 1,251 [LG]</t>
  </si>
  <si>
    <t xml:space="preserve"> Staničení: 0,7416 - 0,7517: 2,50436970594722 (2_7VoXjDm$k00000000Y8j) = 2,504 [LH]</t>
  </si>
  <si>
    <t xml:space="preserve"> Staničení: 0,57886 - 0,58936: 1,31462222538326 (2_7VoXjDm$k00000000Yjv) = 1,315 [LI]</t>
  </si>
  <si>
    <t xml:space="preserve"> Staničení: 0,41686 - 0,42686: 1,25125637680351 (2_7VoXjDm$k00000000Ymv) = 1,251 [LJ]</t>
  </si>
  <si>
    <t xml:space="preserve"> Staničení: 0,86266 - 0,86316: 0,125136908137124 (2_7VoXjDm$k00000000Ysv) = 0,125 [LK]</t>
  </si>
  <si>
    <t xml:space="preserve"> Staničení: 0,992 - 1,002: 2,50327678882136 (2_7VoXjDm$k00000000Ypv) = 2,503 [LL]</t>
  </si>
  <si>
    <t xml:space="preserve"> Staničení: 0,87866 - 0,87916: 0,125150931123987 (2_7VoXjDm$k00000000Yvv) = 0,125 [LM]</t>
  </si>
  <si>
    <t xml:space="preserve"> Staničení: 0,89466 - 0,89516: 0,125163839437937 (2_7VoXjDm$k00000000Yyv) = 0,125 [LN]</t>
  </si>
  <si>
    <t xml:space="preserve"> Staničení: 1,05334 - 1,06334: 2,50342230647755 (2_7VoXjDm$k00000000YBv) = 2,503 [LO]</t>
  </si>
  <si>
    <t xml:space="preserve"> Staničení: 1,03637 - 1,04637: 1,2512877301892 (2_7VoXjDm$k00000000YbH) = 1,251 [LP]</t>
  </si>
  <si>
    <t xml:space="preserve"> Staničení: 0,88637 - 0,89637: 1,25122980030834 (2_7VoXjDm$k00000000YeH) = 1,251 [LQ]</t>
  </si>
  <si>
    <t xml:space="preserve"> Staničení: 0,55836 - 0,56886: 1,31469296479149 (2_7VoXjDm$k00000000YkH) = 1,315 [LR]</t>
  </si>
  <si>
    <t xml:space="preserve"> Staničení: 0,72537 - 0,73587: 1,31496492232453 (2_7VoXjDm$k00000000YhH) = 1,315 [LS]</t>
  </si>
  <si>
    <t xml:space="preserve"> Staničení: 0,39686 - 0,40686: 1,25100379357196 (2_7VoXjDm$k00000000YnH) = 1,251 [LT]</t>
  </si>
  <si>
    <t xml:space="preserve"> Staničení: 62,88832 - 62,89832: 1,25056023329819 (2_7VoXjDm$k00000000Zpa) = 1,251 [LU]</t>
  </si>
  <si>
    <t xml:space="preserve"> Staničení: 1,012 - 1,022: 2,50327695690415 (2_7VoXjDm$k00000000YqH) = 2,503 [LV]</t>
  </si>
  <si>
    <t xml:space="preserve"> Staničení: 1,10637 - 1,11637: 1,25118568904895 (2_7VoXjDm$k00000000Ycb) = 1,251 [LW]</t>
  </si>
  <si>
    <t xml:space="preserve"> Staničení: 0,88066 - 0,88116: 0,125152762297009 (2_7VoXjDm$k00000000YwH) = 0,125 [LX]</t>
  </si>
  <si>
    <t xml:space="preserve"> Staničení: 0,86466 - 0,86516: 0,125138617990218 (2_7VoXjDm$k00000000YtH) = 0,125 [LY]</t>
  </si>
  <si>
    <t xml:space="preserve"> Staničení: 0,81637 - 0,82637: 1,25067888435569 (2_7VoXjDm$k00000000Yfb) = 1,251 [LZ]</t>
  </si>
  <si>
    <t xml:space="preserve"> Staničení: 0,89666 - 0,89716: 0,125163839438002 (2_7VoXjDm$k00000000YzH) = 0,125 [MA]</t>
  </si>
  <si>
    <t xml:space="preserve"> Staničení: 0,74361 - 0,75352: 2,50450988865429 (2_7VoXjDm$k00000000YRh) = 2,505 [MB]</t>
  </si>
  <si>
    <t xml:space="preserve"> Staničení: 62,77832 - 62,78832: 1,25005831819237 (2_7VoXjDm$k00000000ZnW) = 1,250 [MC]</t>
  </si>
  <si>
    <t xml:space="preserve"> Staničení: 0,91066 - 0,91116: 0,125163839437914 (2_7VoXjDm$k00000000Y$v) = 0,125 [MD]</t>
  </si>
  <si>
    <t xml:space="preserve"> Staničení: 0,65186 - 0,66236: 1,31468644189492 (2_7VoXjDm$k00000000Yib) = 1,315 [ME]</t>
  </si>
  <si>
    <t xml:space="preserve"> Staničení: 0,24277 - 0,25277: 1,25112705942851 (2_7VoXjDm$k00000000YUh) = 1,251 [MF]</t>
  </si>
  <si>
    <t xml:space="preserve"> Staničení: 0,922 - 0,932: 2,50327678882233 (2_7VoXjDm$k00000000Yob) = 2,503 [MG]</t>
  </si>
  <si>
    <t xml:space="preserve"> Staničení: 1,07334 - 1,08334: 2,50350211539708 (2_7VoXjDm$k00000000YCH) = 2,504 [MH]</t>
  </si>
  <si>
    <t xml:space="preserve"> Staničení: 0,77616 - 0,77637: 0,0252767130759745 (2_7VoXjDm$k00000000ejx) = 0,025 [MI]</t>
  </si>
  <si>
    <t xml:space="preserve"> Staničení: 0,48686 - 0,49686: 1,25258730636976 (2_7VoXjDm$k00000000Ylb) = 1,253 [MJ]</t>
  </si>
  <si>
    <t xml:space="preserve"> Staničení: 1,082 - 1,092: 2,50353699692969 (2_7VoXjDm$k00000000Yrb) = 2,504 [MK]</t>
  </si>
  <si>
    <t xml:space="preserve"> Staničení: 0,08277 - 0,09277: 1,2505660374411 (2_7VoXjDm$k00000000YXh) = 1,251 [ML]</t>
  </si>
  <si>
    <t xml:space="preserve"> Staničení: 0,87166 - 0,87216: 0,125144634780083 (2_7VoXjDm$k00000000Yub) = 0,125 [MM]</t>
  </si>
  <si>
    <t xml:space="preserve"> Staničení: 0,88766 - 0,88816: 0,125159282556237 (2_7VoXjDm$k00000000Yxb) = 0,125 [MN]</t>
  </si>
  <si>
    <t xml:space="preserve"> Staničení: 0,7517 - 0,76117: 2,35098658982661 (2_7VoXjDm$k00000000Y8v) = 2,351 [MO]</t>
  </si>
  <si>
    <t xml:space="preserve"> Staničení: 0,98334 - 0,99334: 2,50327678882194 (2_7VoXjDm$k00000000YAb) = 2,503 [MP]</t>
  </si>
  <si>
    <t xml:space="preserve"> Staničení: 1,14334 - 1,1445: 0,289470365203258 (2_7VoXjDm$k00000000YDb) = 0,289 [MQ]</t>
  </si>
  <si>
    <t xml:space="preserve"> Staničení: 0,94637 - 0,95637: 1,25124830377907 (2_7VoXjDm$k00000000YZb) = 1,251 [MR]</t>
  </si>
  <si>
    <t xml:space="preserve"> Staničení: 0,13357 - 0,13373: 0,500132180444608 (2_7VoXjDm$k00000000ZaC) = 0,500 [MS]</t>
  </si>
  <si>
    <t xml:space="preserve"> Staničení: 0,90366 - 0,90416: 0,125163839467043 (2_7VoXjDm$k00000000Y_b) = 0,125 [MT]</t>
  </si>
  <si>
    <t xml:space="preserve"> Staničení: 0,91334 - 0,92334: 2,50327678882152 (2_7VoXjDm$k00000000Y9H) = 2,503 [MU]</t>
  </si>
  <si>
    <t xml:space="preserve"> Staničení: 0,76266 - 0,76567: 0,375358313181923 (2_7VoXjDm$k00000000ejL) = 0,375 [MV]</t>
  </si>
  <si>
    <t xml:space="preserve"> Staničení: 62,86832 - 62,87832: 1,25043246608618 (2_7VoXjDm$k00000000ZpC) = 1,250 [MW]</t>
  </si>
  <si>
    <t xml:space="preserve"> Staničení: 0,68102 - 0,69112: 2,50445336291974 (2_7VoXjDm$k00000000Y7b) = 2,504 [MX]</t>
  </si>
  <si>
    <t xml:space="preserve"> Staničení: 0,79416 - 0,79637: 0,275367410010038 (2_7VoXjDm$k00000000ekV) = 0,275 [MY]</t>
  </si>
  <si>
    <t xml:space="preserve"> Staničení: 0,77166 - 0,77466: 0,375256294321313 (2_7VoXjDm$k00000000ejl) = 0,375 [MZ]</t>
  </si>
  <si>
    <t xml:space="preserve"> Staničení: 0,77637 - 0,77917: 0,349946581655856 (2_7VoXjDm$k00000000eiv) = 0,350 [NA]</t>
  </si>
  <si>
    <t xml:space="preserve"> Staničení: 0,86092 - 0,86105: 0,336275932093968 (2_7VoXjDm$k00000000XuZ) = 0,336 [NB]</t>
  </si>
  <si>
    <t xml:space="preserve"> Staničení: 0,84922 - 0,85026: 0,425951770270802 (2_7VoXjDm$k00000000Xul) = 0,426 [NC]</t>
  </si>
  <si>
    <t xml:space="preserve"> Staničení: 0,84935 - 0,85039: 0,425951770072228 (2_7VoXjDm$k00000000XwF) = 0,426 [ND]</t>
  </si>
  <si>
    <t xml:space="preserve"> Staničení: 0,85056 - 0,85285: 0,432408636989784 (2_7VoXjDm$k00000000XtF) = 0,432 [NE]</t>
  </si>
  <si>
    <t xml:space="preserve"> Staničení: 0,88584 - 0,88634: 0,125157742378499 (2_7VoXjDm$k00000000ZAz) = 0,125 [NF]</t>
  </si>
  <si>
    <t xml:space="preserve"> Staničení: 0,80511 - 0,80561: 0,125080975894311 (2_7VoXjDm$k00000000ZGz) = 0,125 [NG]</t>
  </si>
  <si>
    <t xml:space="preserve"> Staničení: 0,86984 - 0,87034: 0,125143203175061 (2_7VoXjDm$k00000000ZDz) = 0,125 [NH]</t>
  </si>
  <si>
    <t xml:space="preserve"> Staničení: 0,82105 - 0,82155: 0,125104424669934 (2_7VoXjDm$k00000000ZJz) = 0,125 [NI]</t>
  </si>
  <si>
    <t xml:space="preserve"> Staničení: 0,83702 - 0,83752: 0,125116223862927 (2_7VoXjDm$k00000000ZMz) = 0,125 [NJ]</t>
  </si>
  <si>
    <t xml:space="preserve"> Staničení: 0,81927 - 0,81978: 0,12510392357631 (2_7VoXjDm$k00000000ZSz) = 0,125 [NK]</t>
  </si>
  <si>
    <t xml:space="preserve"> Staničení: 0,80321 - 0,80372: 0,125093447657414 (2_7VoXjDm$k00000000ZPz) = 0,125 [NL]</t>
  </si>
  <si>
    <t xml:space="preserve"> Staničení: 0,83531 - 0,83581: 0,125115258120329 (2_7VoXjDm$k00000000ZVz) = 0,125 [NM]</t>
  </si>
  <si>
    <t xml:space="preserve"> Staničení: 0,88884 - 0,88934: 0,125160574083906 (2_7VoXjDm$k00000000ZAP) = 0,125 [NN]</t>
  </si>
  <si>
    <t xml:space="preserve"> Staničení: 0,80212 - 0,80262: 0,125073803278983 (2_7VoXjDm$k00000000ZGP) = 0,125 [NO]</t>
  </si>
  <si>
    <t xml:space="preserve"> Staničení: 0,87284 - 0,87334: 0,125145858999595 (2_7VoXjDm$k00000000ZDP) = 0,125 [NP]</t>
  </si>
  <si>
    <t xml:space="preserve"> Staničení: 0,81806 - 0,81856: 0,125102276313957 (2_7VoXjDm$k00000000ZJP) = 0,125 [NQ]</t>
  </si>
  <si>
    <t xml:space="preserve"> Staničení: 0,83402 - 0,83452: 0,125113929929262 (2_7VoXjDm$k00000000ZMP) = 0,125 [NR]</t>
  </si>
  <si>
    <t xml:space="preserve"> Staničení: 0,81627 - 0,81677: 0,125101895055106 (2_7VoXjDm$k00000000ZSP) = 0,125 [NS]</t>
  </si>
  <si>
    <t xml:space="preserve"> Staničení: 0,76344 - 0,77336: 2,50240339648117 (2_7VoXjDm$k00000000YS3) = 2,502 [NT]</t>
  </si>
  <si>
    <t xml:space="preserve"> Staničení: 0,84921 - 0,85043: 0,393593810629985 (2_7VoXjDm$k00000000Xux) = 0,394 [NU]</t>
  </si>
  <si>
    <t xml:space="preserve"> Staničení: 0,8002 - 0,8007: 0,125091451160233 (2_7VoXjDm$k00000000ZPP) = 0,125 [NV]</t>
  </si>
  <si>
    <t xml:space="preserve"> Staničení: 0,83231 - 0,83281: 0,125113050143311 (2_7VoXjDm$k00000000ZVP) = 0,125 [NW]</t>
  </si>
  <si>
    <t xml:space="preserve"> Staničení: 0,22277 - 0,23277: 1,2509164418075 (2_7VoXjDm$k00000000YV3) = 1,251 [NX]</t>
  </si>
  <si>
    <t xml:space="preserve"> Staničení: 0,06277 - 0,07277: 1,25031591026224 (2_7VoXjDm$k00000000YY3) = 1,250 [NY]</t>
  </si>
  <si>
    <t xml:space="preserve"> Staničení: 0,85277 - 0,85319: 0,0315686905141937 (2_7VoXjDm$k00000000Z1z) = 0,032 [NZ]</t>
  </si>
  <si>
    <t xml:space="preserve"> Staničení: 0,90184 - 0,90234: 0,125163839438078 (2_7VoXjDm$k00000000Z7z) = 0,125 [OA]</t>
  </si>
  <si>
    <t xml:space="preserve"> Staničení: 0,8593 - 0,85942: 0,321411844439455 (2_7VoXjDm$k00000000Xt$) = 0,321 [OB]</t>
  </si>
  <si>
    <t xml:space="preserve"> Staničení: 0,84918 - 0,8504: 0,393593810580714 (2_7VoXjDm$k00000000XwR) = 0,394 [OC]</t>
  </si>
  <si>
    <t xml:space="preserve"> Staničení: 62,89832 - 62,908: 1,20999119914153 (2_7VoXjDm$k00000000dUT) = 1,210 [OD]</t>
  </si>
  <si>
    <t xml:space="preserve"> Staničení: 0,77931 - 0,78082: 0,375238816582221 (2_7VoXjDm$k00000000Z4z) = 0,375 [OE]</t>
  </si>
  <si>
    <t xml:space="preserve"> Staničení: 0,85275 - 0,85504: 0,429179953068641 (2_7VoXjDm$k00000000XtR) = 0,429 [OF]</t>
  </si>
  <si>
    <t xml:space="preserve"> Staničení: 0,87684 - 0,87734: 0,125149447304007 (2_7VoXjDm$k00000000ZCf) = 0,125 [OG]</t>
  </si>
  <si>
    <t xml:space="preserve"> Staničení: 0,79814 - 0,79864: 0,125067210988446 (2_7VoXjDm$k00000000ZFf) = 0,125 [OH]</t>
  </si>
  <si>
    <t xml:space="preserve"> Staničení: 0,85057 - 0,85069: 0,321405195719632 (2_7VoXjDm$k00000000Z1P) = 0,321 [OI]</t>
  </si>
  <si>
    <t xml:space="preserve"> Staničení: 0,81407 - 0,81457: 0,125109023590449 (2_7VoXjDm$k00000000ZIf) = 0,125 [OJ]</t>
  </si>
  <si>
    <t xml:space="preserve"> Staničení: 0,90484 - 0,90534: 0,125163839437926 (2_7VoXjDm$k00000000Z7P) = 0,125 [OK]</t>
  </si>
  <si>
    <t xml:space="preserve"> Staničení: 0,84601 - 0,8465: 0,122447917861665 (2_7VoXjDm$k00000000ZOf) = 0,122 [OL]</t>
  </si>
  <si>
    <t xml:space="preserve"> Staničení: 0,77024 - 0,77175: 0,375249067911618 (2_7VoXjDm$k00000000Z4P) = 0,375 [OM]</t>
  </si>
  <si>
    <t xml:space="preserve"> Staničení: 0,83003 - 0,83053: 0,125110930653498 (2_7VoXjDm$k00000000ZLf) = 0,125 [ON]</t>
  </si>
  <si>
    <t xml:space="preserve"> Staničení: 0,81225 - 0,81275: 0,125099221859078 (2_7VoXjDm$k00000000ZRf) = 0,125 [OO]</t>
  </si>
  <si>
    <t xml:space="preserve"> Staničení: 0,8283 - 0,8288: 0,125110175197871 (2_7VoXjDm$k00000000ZUf) = 0,125 [OP]</t>
  </si>
  <si>
    <t xml:space="preserve"> Staničení: 0,84432 - 0,84482: 0,125121938061087 (2_7VoXjDm$k00000000ZXf) = 0,125 [OQ]</t>
  </si>
  <si>
    <t xml:space="preserve"> Staničení: 1,07637 - 1,08637: 1,25136712969875 (2_7VoXjDm$k00000000Yc1) = 1,251 [OR]</t>
  </si>
  <si>
    <t xml:space="preserve"> Staničení: 0,84637 - 0,85637: 1,25088363517754 (2_7VoXjDm$k00000000Yf1) = 1,251 [OS]</t>
  </si>
  <si>
    <t xml:space="preserve"> Staničení: 0,68336 - 0,69387: 1,31475423854403 (2_7VoXjDm$k00000000Yi1) = 1,315 [OT]</t>
  </si>
  <si>
    <t xml:space="preserve"> Staničení: 0,35686 - 0,36686: 1,25188777707622 (2_7VoXjDm$k00000000Yo1) = 1,252 [OU]</t>
  </si>
  <si>
    <t xml:space="preserve"> Staničení: 0,51686 - 0,52736: 1,31482234617641 (2_7VoXjDm$k00000000Yl1) = 1,315 [OV]</t>
  </si>
  <si>
    <t xml:space="preserve"> Staničení: 1,052 - 1,062: 2,5034170126064 (2_7VoXjDm$k00000000Yr1) = 2,503 [OW]</t>
  </si>
  <si>
    <t xml:space="preserve"> Staničení: 0,86094 - 0,86107: 0,336275977881731 (2_7VoXjDm$k00000000Z3f) = 0,336 [OX]</t>
  </si>
  <si>
    <t xml:space="preserve"> Staničení: 0,8465 - 0,8565: 2,50254849972805 (2_7VoXjDm$k00000000Z0f) = 2,503 [OY]</t>
  </si>
  <si>
    <t xml:space="preserve"> Staničení: 0,86866 - 0,86916: 0,125142016429009 (2_7VoXjDm$k00000000Yu1) = 0,125 [OZ]</t>
  </si>
  <si>
    <t xml:space="preserve"> Staničení: 0,90884 - 0,90934: 0,125163839437955 (2_7VoXjDm$k00000000Z6f) = 0,125 [PA]</t>
  </si>
  <si>
    <t xml:space="preserve"> Staničení: 0,88466 - 0,88516: 0,125156485154075 (2_7VoXjDm$k00000000Yx1) = 0,125 [PB]</t>
  </si>
  <si>
    <t xml:space="preserve"> Staničení: 0,89284 - 0,89334: 0,125163839437867 (2_7VoXjDm$k00000000Z9f) = 0,125 [PC]</t>
  </si>
  <si>
    <t xml:space="preserve"> Staničení: 0,95334 - 0,96334: 2,50327678882143 (2_7VoXjDm$k00000000YA1) = 2,503 [PD]</t>
  </si>
  <si>
    <t xml:space="preserve"> Staničení: 1,11334 - 1,12334: 2,50300095132417 (2_7VoXjDm$k00000000YD1) = 2,503 [PE]</t>
  </si>
  <si>
    <t xml:space="preserve"> Staničení: 62,76109 - 62,76832: 0,904158894740976 (2_7VoXjDm$k00000000dUH) = 0,904 [PF]</t>
  </si>
  <si>
    <t xml:space="preserve"> Staničení: 0,87884 - 0,87934: 0,125151261206566 (2_7VoXjDm$k00000000ZCH) = 0,125 [PG]</t>
  </si>
  <si>
    <t xml:space="preserve"> Staničení: 0,86284 - 0,86334: 0,125137051023952 (2_7VoXjDm$k00000000ZFH) = 0,125 [PH]</t>
  </si>
  <si>
    <t xml:space="preserve"> Staničení: 0,90066 - 0,90116: 0,125163839437965 (2_7VoXjDm$k00000000Y_1) = 0,125 [PI]</t>
  </si>
  <si>
    <t xml:space="preserve"> Staničení: 0,81208 - 0,81258: 0,125101253774245 (2_7VoXjDm$k00000000ZIH) = 0,125 [PJ]</t>
  </si>
  <si>
    <t xml:space="preserve"> Staničení: 0,84401 - 0,84451: 0,125121627768447 (2_7VoXjDm$k00000000ZOH) = 0,125 [PK]</t>
  </si>
  <si>
    <t xml:space="preserve"> Staničení: 0,82803 - 0,82853: 0,125109450277259 (2_7VoXjDm$k00000000ZLH) = 0,125 [PL]</t>
  </si>
  <si>
    <t xml:space="preserve"> Staničení: 0,81024 - 0,81075: 0,12509793077719 (2_7VoXjDm$k00000000ZRH) = 0,125 [PM]</t>
  </si>
  <si>
    <t xml:space="preserve"> Staničení: 0,82629 - 0,8268: 0,125108758146449 (2_7VoXjDm$k00000000ZUH) = 0,125 [PN]</t>
  </si>
  <si>
    <t xml:space="preserve"> Staničení: 0,84232 - 0,84282: 0,125120475261279 (2_7VoXjDm$k00000000ZXH) = 0,125 [PO]</t>
  </si>
  <si>
    <t xml:space="preserve"> Staničení: 0,849 - 0,859: 1,2512945798756 (2_7VoXjDm$k00000000Z3H) = 1,251 [PP]</t>
  </si>
  <si>
    <t xml:space="preserve"> Staničení: 0,8465 - 0,8565: 2,50254897641315 (2_7VoXjDm$k00000000Z0H) = 2,503 [PQ]</t>
  </si>
  <si>
    <t xml:space="preserve"> Staničení: 0,91084 - 0,91134: 0,125163839467044 (2_7VoXjDm$k00000000Z6H) = 0,125 [PR]</t>
  </si>
  <si>
    <t xml:space="preserve"> Staničení: 0,89484 - 0,89534: 0,125163839437897 (2_7VoXjDm$k00000000Z9H) = 0,125 [PS]</t>
  </si>
  <si>
    <t xml:space="preserve"> Staničení: 0,87984 - 0,88034: 0,125152187748353 (2_7VoXjDm$k00000000ZC5) = 0,125 [PT]</t>
  </si>
  <si>
    <t xml:space="preserve"> Staničení: 0,86384 - 0,86434: 0,125137915342205 (2_7VoXjDm$k00000000ZF5) = 0,125 [PU]</t>
  </si>
  <si>
    <t xml:space="preserve"> Staničení: 0,81108 - 0,81158: 0,12509796980741 (2_7VoXjDm$k00000000ZI5) = 0,125 [PV]</t>
  </si>
  <si>
    <t xml:space="preserve"> Staničení: 0,84301 - 0,84351: 0,125120919932984 (2_7VoXjDm$k00000000ZO5) = 0,125 [PW]</t>
  </si>
  <si>
    <t xml:space="preserve"> Staničení: 0,82704 - 0,82753: 0,125108717436473 (2_7VoXjDm$k00000000ZL5) = 0,125 [PX]</t>
  </si>
  <si>
    <t xml:space="preserve"> Staničení: 0,80924 - 0,80974: 0,125097282172214 (2_7VoXjDm$k00000000ZR5) = 0,125 [PY]</t>
  </si>
  <si>
    <t xml:space="preserve"> Staničení: 0,73371 - 0,74361: 2,50475722730246 (2_7VoXjDm$k00000000YRV) = 2,505 [PZ]</t>
  </si>
  <si>
    <t xml:space="preserve"> Staničení: 0,82529 - 0,82579: 0,125108063512782 (2_7VoXjDm$k00000000ZU5) = 0,125 [QA]</t>
  </si>
  <si>
    <t xml:space="preserve"> Staničení: 0,25277 - 0,26277: 1,25128552348604 (2_7VoXjDm$k00000000YUV) = 1,251 [QB]</t>
  </si>
  <si>
    <t xml:space="preserve"> Staničení: 0,84132 - 0,84182: 0,125119686438677 (2_7VoXjDm$k00000000ZX5) = 0,125 [QC]</t>
  </si>
  <si>
    <t xml:space="preserve"> Staničení: 0,09277 - 0,10277: 1,25055215011939 (2_7VoXjDm$k00000000YXV) = 1,251 [QD]</t>
  </si>
  <si>
    <t xml:space="preserve"> Staničení: 0,85932 - 0,85944: 0,322013556276003 (2_7VoXjDm$k00000000Z35) = 0,322 [QE]</t>
  </si>
  <si>
    <t xml:space="preserve"> Staničení: 0,91166 - 0,912: 0,0861789862259391 (2_7VoXjDm$k00000000Z05) = 0,086 [QF]</t>
  </si>
  <si>
    <t xml:space="preserve"> Staničení: 0,91184 - 0,91234: 0,125163839438103 (2_7VoXjDm$k00000000Z65) = 0,125 [QG]</t>
  </si>
  <si>
    <t xml:space="preserve"> Staničení: 0,89584 - 0,89634: 0,12516383943801 (2_7VoXjDm$k00000000Z95) = 0,125 [QH]</t>
  </si>
  <si>
    <t xml:space="preserve"> Staničení: 1,11637 - 1,12637: 1,25110069557852 (2_7VoXjDm$k00000000Ycn) = 1,251 [QI]</t>
  </si>
  <si>
    <t xml:space="preserve"> Staničení: 1,04637 - 1,05637: 1,25130735648106 (2_7VoXjDm$k00000000YbT) = 1,251 [QJ]</t>
  </si>
  <si>
    <t xml:space="preserve"> Staničení: 0,80637 - 0,81637: 1,2505947006299 (2_7VoXjDm$k00000000Yfn) = 1,251 [QK]</t>
  </si>
  <si>
    <t xml:space="preserve"> Staničení: 0,87637 - 0,88637: 1,25114290890596 (2_7VoXjDm$k00000000YeT) = 1,251 [QL]</t>
  </si>
  <si>
    <t xml:space="preserve"> Staničení: 0,64136 - 0,65186: 1,31444126086011 (2_7VoXjDm$k00000000Yin) = 1,314 [QM]</t>
  </si>
  <si>
    <t xml:space="preserve"> Staničení: 0,54786 - 0,55836: 1,31483838406735 (2_7VoXjDm$k00000000YkT) = 1,315 [QN]</t>
  </si>
  <si>
    <t xml:space="preserve"> Staničení: 0,932 - 0,942: 2,50327678882181 (2_7VoXjDm$k00000000Yon) = 2,503 [QO]</t>
  </si>
  <si>
    <t xml:space="preserve"> Staničení: 0,16277 - 0,17277: 1,25053066287016 (2_7VoXjDm$k00000000YWB) = 1,251 [QP]</t>
  </si>
  <si>
    <t xml:space="preserve"> Staničení: 0,71486 - 0,72537: 1,31479673486274 (2_7VoXjDm$k00000000YhT) = 1,315 [QQ]</t>
  </si>
  <si>
    <t xml:space="preserve"> Staničení: 0,47686 - 0,48686: 1,25258901840665 (2_7VoXjDm$k00000000Yln) = 1,253 [QR]</t>
  </si>
  <si>
    <t xml:space="preserve"> Staničení: 1,092 - 1,102: 2,50354264572732 (2_7VoXjDm$k00000000Yrn) = 2,504 [QS]</t>
  </si>
  <si>
    <t xml:space="preserve"> Staničení: 0,38686 - 0,39686: 1,2511943960855 (2_7VoXjDm$k00000000YnT) = 1,251 [QT]</t>
  </si>
  <si>
    <t xml:space="preserve"> Staničení: 0,32277 - 0,33277: 1,25185881656355 (2_7VoXjDm$k00000000YTB) = 1,252 [QU]</t>
  </si>
  <si>
    <t xml:space="preserve"> Staničení: 0,00277 - 0,01277: 1,25001371723066 (2_7VoXjDm$k00000000YZB) = 1,250 [QV]</t>
  </si>
  <si>
    <t xml:space="preserve"> Staničení: 0,87266 - 0,87316: 0,125145537740864 (2_7VoXjDm$k00000000Yun) = 0,125 [QW]</t>
  </si>
  <si>
    <t xml:space="preserve"> Staničení: 1,022 - 1,032: 2,50329969870346 (2_7VoXjDm$k00000000YqT) = 2,503 [QX]</t>
  </si>
  <si>
    <t xml:space="preserve"> Celkové množství 386.941000 = 386,941 [QY]</t>
  </si>
  <si>
    <t>Položka zahrnuje:
- dodání a pokládku nátěrového materiálu
- předznačení a reflexní úpravu
Položka nezahrnuje:
- x
Způsob měření:
- měří se pouze natíraná plocha</t>
  </si>
  <si>
    <t xml:space="preserve"> Staničení: 63,15288 - 63,15608: 1,92488327454024 (2_7VoXjDm$k00000000aXJ) = 1,925 [A]</t>
  </si>
  <si>
    <t xml:space="preserve"> Staničení: 63,12541 - 63,12826: 1,6622347190066 (2_7VoXjDm$k00000000abF) = 1,662 [B]</t>
  </si>
  <si>
    <t xml:space="preserve"> Staničení: 63,10525 - 63,10743: 0,574852392243475 (2_7VoXjDm$k00000000aeF) = 0,575 [C]</t>
  </si>
  <si>
    <t xml:space="preserve"> Staničení: 63,06774 - 63,06874: 0,255075563918013 (2_7VoXjDm$k00000000akF) = 0,255 [D]</t>
  </si>
  <si>
    <t xml:space="preserve"> Staničení: 63,08802 - 63,08961: 0,701672507961242 (2_7VoXjDm$k00000000ahF) = 0,702 [E]</t>
  </si>
  <si>
    <t xml:space="preserve"> Staničení: 63,18189 - 63,18818: 0,786196952255512 (2_7VoXjDm$k00000000axF) = 0,786 [F]</t>
  </si>
  <si>
    <t xml:space="preserve"> Staničení: 63,14547 - 63,14877: 2,01800967306847 (2_7VoXjDm$k00000000aYF) = 2,018 [G]</t>
  </si>
  <si>
    <t xml:space="preserve"> Staničení: 63,11533 - 63,12533: 1,25082329940194 (2_7VoXjDm$k00000000a_F) = 1,251 [H]</t>
  </si>
  <si>
    <t xml:space="preserve"> Staničení: 63,12612 - 63,12679: 0,00102036343177685 (2_7VoXjDm$k00000000abR) = 0,001 [I]</t>
  </si>
  <si>
    <t xml:space="preserve"> Staničení: 63,10525 - 63,10743: 0,108023938088227 (2_7VoXjDm$k00000000aeR) = 0,108 [J]</t>
  </si>
  <si>
    <t xml:space="preserve"> Staničení: 63,0663 - 63,06725: 0,214667785170003 (2_7VoXjDm$k00000000akR) = 0,215 [K]</t>
  </si>
  <si>
    <t xml:space="preserve"> Staničení: 63,08659 - 63,08812: 0,663879303534196 (2_7VoXjDm$k00000000ahR) = 0,664 [L]</t>
  </si>
  <si>
    <t xml:space="preserve"> Staničení: 63,1817 - 63,18227: 1,75690401188152 (2_7VoXjDm$k00000000axR) = 1,757 [M]</t>
  </si>
  <si>
    <t xml:space="preserve"> Staničení: 63,14665 - 63,14731: 0,000205985652815852 (2_7VoXjDm$k00000000aYR) = 0,000 [N]</t>
  </si>
  <si>
    <t xml:space="preserve"> Staničení: 63,10533 - 63,11533: 1,25082607994643 (2_7VoXjDm$k00000000a_R) = 1,251 [O]</t>
  </si>
  <si>
    <t xml:space="preserve"> Staničení: 63,12685 - 63,12972: 1,68518619728359 (2_7VoXjDm$k00000000ab3) = 1,685 [P]</t>
  </si>
  <si>
    <t xml:space="preserve"> Staničení: 63,10669 - 63,10892: 1,19572747056991 (2_7VoXjDm$k00000000ae3) = 1,196 [Q]</t>
  </si>
  <si>
    <t xml:space="preserve"> Staničení: 63,06917 - 63,07023: 0,292621329873512 (2_7VoXjDm$k00000000ak3) = 0,293 [R]</t>
  </si>
  <si>
    <t xml:space="preserve"> Staničení: 63,08946 - 63,09109: 0,73946718939395 (2_7VoXjDm$k00000000ah3) = 0,739 [S]</t>
  </si>
  <si>
    <t xml:space="preserve"> Staničení: 63,18195 - 63,18958: 0,953670056377334 (2_7VoXjDm$k00000000ax3) = 0,954 [T]</t>
  </si>
  <si>
    <t xml:space="preserve"> Staničení: 63,14691 - 63,15023: 2,02323449705681 (2_7VoXjDm$k00000000aY3) = 2,023 [U]</t>
  </si>
  <si>
    <t xml:space="preserve"> Staničení: 63,12533 - 63,13533: 1,2508644574594 (2_7VoXjDm$k00000000a_3) = 1,251 [V]</t>
  </si>
  <si>
    <t xml:space="preserve"> Staničení: 62,94832 - 62,95832: 1,25078445083821 (2_7VoXjDm$k00000000b3L) = 1,251 [W]</t>
  </si>
  <si>
    <t xml:space="preserve"> Staničení: 63,13148 - 63,13298: 0,375287964165024 (2_7VoXjDm$k00000000b6L) = 0,375 [X]</t>
  </si>
  <si>
    <t xml:space="preserve"> Staničení: 63,08348 - 63,08498: 0,375294146299787 (2_7VoXjDm$k00000000b9L) = 0,375 [Y]</t>
  </si>
  <si>
    <t xml:space="preserve"> Staničení: 63,13446 - 63,14446: 1,25109601246924 (2_7VoXjDm$k00000000b1R) = 1,251 [Z]</t>
  </si>
  <si>
    <t xml:space="preserve"> Staničení: 63,15939 - 63,16089: 0,375278041051087 (2_7VoXjDm$k00000000bBn) = 0,375 [AA]</t>
  </si>
  <si>
    <t xml:space="preserve"> Staničení: 62,95832 - 62,96832: 1,25081752720248 (2_7VoXjDm$k00000000b3X) = 1,251 [AB]</t>
  </si>
  <si>
    <t xml:space="preserve"> Staničení: 63,12848 - 63,12998: 0,375290236238917 (2_7VoXjDm$k00000000b6X) = 0,375 [AC]</t>
  </si>
  <si>
    <t xml:space="preserve"> Staničení: 63,08048 - 63,08199: 0,37529909582569 (2_7VoXjDm$k00000000b9X) = 0,375 [AD]</t>
  </si>
  <si>
    <t xml:space="preserve"> Staničení: 63,18038 - 63,18189: 0,375276351007772 (2_7VoXjDm$k00000000bAT) = 0,375 [AE]</t>
  </si>
  <si>
    <t xml:space="preserve"> Staničení: 62,91832 - 62,92832: 1,25089158250824 (2_7VoXjDm$k00000000b2n) = 1,251 [AF]</t>
  </si>
  <si>
    <t xml:space="preserve"> Staničení: 63,14048 - 63,14198: 0,375288037233586 (2_7VoXjDm$k00000000b5n) = 0,375 [AG]</t>
  </si>
  <si>
    <t xml:space="preserve"> Staničení: 63,09248 - 63,09398: 0,375369067810674 (2_7VoXjDm$k00000000b8n) = 0,375 [AH]</t>
  </si>
  <si>
    <t xml:space="preserve"> Staničení: 63,15639 - 63,15789: 0,375274478334954 (2_7VoXjDm$k00000000bBz) = 0,375 [AI]</t>
  </si>
  <si>
    <t xml:space="preserve"> Staničení: 63,10447 - 63,11447: 1,25103285110977 (2_7VoXjDm$k00000000b0t) = 1,251 [AJ]</t>
  </si>
  <si>
    <t xml:space="preserve"> Staničení: 62,908 - 62,90832: 0,0405249653334777 (2_7VoXjDm$k00000000b2N) = 0,041 [AK]</t>
  </si>
  <si>
    <t xml:space="preserve"> Staničení: 63,11348 - 63,11498: 0,375224019262128 (2_7VoXjDm$k00000000b7T) = 0,375 [AL]</t>
  </si>
  <si>
    <t xml:space="preserve"> Staničení: 63,00832 - 63,01832: 1,25087923512496 (2_7VoXjDm$k00000000b4T) = 1,251 [AM]</t>
  </si>
  <si>
    <t xml:space="preserve"> Staničení: 62,92832 - 62,93832: 1,2508811004765 (2_7VoXjDm$k00000000b2z) = 1,251 [AN]</t>
  </si>
  <si>
    <t xml:space="preserve"> Staničení: 63,13748 - 63,13898: 0,375286884321944 (2_7VoXjDm$k00000000b5z) = 0,375 [AO]</t>
  </si>
  <si>
    <t xml:space="preserve"> Staničení: 63,08948 - 63,09098: 0,37536255187279 (2_7VoXjDm$k00000000b8z) = 0,375 [AP]</t>
  </si>
  <si>
    <t xml:space="preserve"> Staničení: 62,97832 - 62,98832: 1,25080781914188 (2_7VoXjDm$k00000000b3v) = 1,251 [AQ]</t>
  </si>
  <si>
    <t xml:space="preserve"> Staničení: 63,12248 - 63,12398: 0,375254541488194 (2_7VoXjDm$k00000000b6v) = 0,375 [AR]</t>
  </si>
  <si>
    <t xml:space="preserve"> Staničení: 63,07448 - 63,07599: 0,375309545123349 (2_7VoXjDm$k00000000b9v) = 0,375 [AS]</t>
  </si>
  <si>
    <t xml:space="preserve"> Staničení: 63,12972 - 63,13265: 1,73698828495478 (2_7VoXjDm$k00000000aah) = 1,737 [AT]</t>
  </si>
  <si>
    <t xml:space="preserve"> Staničení: 63,09233 - 63,09406: 0,815060161575106 (2_7VoXjDm$k00000000agh) = 0,815 [AU]</t>
  </si>
  <si>
    <t xml:space="preserve"> Staničení: 63,10957 - 63,1119: 1,27021511071205 (2_7VoXjDm$k00000000adh) = 1,270 [AV]</t>
  </si>
  <si>
    <t xml:space="preserve"> Staničení: 63,07208 - 63,07321: 0,353881328335506 (2_7VoXjDm$k00000000ajh) = 0,354 [AW]</t>
  </si>
  <si>
    <t xml:space="preserve"> Staničení: 63,18096 - 63,18209: 0,283496221195385 (2_7VoXjDm$k00000000awh) = 0,283 [AX]</t>
  </si>
  <si>
    <t xml:space="preserve"> Staničení: 63,14533 - 63,15533: 1,25093992208143 (2_7VoXjDm$k00000000azh) = 1,251 [AY]</t>
  </si>
  <si>
    <t xml:space="preserve"> Staničení: 63,1499 - 63,15316: 1,9740476507717 (2_7VoXjDm$k00000000aXh) = 1,974 [AZ]</t>
  </si>
  <si>
    <t xml:space="preserve"> Staničení: 63,12397 - 63,12679: 0,817104972945778 (2_7VoXjDm$k00000000abd) = 0,817 [BA]</t>
  </si>
  <si>
    <t xml:space="preserve"> Staničení: 63,10537 - 63,10743: 0,475572114682852 (2_7VoXjDm$k00000000aed) = 0,476 [BB]</t>
  </si>
  <si>
    <t xml:space="preserve"> Staničení: 63,06486 - 63,06575: 0,174260006542841 (2_7VoXjDm$k00000000akd) = 0,174 [BC]</t>
  </si>
  <si>
    <t xml:space="preserve"> Staničení: 63,08515 - 63,08664: 0,310939058587963 (2_7VoXjDm$k00000000ahd) = 0,311 [BD]</t>
  </si>
  <si>
    <t xml:space="preserve"> Staničení: 63,17139 - 63,17289: 0,37528694116555 (2_7VoXjDm$k00000000bB1) = 0,375 [BE]</t>
  </si>
  <si>
    <t xml:space="preserve"> Staničení: 63,11965 - 63,12233: 1,53089106943167 (2_7VoXjDm$k00000000acN) = 1,531 [BF]</t>
  </si>
  <si>
    <t xml:space="preserve"> Staničení: 63,10238 - 63,10446: 1,07966019607686 (2_7VoXjDm$k00000000afN) = 1,080 [BG]</t>
  </si>
  <si>
    <t xml:space="preserve"> Staničení: 63,17564 - 63,17673: 0,180299355175541 (2_7VoXjDm$k00000000axd) = 0,180 [BH]</t>
  </si>
  <si>
    <t xml:space="preserve"> Staničení: 63,08224 - 63,08366: 0,568335702319908 (2_7VoXjDm$k00000000aiN) = 0,568 [BI]</t>
  </si>
  <si>
    <t xml:space="preserve"> Staničení: 63,17378 - 63,17878: 1,1857578156069 (2_7VoXjDm$k00000000alN) = 1,186 [BJ]</t>
  </si>
  <si>
    <t xml:space="preserve"> Staničení: 63,14798 - 63,15798: 2,50153013531003 (2_7VoXjDm$k00000000avN) = 2,502 [BK]</t>
  </si>
  <si>
    <t xml:space="preserve"> Staničení: 63,18035 - 63,18186: 0,375296082154431 (2_7VoXjDm$k00000000ayN) = 0,375 [BL]</t>
  </si>
  <si>
    <t xml:space="preserve"> Staničení: 63,14404 - 63,14731: 0,995081093449621 (2_7VoXjDm$k00000000aYd) = 0,995 [BM]</t>
  </si>
  <si>
    <t xml:space="preserve"> Staničení: 63,09534 - 63,10534: 1,25075819790554 (2_7VoXjDm$k00000000a_d) = 1,251 [BN]</t>
  </si>
  <si>
    <t xml:space="preserve"> Staničení: 63,12397 - 63,12679: 0,82357776398201 (2_7VoXjDm$k00000000abp) = 0,824 [BO]</t>
  </si>
  <si>
    <t xml:space="preserve"> Staničení: 63,03832 - 63,04832: 1,25086191932688 (2_7VoXjDm$k00000000b51) = 1,251 [BP]</t>
  </si>
  <si>
    <t xml:space="preserve"> Staničení: 63,10527 - 63,10594: 0,000126596260934394 (2_7VoXjDm$k00000000aep) = 0,000 [BQ]</t>
  </si>
  <si>
    <t xml:space="preserve"> Staničení: 63,06342 - 63,06426: 0,133852227811739 (2_7VoXjDm$k00000000akp) = 0,134 [BR]</t>
  </si>
  <si>
    <t xml:space="preserve"> Staničení: 63,16143 - 63,16338: 0,82704443981021 (2_7VoXjDm$k00000000aWN) = 0,827 [BS]</t>
  </si>
  <si>
    <t xml:space="preserve"> Staničení: 63,10448 - 63,10598: 0,375323197959618 (2_7VoXjDm$k00000000b81) = 0,375 [BT]</t>
  </si>
  <si>
    <t xml:space="preserve"> Staničení: 63,08515 - 63,08664: 0,246129519774705 (2_7VoXjDm$k00000000ahp) = 0,246 [BU]</t>
  </si>
  <si>
    <t xml:space="preserve"> Staničení: 63,13974 - 63,14292: 1,9183567626303 (2_7VoXjDm$k00000000aZN) = 1,918 [BV]</t>
  </si>
  <si>
    <t xml:space="preserve"> Staničení: 63,11821 - 63,12084: 1,49365025495038 (2_7VoXjDm$k00000000acZ) = 1,494 [BW]</t>
  </si>
  <si>
    <t xml:space="preserve"> Staničení: 63,10094 - 63,10297: 1,04185852632932 (2_7VoXjDm$k00000000afZ) = 1,042 [BX]</t>
  </si>
  <si>
    <t xml:space="preserve"> Staničení: 63,1781 - 63,17905: 0,125087394555445 (2_7VoXjDm$k00000000axp) = 0,125 [BY]</t>
  </si>
  <si>
    <t xml:space="preserve"> Staničení: 63,05535 - 63,06535: 1,25084552492453 (2_7VoXjDm$k00000000a$N) = 1,251 [BZ]</t>
  </si>
  <si>
    <t xml:space="preserve"> Staničení: 63,08079 - 63,08216: 0,537697844673228 (2_7VoXjDm$k00000000aiZ) = 0,538 [CA]</t>
  </si>
  <si>
    <t xml:space="preserve"> Staničení: 63,18697 - 63,18897: 1,09999999961254 (2_7VoXjDm$k00000000alZ) = 1,100 [CB]</t>
  </si>
  <si>
    <t xml:space="preserve"> Staničení: 63,15797 - 63,16798: 2,50225775280572 (2_7VoXjDm$k00000000avZ) = 2,502 [CC]</t>
  </si>
  <si>
    <t xml:space="preserve"> Staničení: 63,17735 - 63,17886: 0,375315321031417 (2_7VoXjDm$k00000000ayZ) = 0,375 [CD]</t>
  </si>
  <si>
    <t xml:space="preserve"> Staničení: 63,14404 - 63,14731: 1,00045426431326 (2_7VoXjDm$k00000000aYp) = 1,000 [CE]</t>
  </si>
  <si>
    <t xml:space="preserve"> Staničení: 63,08534 - 63,09534: 1,25072445152493 (2_7VoXjDm$k00000000a_p) = 1,251 [CF]</t>
  </si>
  <si>
    <t xml:space="preserve"> Staničení: 63,15942 - 63,16192: 1,34489075446335 (2_7VoXjDm$k00000000aWZ) = 1,345 [CG]</t>
  </si>
  <si>
    <t xml:space="preserve"> Staničení: 63,13831 - 63,14145: 1,89244454605591 (2_7VoXjDm$k00000000aZZ) = 1,892 [CH]</t>
  </si>
  <si>
    <t xml:space="preserve"> Staničení: 63,13115 - 63,13412: 1,76289545468602 (2_7VoXjDm$k00000000aaV) = 1,763 [CI]</t>
  </si>
  <si>
    <t xml:space="preserve"> Staničení: 63,09376 - 63,09555: 0,852858132812475 (2_7VoXjDm$k00000000agV) = 0,853 [CJ]</t>
  </si>
  <si>
    <t xml:space="preserve"> Staničení: 63,11101 - 63,11339: 1,30745294352365 (2_7VoXjDm$k00000000adV) = 1,307 [CK]</t>
  </si>
  <si>
    <t xml:space="preserve"> Staničení: 63,07353 - 63,0747: 0,384515543762172 (2_7VoXjDm$k00000000ajV) = 0,385 [CL]</t>
  </si>
  <si>
    <t xml:space="preserve"> Staničení: 63,05435 - 63,05535: 0,125094483704734 (2_7VoXjDm$k00000000a$Z) = 0,125 [CM]</t>
  </si>
  <si>
    <t xml:space="preserve"> Staničení: 63,17796 - 63,17946: 0,375257435342846 (2_7VoXjDm$k00000000awV) = 0,375 [CN]</t>
  </si>
  <si>
    <t xml:space="preserve"> Staničení: 63,15533 - 63,16533: 1,25095280208804 (2_7VoXjDm$k00000000azV) = 1,251 [CO]</t>
  </si>
  <si>
    <t xml:space="preserve"> Staničení: 63,15139 - 63,15462: 1,94945486841157 (2_7VoXjDm$k00000000aXV) = 1,949 [CP]</t>
  </si>
  <si>
    <t xml:space="preserve"> Staničení: 63,13401 - 63,13705: 1,81471255590763 (2_7VoXjDm$k00000000aa7) = 1,815 [CQ]</t>
  </si>
  <si>
    <t xml:space="preserve"> Staničení: 63,09664 - 63,09852: 0,928456439993381 (2_7VoXjDm$k00000000ag7) = 0,928 [CR]</t>
  </si>
  <si>
    <t xml:space="preserve"> Staničení: 63,11389 - 63,11637: 1,38193037028284 (2_7VoXjDm$k00000000ad7) = 1,382 [CS]</t>
  </si>
  <si>
    <t xml:space="preserve"> Staničení: 63,07643 - 63,07769: 0,445786682430561 (2_7VoXjDm$k00000000aj7) = 0,446 [CT]</t>
  </si>
  <si>
    <t xml:space="preserve"> Staničení: 63,17196 - 63,17346: 0,375311386620997 (2_7VoXjDm$k00000000aw7) = 0,375 [CU]</t>
  </si>
  <si>
    <t xml:space="preserve"> Staničení: 63,16835 - 63,16986: 0,375314098741551 (2_7VoXjDm$k00000000az7) = 0,375 [CV]</t>
  </si>
  <si>
    <t xml:space="preserve"> Staničení: 63,15441 - 63,15754: 1,85655989552782 (2_7VoXjDm$k00000000aX7) = 1,857 [CW]</t>
  </si>
  <si>
    <t xml:space="preserve"> Staničení: 63,08447 - 63,09447: 1,25077227840159 (2_7VoXjDm$k00000000b0V) = 1,251 [CX]</t>
  </si>
  <si>
    <t xml:space="preserve"> Staničení: 63,16239 - 63,16389: 0,375281993619331 (2_7VoXjDm$k00000000bBb) = 0,375 [CY]</t>
  </si>
  <si>
    <t xml:space="preserve"> Staničení: 62,90832 - 62,91832: 1,25085006578831 (2_7VoXjDm$k00000000b2b) = 1,251 [CZ]</t>
  </si>
  <si>
    <t xml:space="preserve"> Staničení: 63,14347 - 63,14498: 0,375290260883067 (2_7VoXjDm$k00000000b5b) = 0,375 [DA]</t>
  </si>
  <si>
    <t xml:space="preserve"> Staničení: 63,09548 - 63,09698: 0,375375739060812 (2_7VoXjDm$k00000000b8b) = 0,375 [DB]</t>
  </si>
  <si>
    <t xml:space="preserve"> Staničení: 63,06925 - 63,06999: 0,183991044485309 (2_7VoXjDm$k00000000bAH) = 0,184 [DC]</t>
  </si>
  <si>
    <t xml:space="preserve"> Staničení: 63,16036 - 63,16535: 0,668838446195536 (2_7VoXjDm$k00000000b2B) = 0,669 [DD]</t>
  </si>
  <si>
    <t xml:space="preserve"> Staničení: 63,09447 - 63,10447: 1,25084829313077 (2_7VoXjDm$k00000000b0h) = 1,251 [DE]</t>
  </si>
  <si>
    <t xml:space="preserve"> Staničení: 63,11648 - 63,11798: 0,375241211889303 (2_7VoXjDm$k00000000b7H) = 0,375 [DF]</t>
  </si>
  <si>
    <t xml:space="preserve"> Staničení: 62,99832 - 63,00832: 1,25078565181032 (2_7VoXjDm$k00000000b4H) = 1,251 [DG]</t>
  </si>
  <si>
    <t xml:space="preserve"> Staničení: 63,14446 - 63,15446: 1,24938019600341 (2_7VoXjDm$k00000000b1d) = 1,249 [DH]</t>
  </si>
  <si>
    <t xml:space="preserve"> Staničení: 63,12253 - 63,12531: 1,6053805741 (2_7VoXjDm$k00000000ab$) = 1,605 [DI]</t>
  </si>
  <si>
    <t xml:space="preserve"> Staničení: 63,10381 - 63,10594: 0,554458752182119 (2_7VoXjDm$k00000000ae$) = 0,554 [DJ]</t>
  </si>
  <si>
    <t xml:space="preserve"> Staničení: 63,06198 - 63,06277: 0,0934444489921854 (2_7VoXjDm$k00000000ak$) = 0,093 [DK]</t>
  </si>
  <si>
    <t xml:space="preserve"> Staničení: 63,08566 - 63,08664: 0,0707361285465359 (2_7VoXjDm$k00000000ah$) = 0,071 [DL]</t>
  </si>
  <si>
    <t xml:space="preserve"> Staničení: 63,17767 - 63,17816: 0,100596660065595 (2_7VoXjDm$k00000000ax$) = 0,101 [DM]</t>
  </si>
  <si>
    <t xml:space="preserve"> Staničení: 63,1426 - 63,14585: 1,97016340462758 (2_7VoXjDm$k00000000aY$) = 1,970 [DN]</t>
  </si>
  <si>
    <t xml:space="preserve"> Staničení: 63,07534 - 63,08534: 1,2507792310973 (2_7VoXjDm$k00000000a_$) = 1,251 [DO]</t>
  </si>
  <si>
    <t xml:space="preserve"> Staničení: 63,11677 - 63,11935: 1,45640984519936 (2_7VoXjDm$k00000000acl) = 1,456 [DP]</t>
  </si>
  <si>
    <t xml:space="preserve"> Staničení: 63,09951 - 63,10149: 1,004057307069 (2_7VoXjDm$k00000000afl) = 1,004 [DQ]</t>
  </si>
  <si>
    <t xml:space="preserve"> Staničení: 63,07934 - 63,08067: 0,507060340223293 (2_7VoXjDm$k00000000ail) = 0,507 [DR]</t>
  </si>
  <si>
    <t xml:space="preserve"> Staničení: 63,1544 - 63,15489: 0,123137326385642 (2_7VoXjDm$k00000000bC9) = 0,123 [DS]</t>
  </si>
  <si>
    <t xml:space="preserve"> Staničení: 63,187 - 63,18949: 1,18575781563272 (2_7VoXjDm$k00000000all) = 1,186 [DT]</t>
  </si>
  <si>
    <t xml:space="preserve"> Staničení: 63,11447 - 63,12447: 1,25113229065529 (2_7VoXjDm$k00000000b13) = 1,251 [DU]</t>
  </si>
  <si>
    <t xml:space="preserve"> Staničení: 63,16798 - 63,16896: 0,245313082060835 (2_7VoXjDm$k00000000avl) = 0,245 [DV]</t>
  </si>
  <si>
    <t xml:space="preserve"> Staničení: 63,17435 - 63,17586: 0,375315263576054 (2_7VoXjDm$k00000000ayl) = 0,375 [DW]</t>
  </si>
  <si>
    <t xml:space="preserve"> Staničení: 63,15762 - 63,16046: 1,60277947840824 (2_7VoXjDm$k00000000aWl) = 1,603 [DX]</t>
  </si>
  <si>
    <t xml:space="preserve"> Staničení: 63,13688 - 63,13998: 1,8665330845154 (2_7VoXjDm$k00000000aZl) = 1,867 [DY]</t>
  </si>
  <si>
    <t xml:space="preserve"> Staničení: 62,93832 - 62,94832: 1,25083243313582 (2_7VoXjDm$k00000000b39) = 1,251 [DZ]</t>
  </si>
  <si>
    <t xml:space="preserve"> Staničení: 63,11533 - 63,11786: 1,41916987190267 (2_7VoXjDm$k00000000acx) = 1,419 [EA]</t>
  </si>
  <si>
    <t xml:space="preserve"> Staničení: 63,13448 - 63,13598: 0,375286802152979 (2_7VoXjDm$k00000000b69) = 0,375 [EB]</t>
  </si>
  <si>
    <t xml:space="preserve"> Staničení: 63,09807 - 63,1: 0,966256590875176 (2_7VoXjDm$k00000000afx) = 0,966 [EC]</t>
  </si>
  <si>
    <t xml:space="preserve"> Staničení: 63,08648 - 63,08798: 0,375348826947287 (2_7VoXjDm$k00000000b99) = 0,375 [ED]</t>
  </si>
  <si>
    <t xml:space="preserve"> Staničení: 63,05435 - 63,05447: 0,0154638128770764 (2_7VoXjDm$k00000000a$l) = 0,015 [EE]</t>
  </si>
  <si>
    <t xml:space="preserve"> Staničení: 63,07789 - 63,07918: 0,476423257170912 (2_7VoXjDm$k00000000aix) = 0,476 [EF]</t>
  </si>
  <si>
    <t xml:space="preserve"> Staničení: 63,07148 - 63,07299: 0,375315044872097 (2_7VoXjDm$k00000000bA5) = 0,375 [EG]</t>
  </si>
  <si>
    <t xml:space="preserve"> Staničení: 63,12109 - 63,12382: 1,56813225934448 (2_7VoXjDm$k00000000acB) = 1,568 [EH]</t>
  </si>
  <si>
    <t xml:space="preserve"> Staničení: 63,16896 - 63,17046: 0,375270556865835 (2_7VoXjDm$k00000000avx) = 0,375 [EI]</t>
  </si>
  <si>
    <t xml:space="preserve"> Staničení: 63,10381 - 63,10594: 0,563636545788423 (2_7VoXjDm$k00000000afB) = 0,564 [EJ]</t>
  </si>
  <si>
    <t xml:space="preserve"> Staničení: 63,17135 - 63,17286: 0,375315017502548 (2_7VoXjDm$k00000000ayx) = 0,375 [EK]</t>
  </si>
  <si>
    <t xml:space="preserve"> Staničení: 63,08369 - 63,08515: 0,598964247146567 (2_7VoXjDm$k00000000aiB) = 0,599 [EL]</t>
  </si>
  <si>
    <t xml:space="preserve"> Staničení: 63,06055 - 63,06128: 0,0530366703767898 (2_7VoXjDm$k00000000alB) = 0,053 [EM]</t>
  </si>
  <si>
    <t xml:space="preserve"> Staničení: 63,18037 - 63,18187: 0,187628290891045 (2_7VoXjDm$k00000000ayB) = 0,188 [EN]</t>
  </si>
  <si>
    <t xml:space="preserve"> Staničení: 63,15599 - 63,159: 1,77127021158806 (2_7VoXjDm$k00000000aWx) = 1,771 [EO]</t>
  </si>
  <si>
    <t xml:space="preserve"> Staničení: 63,13544 - 63,13852: 1,8406224099529 (2_7VoXjDm$k00000000aZx) = 1,841 [EP]</t>
  </si>
  <si>
    <t xml:space="preserve"> Staničení: 63,12828 - 63,13119: 1,71108209149948 (2_7VoXjDm$k00000000aat) = 1,711 [EQ]</t>
  </si>
  <si>
    <t xml:space="preserve"> Staničení: 63,11948 - 63,12098: 0,375255945310646 (2_7VoXjDm$k00000000b75) = 0,375 [ER]</t>
  </si>
  <si>
    <t xml:space="preserve"> Staničení: 63,09089 - 63,09258: 0,777263132394445 (2_7VoXjDm$k00000000agt) = 0,777 [ES]</t>
  </si>
  <si>
    <t xml:space="preserve"> Staničení: 62,98832 - 62,99832: 1,25073737070031 (2_7VoXjDm$k00000000b45) = 1,251 [ET]</t>
  </si>
  <si>
    <t xml:space="preserve"> Staničení: 63,10813 - 63,11041: 1,23297793600041 (2_7VoXjDm$k00000000adt) = 1,233 [EU]</t>
  </si>
  <si>
    <t xml:space="preserve"> Staničení: 63,07063 - 63,07172: 0,323248357708499 (2_7VoXjDm$k00000000ajt) = 0,323 [EV]</t>
  </si>
  <si>
    <t xml:space="preserve"> Staničení: 63,05447 - 63,06447: 1,25092920203047 (2_7VoXjDm$k00000000a$x) = 1,251 [EW]</t>
  </si>
  <si>
    <t xml:space="preserve"> Staničení: 63,16378 - 63,16485: 0,153156378140883 (2_7VoXjDm$k00000000aWB) = 0,153 [EX]</t>
  </si>
  <si>
    <t xml:space="preserve"> Staničení: 63,14117 - 63,14438: 1,94426970440523 (2_7VoXjDm$k00000000aZB) = 1,944 [EY]</t>
  </si>
  <si>
    <t xml:space="preserve"> Staničení: 63,18209 - 63,1896: 1,88021810390755 (2_7VoXjDm$k00000000awt) = 1,880 [EZ]</t>
  </si>
  <si>
    <t xml:space="preserve"> Staničení: 63,13533 - 63,14533: 1,25098092937362 (2_7VoXjDm$k00000000azt) = 1,251 [FA]</t>
  </si>
  <si>
    <t xml:space="preserve"> Staničení: 63,06534 - 63,07534: 1,25079320967811 (2_7VoXjDm$k00000000a$B) = 1,251 [FB]</t>
  </si>
  <si>
    <t xml:space="preserve"> Staničení: 63,1484 - 63,1517: 1,99864086545967 (2_7VoXjDm$k00000000aXt) = 1,999 [FC]</t>
  </si>
  <si>
    <t xml:space="preserve"> Staničení: 63,16839 - 63,16989: 0,375291326225159 (2_7VoXjDm$k00000000bBD) = 0,375 [FD]</t>
  </si>
  <si>
    <t xml:space="preserve"> Staničení: 63,04832 - 63,05416: 0,730168169300047 (2_7VoXjDm$k00000000b5D) = 0,730 [FE]</t>
  </si>
  <si>
    <t xml:space="preserve"> Staničení: 63,10148 - 63,10298: 0,375378372558579 (2_7VoXjDm$k00000000b8D) = 0,375 [FF]</t>
  </si>
  <si>
    <t xml:space="preserve"> Staničení: 63,16539 - 63,16689: 0,375288100735076 (2_7VoXjDm$k00000000bBP) = 0,375 [FG]</t>
  </si>
  <si>
    <t xml:space="preserve"> Staničení: 62,96832 - 62,97832: 1,25083845020794 (2_7VoXjDm$k00000000b3j) = 1,251 [FH]</t>
  </si>
  <si>
    <t xml:space="preserve"> Staničení: 63,12548 - 63,12698: 0,375278602285308 (2_7VoXjDm$k00000000b6j) = 0,375 [FI]</t>
  </si>
  <si>
    <t xml:space="preserve"> Staničení: 63,15743 - 63,16038: 0,375337847888234 (2_7VoXjDm$k00000000b1$) = 0,375 [FJ]</t>
  </si>
  <si>
    <t xml:space="preserve"> Staničení: 63,07748 - 63,07899: 0,375304228890504 (2_7VoXjDm$k00000000b9j) = 0,375 [FK]</t>
  </si>
  <si>
    <t xml:space="preserve"> Staničení: 63,17738 - 63,17889: 0,375279405211125 (2_7VoXjDm$k00000000bAf) = 0,375 [FL]</t>
  </si>
  <si>
    <t xml:space="preserve"> Staničení: 63,15445 - 63,15745: 0,373911201466635 (2_7VoXjDm$k00000000b1p) = 0,374 [FM]</t>
  </si>
  <si>
    <t xml:space="preserve"> Staničení: 63,07447 - 63,08447: 1,25086881820143 (2_7VoXjDm$k00000000b0J) = 1,251 [FN]</t>
  </si>
  <si>
    <t xml:space="preserve"> Staničení: 63,14647 - 63,14798: 0,375285661533463 (2_7VoXjDm$k00000000b5P) = 0,375 [FO]</t>
  </si>
  <si>
    <t xml:space="preserve"> Staničení: 63,09848 - 63,09998: 0,37538247516752 (2_7VoXjDm$k00000000b8P) = 0,375 [FP]</t>
  </si>
  <si>
    <t xml:space="preserve"> Staničení: 63,11048 - 63,11198: 0,375237427356513 (2_7VoXjDm$k00000000b7f) = 0,375 [FQ]</t>
  </si>
  <si>
    <t xml:space="preserve"> Staničení: 63,01832 - 63,02832: 1,25086159983391 (2_7VoXjDm$k00000000b4f) = 1,251 [FR]</t>
  </si>
  <si>
    <t xml:space="preserve"> Staničení: 63,17438 - 63,17589: 0,375282966925724 (2_7VoXjDm$k00000000bAr) = 0,375 [FS]</t>
  </si>
  <si>
    <t xml:space="preserve"> Staničení: 63,12446 - 63,13447: 1,25110576452569 (2_7VoXjDm$k00000000b1F) = 1,251 [FT]</t>
  </si>
  <si>
    <t xml:space="preserve"> Staničení: 63,10748 - 63,10898: 0,375267743411857 (2_7VoXjDm$k00000000b7r) = 0,375 [FU]</t>
  </si>
  <si>
    <t xml:space="preserve"> Staničení: 63,02832 - 63,03832: 1,25083777004331 (2_7VoXjDm$k00000000b4r) = 1,251 [FV]</t>
  </si>
  <si>
    <t xml:space="preserve"> Staničení: 63,13258 - 63,13559: 1,78880355823491 (2_7VoXjDm$k00000000aaJ) = 1,789 [FW]</t>
  </si>
  <si>
    <t xml:space="preserve"> Staničení: 63,06447 - 63,07447: 1,25086134969224 (2_7VoXjDm$k00000000b07) = 1,251 [FX]</t>
  </si>
  <si>
    <t xml:space="preserve"> Staničení: 63,0952 - 63,09703: 0,890656925622199 (2_7VoXjDm$k00000000agJ) = 0,891 [FY]</t>
  </si>
  <si>
    <t xml:space="preserve"> Staničení: 63,11245 - 63,11488: 1,34469137951589 (2_7VoXjDm$k00000000adJ) = 1,345 [FZ]</t>
  </si>
  <si>
    <t xml:space="preserve"> Staničení: 63,07498 - 63,0762: 0,415150728450814 (2_7VoXjDm$k00000000ajJ) = 0,415 [GA]</t>
  </si>
  <si>
    <t xml:space="preserve"> Staničení: 63,17496 - 63,17646: 0,37528301135439 (2_7VoXjDm$k00000000awJ) = 0,375 [GB]</t>
  </si>
  <si>
    <t xml:space="preserve"> Staničení: 63,16535 - 63,16686: 0,375355193721274 (2_7VoXjDm$k00000000azJ) = 0,375 [GC]</t>
  </si>
  <si>
    <t xml:space="preserve"> Celkové množství 160.944000 = 160,944 [GD]</t>
  </si>
  <si>
    <t>915231</t>
  </si>
  <si>
    <t>VODOR DOPRAV ZNAČ PLASTEM PROFIL ZVUČÍCÍ - DOD A POKLÁDKA</t>
  </si>
  <si>
    <t>Kategorie stavebního výrobku:
Klasifikace dle CCI:
Podrobná specifikace:
Typ čar dle IMS a situace DZ D.8.2:
Reference:
TP 133,ČSN EN 1436, ČSN EN 1436 Změna Z1, ČSN EN 1790, ČSN EN 1423, ČSN P ENV 13459-2, ČSN P ENV 134593, TP 70, VL6.2, technická zpráva, situace DZ:
Specifikace:
plast s retroreflexní úpravou, profilovaná termoplastická hmota:
Stavební výrobek:
bílé vodorovné dopravní značení, zvučící:
Typ stavebního výrobku:
vodorovné dopravní značení:
Výrobce:
Nd:</t>
  </si>
  <si>
    <t xml:space="preserve"> Staničení: 0,27595 - 0,28602: 2,50317389193467 (2_7VoXjDm$k00000000YIt) = 2,503 [A]</t>
  </si>
  <si>
    <t xml:space="preserve"> Staničení: 0,59503 - 0,60494: 2,50439474565651 (2_7VoXjDm$k00000000YOt) = 2,504 [B]</t>
  </si>
  <si>
    <t xml:space="preserve"> Staničení: 0,43634 - 0,4463: 2,50514995341825 (2_7VoXjDm$k00000000YLt) = 2,505 [C]</t>
  </si>
  <si>
    <t xml:space="preserve"> Staničení: 0 - 0,00676: 1,6917472361323 (2_7VoXjDm$k00000000YDn) = 1,692 [D]</t>
  </si>
  <si>
    <t xml:space="preserve"> Staničení: 0,02676 - 0,03676: 2,50081236627646 (2_7VoXjDm$k00000000YEN) = 2,501 [E]</t>
  </si>
  <si>
    <t xml:space="preserve"> Staničení: 0,35635 - 0,36638: 2,50378583766724 (2_7VoXjDm$k00000000YKN) = 2,504 [F]</t>
  </si>
  <si>
    <t xml:space="preserve"> Staničení: 62,82956 - 62,83956: 2,50124424806445 (2_7VoXjDm$k00000000ZjO) = 2,501 [G]</t>
  </si>
  <si>
    <t xml:space="preserve"> Staničení: 0,19441 - 0,20498: 2,62651679866081 (2_7VoXjDm$k00000000YHN) = 2,627 [H]</t>
  </si>
  <si>
    <t xml:space="preserve"> Staničení: 0,51579 - 0,52569: 2,50481418960539 (2_7VoXjDm$k00000000YNN) = 2,505 [I]</t>
  </si>
  <si>
    <t xml:space="preserve"> Staničení: 62,79956 - 62,80956: 2,50101910494526 (2_7VoXjDm$k00000000Zjy) = 2,501 [J]</t>
  </si>
  <si>
    <t xml:space="preserve"> Staničení: 62,80588 - 62,81588: 2,50106035423151 (2_7VoXjDm$k00000000ZmO) = 2,501 [K]</t>
  </si>
  <si>
    <t xml:space="preserve"> Staničení: 62,77535 - 62,78588: 2,62592949329354 (2_7VoXjDm$k00000000Zmy) = 2,626 [L]</t>
  </si>
  <si>
    <t xml:space="preserve"> Staničení: 0,36885 - 0,37884: 2,50357149356933 (2_7VoXjDm$k00000000Y1n) = 2,504 [M]</t>
  </si>
  <si>
    <t xml:space="preserve"> Staničení: 0,45899 - 0,46905: 2,50550235477814 (2_7VoXjDm$k00000000Y3T) = 2,506 [N]</t>
  </si>
  <si>
    <t xml:space="preserve"> Staničení: 0,29913 - 0,30907: 2,50369814245621 (2_7VoXjDm$k00000000Y0T) = 2,504 [O]</t>
  </si>
  <si>
    <t xml:space="preserve"> Staničení: 0,52958 - 0,53967: 2,50471568112805 (2_7VoXjDm$k00000000Y4n) = 2,505 [P]</t>
  </si>
  <si>
    <t xml:space="preserve"> Staničení: 0,62044 - 0,63054: 2,50435056043598 (2_7VoXjDm$k00000000Y6T) = 2,504 [Q]</t>
  </si>
  <si>
    <t xml:space="preserve"> Staničení: 62,86956 - 62,87956: 2,50166003543395 (2_7VoXjDm$k00000000Zie) = 2,502 [R]</t>
  </si>
  <si>
    <t xml:space="preserve"> Staničení: 62,84588 - 62,85588: 2,5013978976541 (2_7VoXjDm$k00000000Zle) = 2,501 [S]</t>
  </si>
  <si>
    <t xml:space="preserve"> Staničení: 0,04677 - 0,05728: 2,62585142880816 (2_7VoXjDm$k00000000YEl) = 2,626 [T]</t>
  </si>
  <si>
    <t xml:space="preserve"> Staničení: 0,37639 - 0,3864: 2,50354337278317 (2_7VoXjDm$k00000000YKl) = 2,504 [U]</t>
  </si>
  <si>
    <t xml:space="preserve"> Staničení: 0,21555 - 0,22562: 2,50176587254632 (2_7VoXjDm$k00000000YHl) = 2,502 [V]</t>
  </si>
  <si>
    <t xml:space="preserve"> Staničení: 0,5356 - 0,5455: 2,50466951369974 (2_7VoXjDm$k00000000YNl) = 2,505 [W]</t>
  </si>
  <si>
    <t xml:space="preserve"> Staničení: 0,37884 - 0,38883: 2,50254705096053 (2_7VoXjDm$k00000000Y1z) = 2,503 [X]</t>
  </si>
  <si>
    <t xml:space="preserve"> Staničení: 0,53967 - 0,54977: 2,5046442689908 (2_7VoXjDm$k00000000Y4z) = 2,505 [Y]</t>
  </si>
  <si>
    <t xml:space="preserve"> Staničení: 62,76109 - 62,76861: 1,88341424777399 (2_7VoXjDm$k00000000ccI) = 1,883 [Z]</t>
  </si>
  <si>
    <t xml:space="preserve"> Staničení: 0,06295 - 0,07343: 2,62566155801015 (2_7VoXjDm$k00000000Xy9) = 2,626 [AA]</t>
  </si>
  <si>
    <t xml:space="preserve"> Staničení: 62,88956 - 62,89956: 2,50191742446067 (2_7VoXjDm$k00000000ZiG) = 2,502 [AB]</t>
  </si>
  <si>
    <t xml:space="preserve"> Staničení: 62,86588 - 62,87588: 2,50161625620667 (2_7VoXjDm$k00000000ZlG) = 2,502 [AC]</t>
  </si>
  <si>
    <t xml:space="preserve"> Staničení: 0,22959 - 0,23952: 2,50199915583786 (2_7VoXjDm$k00000000X$9) = 2,502 [AD]</t>
  </si>
  <si>
    <t xml:space="preserve"> Staničení: 0,17327 - 0,18384: 2,62628024611416 (2_7VoXjDm$k00000000YG$) = 2,626 [AE]</t>
  </si>
  <si>
    <t xml:space="preserve"> Staničení: 0,00676 - 0,01676: 2,50081236833444 (2_7VoXjDm$k00000000YD$) = 2,501 [AF]</t>
  </si>
  <si>
    <t xml:space="preserve"> Staničení: 0,33629 - 0,34632: 2,5037805795383 (2_7VoXjDm$k00000000YJ$) = 2,504 [AG]</t>
  </si>
  <si>
    <t xml:space="preserve"> Staničení: 0,49597 - 0,50588: 2,50498514458927 (2_7VoXjDm$k00000000YM$) = 2,505 [AH]</t>
  </si>
  <si>
    <t xml:space="preserve"> Staničení: 0,65446 - 0,66437: 2,50437958193271 (2_7VoXjDm$k00000000YP$) = 2,504 [AI]</t>
  </si>
  <si>
    <t xml:space="preserve"> Staničení: 62,84956 - 62,85956: 2,50143561244849 (2_7VoXjDm$k00000000Zj0) = 2,501 [AJ]</t>
  </si>
  <si>
    <t xml:space="preserve"> Staničení: 62,82588 - 62,83588: 2,50121263807547 (2_7VoXjDm$k00000000Zm0) = 2,501 [AK]</t>
  </si>
  <si>
    <t xml:space="preserve"> Staničení: 0,15707 - 0,1675: 2,62616642273724 (2_7VoXjDm$k00000000Xzr) = 2,626 [AL]</t>
  </si>
  <si>
    <t xml:space="preserve"> Staničení: 0,02297 - 0,03297: 2,50081236833334 (2_7VoXjDm$k00000000XxP) = 2,501 [AM]</t>
  </si>
  <si>
    <t xml:space="preserve"> Staničení: 0 - 0,00297: 0,742203997792729 (2_7VoXjDm$k00000000Xwp) = 0,742 [AN]</t>
  </si>
  <si>
    <t xml:space="preserve"> Staničení: 0,18836 - 0,19879: 2,62643192043757 (2_7VoXjDm$k00000000X_P) = 2,626 [AO]</t>
  </si>
  <si>
    <t xml:space="preserve"> Staničení: 0,09438 - 0,10484: 2,6261928875974 (2_7VoXjDm$k00000000Xyj) = 2,626 [AP]</t>
  </si>
  <si>
    <t xml:space="preserve"> Staničení: 0,06779 - 0,07831: 2,62600270796313 (2_7VoXjDm$k00000000YF7) = 2,626 [AQ]</t>
  </si>
  <si>
    <t xml:space="preserve"> Staničení: 0,23568 - 0,24575: 2,50214949396677 (2_7VoXjDm$k00000000YI7) = 2,502 [AR]</t>
  </si>
  <si>
    <t xml:space="preserve"> Staničení: 0,55541 - 0,56531: 2,50454718586731 (2_7VoXjDm$k00000000YO7) = 2,505 [AS]</t>
  </si>
  <si>
    <t xml:space="preserve"> Staničení: 0,39641 - 0,40641: 2,50250717505383 (2_7VoXjDm$k00000000YL7) = 2,503 [AT]</t>
  </si>
  <si>
    <t xml:space="preserve"> Staničení: 0,25939 - 0,26933: 2,50266702170945 (2_7VoXjDm$k00000000X$j) = 2,503 [AU]</t>
  </si>
  <si>
    <t xml:space="preserve"> Staničení: 0,12575 - 0,13619: 2,62615790639127 (2_7VoXjDm$k00000000XzH) = 2,626 [AV]</t>
  </si>
  <si>
    <t xml:space="preserve"> Staničení: 0,4389 - 0,44894: 2,50466470508783 (2_7VoXjDm$k00000000Y35) = 2,505 [AW]</t>
  </si>
  <si>
    <t xml:space="preserve"> Staničení: 0,27926 - 0,2892: 2,50321372350528 (2_7VoXjDm$k00000000Y05) = 2,503 [AX]</t>
  </si>
  <si>
    <t xml:space="preserve"> Staničení: 0,60025 - 0,61035: 2,50437780873978 (2_7VoXjDm$k00000000Y65) = 2,504 [AY]</t>
  </si>
  <si>
    <t xml:space="preserve"> Staničení: 0,03676 - 0,04677: 2,50081220209168 (2_7VoXjDm$k00000000YEZ) = 2,501 [AZ]</t>
  </si>
  <si>
    <t xml:space="preserve"> Staničení: 0,36638 - 0,37639: 2,50367600073595 (2_7VoXjDm$k00000000YKZ) = 2,504 [BA]</t>
  </si>
  <si>
    <t xml:space="preserve"> Staničení: 0,20498 - 0,21555: 2,62667186324582 (2_7VoXjDm$k00000000YHZ) = 2,627 [BB]</t>
  </si>
  <si>
    <t xml:space="preserve"> Staničení: 0,52569 - 0,5356: 2,50473828997136 (2_7VoXjDm$k00000000YNZ) = 2,505 [BC]</t>
  </si>
  <si>
    <t xml:space="preserve"> Staničení: 0,13101 - 0,14157: 2,62616243737392 (2_7VoXjDm$k00000000YGF) = 2,626 [BD]</t>
  </si>
  <si>
    <t xml:space="preserve"> Staničení: 0,39882 - 0,40883: 2,50154645444163 (2_7VoXjDm$k00000000Y2L) = 2,502 [BE]</t>
  </si>
  <si>
    <t xml:space="preserve"> Staničení: 0,29608 - 0,30614: 2,50373916772552 (2_7VoXjDm$k00000000YJF) = 2,504 [BF]</t>
  </si>
  <si>
    <t xml:space="preserve"> Staničení: 0,55987 - 0,56996: 2,50452507832712 (2_7VoXjDm$k00000000Y5L) = 2,505 [BG]</t>
  </si>
  <si>
    <t xml:space="preserve"> Staničení: 0,45626 - 0,4662: 2,50552526396393 (2_7VoXjDm$k00000000YMF) = 2,506 [BH]</t>
  </si>
  <si>
    <t xml:space="preserve"> Staničení: 62,85956 - 62,86956: 2,50154366241682 (2_7VoXjDm$k00000000Ziq) = 2,502 [BI]</t>
  </si>
  <si>
    <t xml:space="preserve"> Staničení: 0,61484 - 0,62475: 2,50436081216579 (2_7VoXjDm$k00000000YPF) = 2,504 [BJ]</t>
  </si>
  <si>
    <t xml:space="preserve"> Staničení: 62,83588 - 62,84588: 2,50130115021178 (2_7VoXjDm$k00000000Zlq) = 2,501 [BK]</t>
  </si>
  <si>
    <t xml:space="preserve"> Staničení: 0,05728 - 0,06779: 2,62584951721705 (2_7VoXjDm$k00000000YEx) = 2,626 [BL]</t>
  </si>
  <si>
    <t xml:space="preserve"> Staničení: 0,46905 - 0,47912: 2,50537129722133 (2_7VoXjDm$k00000000Y3f) = 2,505 [BM]</t>
  </si>
  <si>
    <t xml:space="preserve"> Staničení: 0,3864 - 0,39641: 2,50289039727207 (2_7VoXjDm$k00000000YKx) = 2,503 [BN]</t>
  </si>
  <si>
    <t xml:space="preserve"> Staničení: 0,30907 - 0,31902: 2,50371234882477 (2_7VoXjDm$k00000000Y0f) = 2,504 [BO]</t>
  </si>
  <si>
    <t xml:space="preserve"> Staničení: 0,22562 - 0,23568: 2,50194725688337 (2_7VoXjDm$k00000000YHx) = 2,502 [BP]</t>
  </si>
  <si>
    <t xml:space="preserve"> Staničení: 0,63054 - 0,64064: 2,50434875772935 (2_7VoXjDm$k00000000Y6f) = 2,504 [BQ]</t>
  </si>
  <si>
    <t xml:space="preserve"> Staničení: 0,5455 - 0,55541: 2,50460509348 (2_7VoXjDm$k00000000YNx) = 2,505 [BR]</t>
  </si>
  <si>
    <t xml:space="preserve"> Staničení: 0,15213 - 0,1627: 2,62615040838677 (2_7VoXjDm$k00000000YGd) = 2,626 [BS]</t>
  </si>
  <si>
    <t xml:space="preserve"> Staničení: 0,14157 - 0,15213: 2,62613825740396 (2_7VoXjDm$k00000000YGR) = 2,626 [BT]</t>
  </si>
  <si>
    <t xml:space="preserve"> Staničení: 0,3162 - 0,32625: 2,50377080672322 (2_7VoXjDm$k00000000YJd) = 2,504 [BU]</t>
  </si>
  <si>
    <t xml:space="preserve"> Staničení: 0,40883 - 0,41884: 2,50168218781774 (2_7VoXjDm$k00000000Y2X) = 2,502 [BV]</t>
  </si>
  <si>
    <t xml:space="preserve"> Staničení: 0,30614 - 0,3162: 2,50376206949875 (2_7VoXjDm$k00000000YJR) = 2,504 [BW]</t>
  </si>
  <si>
    <t xml:space="preserve"> Staničení: 0,47613 - 0,48606: 2,50524753885823 (2_7VoXjDm$k00000000YMd) = 2,505 [BX]</t>
  </si>
  <si>
    <t xml:space="preserve"> Staničení: 62,87956 - 62,88956: 2,50178459619939 (2_7VoXjDm$k00000000ZiS) = 2,502 [BY]</t>
  </si>
  <si>
    <t xml:space="preserve"> Staničení: 0,56996 - 0,58006: 2,50447712418582 (2_7VoXjDm$k00000000Y5X) = 2,504 [BZ]</t>
  </si>
  <si>
    <t xml:space="preserve"> Staničení: 0,4662 - 0,47613: 2,50538541082844 (2_7VoXjDm$k00000000YMR) = 2,505 [CA]</t>
  </si>
  <si>
    <t xml:space="preserve"> Staničení: 0,63465 - 0,64456: 2,50435562213013 (2_7VoXjDm$k00000000YPd) = 2,504 [CB]</t>
  </si>
  <si>
    <t xml:space="preserve"> Staničení: 62,85588 - 62,86588: 2,50150299908547 (2_7VoXjDm$k00000000ZlS) = 2,502 [CC]</t>
  </si>
  <si>
    <t xml:space="preserve"> Staničení: 0,62475 - 0,63465: 2,50435472107985 (2_7VoXjDm$k00000000YPR) = 2,504 [CD]</t>
  </si>
  <si>
    <t xml:space="preserve"> Staničení: 0,47912 - 0,4892: 2,50523421785158 (2_7VoXjDm$k00000000Y3r) = 2,505 [CE]</t>
  </si>
  <si>
    <t xml:space="preserve"> Staničení: 0,31902 - 0,32897: 2,5037314529382 (2_7VoXjDm$k00000000Y0r) = 2,504 [CF]</t>
  </si>
  <si>
    <t xml:space="preserve"> Staničení: 0,64064 - 0,65073: 2,50435398304969 (2_7VoXjDm$k00000000Y6r) = 2,504 [CG]</t>
  </si>
  <si>
    <t xml:space="preserve"> Staničení: 62,89588 - 62,90588: 2,50200563073253 (2_7VoXjDm$k00000000Zki) = 2,502 [CH]</t>
  </si>
  <si>
    <t xml:space="preserve"> Staničení: 0,00297 - 0,01297: 2,50081278672514 (2_7VoXjDm$k00000000Xx1) = 2,501 [CI]</t>
  </si>
  <si>
    <t xml:space="preserve"> Staničení: 0,33893 - 0,3489: 2,50374701815851 (2_7VoXjDm$k00000000Y1D) = 2,504 [CJ]</t>
  </si>
  <si>
    <t xml:space="preserve"> Staničení: 0,66083 - 0,67093: 2,50438813245633 (2_7VoXjDm$k00000000Y7D) = 2,504 [CK]</t>
  </si>
  <si>
    <t xml:space="preserve"> Staničení: 0,49929 - 0,50938: 2,50498610898507 (2_7VoXjDm$k00000000Y4D) = 2,505 [CL]</t>
  </si>
  <si>
    <t xml:space="preserve"> Staničení: 0,1675 - 0,17793: 2,62623192820483 (2_7VoXjDm$k00000000X_1) = 2,626 [CM]</t>
  </si>
  <si>
    <t xml:space="preserve"> Staničení: 62,90588 - 62,908: 0,529141521632228 (2_7VoXjDm$k00000000ccg) = 0,529 [CN]</t>
  </si>
  <si>
    <t xml:space="preserve"> Staničení: 62,77908 - 62,78956: 2,62594663792546 (2_7VoXjDm$k00000000ZkK) = 2,626 [CO]</t>
  </si>
  <si>
    <t xml:space="preserve"> Staničení: 62,87588 - 62,88588: 2,50173773531205 (2_7VoXjDm$k00000000Zl4) = 2,502 [CP]</t>
  </si>
  <si>
    <t xml:space="preserve"> Staničení: 0,10484 - 0,1153: 2,62617967438346 (2_7VoXjDm$k00000000Xyv) = 2,626 [CQ]</t>
  </si>
  <si>
    <t xml:space="preserve"> Staničení: 0,26933 - 0,27926: 2,50292910143219 (2_7VoXjDm$k00000000X$v) = 2,503 [CR]</t>
  </si>
  <si>
    <t xml:space="preserve"> Staničení: 0,03297 - 0,04297: 2,50061083261716 (2_7VoXjDm$k00000000Xxb) = 2,501 [CS]</t>
  </si>
  <si>
    <t xml:space="preserve"> Staničení: 0,13619 - 0,14663: 2,62615598090999 (2_7VoXjDm$k00000000XzT) = 2,626 [CT]</t>
  </si>
  <si>
    <t xml:space="preserve"> Staničení: 0,19879 - 0,20922: 2,62656623670702 (2_7VoXjDm$k00000000X_b) = 2,627 [CU]</t>
  </si>
  <si>
    <t xml:space="preserve"> Staničení: 0,04297 - 0,05296: 2,5002318147962 (2_7VoXjDm$k00000000Xxn) = 2,500 [CV]</t>
  </si>
  <si>
    <t xml:space="preserve"> Staničení: 0,20922 - 0,21965: 2,62672359921162 (2_7VoXjDm$k00000000X_n) = 2,627 [CW]</t>
  </si>
  <si>
    <t xml:space="preserve"> Staničení: 0,07343 - 0,08391: 2,62612381793071 (2_7VoXjDm$k00000000XyL) = 2,626 [CX]</t>
  </si>
  <si>
    <t xml:space="preserve"> Staničení: 0,23952 - 0,24946: 2,50220334153219 (2_7VoXjDm$k00000000X$L) = 2,502 [CY]</t>
  </si>
  <si>
    <t xml:space="preserve"> Staničení: 0,38883 - 0,39882: 2,50183892868954 (2_7VoXjDm$k00000000Y29) = 2,502 [CZ]</t>
  </si>
  <si>
    <t xml:space="preserve"> Staničení: 0,54977 - 0,55987: 2,50458110711033 (2_7VoXjDm$k00000000Y59) = 2,505 [DA]</t>
  </si>
  <si>
    <t xml:space="preserve"> Staničení: 0,1627 - 0,17327: 2,6261992393054 (2_7VoXjDm$k00000000YGp) = 2,626 [DB]</t>
  </si>
  <si>
    <t xml:space="preserve"> Staničení: 0,32625 - 0,33629: 2,50377665788394 (2_7VoXjDm$k00000000YJp) = 2,504 [DC]</t>
  </si>
  <si>
    <t xml:space="preserve"> Staničení: 0,48606 - 0,49597: 2,50514109045472 (2_7VoXjDm$k00000000YMp) = 2,505 [DD]</t>
  </si>
  <si>
    <t xml:space="preserve"> Staničení: 0,64456 - 0,65446: 2,50436404679585 (2_7VoXjDm$k00000000YPp) = 2,504 [DE]</t>
  </si>
  <si>
    <t xml:space="preserve"> Staničení: 0,07831 - 0,08884: 2,62620256430832 (2_7VoXjDm$k00000000YFJ) = 2,626 [DF]</t>
  </si>
  <si>
    <t xml:space="preserve"> Staničení: 0,24575 - 0,25582: 2,50237654758708 (2_7VoXjDm$k00000000YIJ) = 2,502 [DG]</t>
  </si>
  <si>
    <t xml:space="preserve"> Staničení: 0,56531 - 0,57522: 2,50449743489565 (2_7VoXjDm$k00000000YOJ) = 2,504 [DH]</t>
  </si>
  <si>
    <t xml:space="preserve"> Staničení: 62,88588 - 62,89588: 2,50186766286287 (2_7VoXjDm$k00000000Zku) = 2,502 [DI]</t>
  </si>
  <si>
    <t xml:space="preserve"> Staničení: 0,40641 - 0,41639: 2,50254115585081 (2_7VoXjDm$k00000000YLJ) = 2,503 [DJ]</t>
  </si>
  <si>
    <t xml:space="preserve"> Staničení: 0,41884 - 0,42887: 2,50226141539833 (2_7VoXjDm$k00000000Y2j) = 2,502 [DK]</t>
  </si>
  <si>
    <t xml:space="preserve"> Staničení: 62,89956 - 62,908: 2,11061473937383 (2_7VoXjDm$k00000000ccs) = 2,111 [DL]</t>
  </si>
  <si>
    <t xml:space="preserve"> Staničení: 0,58006 - 0,59016: 2,50443679021339 (2_7VoXjDm$k00000000Y5j) = 2,504 [DM]</t>
  </si>
  <si>
    <t xml:space="preserve"> Staničení: 0,3489 - 0,35887: 2,50375653295226 (2_7VoXjDm$k00000000Y1P) = 2,504 [DN]</t>
  </si>
  <si>
    <t xml:space="preserve"> Staničení: 0,50938 - 0,51948: 2,50488466703242 (2_7VoXjDm$k00000000Y4P) = 2,505 [DO]</t>
  </si>
  <si>
    <t xml:space="preserve"> Staničení: 62,81956 - 62,82956: 2,5011609172671 (2_7VoXjDm$k00000000Zja) = 2,501 [DP]</t>
  </si>
  <si>
    <t xml:space="preserve"> Staničení: 62,79588 - 62,80588: 2,50099660611484 (2_7VoXjDm$k00000000Zma) = 2,501 [DQ]</t>
  </si>
  <si>
    <t xml:space="preserve"> Staničení: 0,09937 - 0,10991: 2,62619009384492 (2_7VoXjDm$k00000000YFh) = 2,626 [DR]</t>
  </si>
  <si>
    <t xml:space="preserve"> Staničení: 0,26588 - 0,27595: 2,50288628176884 (2_7VoXjDm$k00000000YIh) = 2,503 [DS]</t>
  </si>
  <si>
    <t xml:space="preserve"> Staničení: 0,58513 - 0,59503: 2,50442163909067 (2_7VoXjDm$k00000000YOh) = 2,504 [DT]</t>
  </si>
  <si>
    <t xml:space="preserve"> Staničení: 62,76861 - 62,77908: 2,62590017556545 (2_7VoXjDm$k00000000ZkW) = 2,626 [DU]</t>
  </si>
  <si>
    <t xml:space="preserve"> Staničení: 0,42637 - 0,43634: 2,50386334812738 (2_7VoXjDm$k00000000YLh) = 2,504 [DV]</t>
  </si>
  <si>
    <t xml:space="preserve"> Staničení: 62,76109 - 62,76483: 0,933864089625458 (2_7VoXjDm$k00000000ccU) = 0,934 [DW]</t>
  </si>
  <si>
    <t xml:space="preserve"> Staničení: 0,42887 - 0,4389: 2,50328457507086 (2_7VoXjDm$k00000000Y2v) = 2,503 [DX]</t>
  </si>
  <si>
    <t xml:space="preserve"> Staničení: 0,59016 - 0,60025: 2,50440299239636 (2_7VoXjDm$k00000000Y5v) = 2,504 [DY]</t>
  </si>
  <si>
    <t xml:space="preserve"> Staničení: 0,1153 - 0,12575: 2,62617679674821 (2_7VoXjDm$k00000000Xz5) = 2,626 [DZ]</t>
  </si>
  <si>
    <t xml:space="preserve"> Staničení: 62,80956 - 62,81956: 2,50108588509586 (2_7VoXjDm$k00000000Zjm) = 2,501 [EA]</t>
  </si>
  <si>
    <t xml:space="preserve"> Staničení: 62,78588 - 62,79588: 2,50093934747467 (2_7VoXjDm$k00000000Zmm) = 2,501 [EB]</t>
  </si>
  <si>
    <t xml:space="preserve"> Staničení: 0,44894 - 0,45899: 2,50565996130364 (2_7VoXjDm$k00000000Y3H) = 2,506 [EC]</t>
  </si>
  <si>
    <t xml:space="preserve"> Staničení: 0,2892 - 0,29913: 2,50351684045259 (2_7VoXjDm$k00000000Y0H) = 2,504 [ED]</t>
  </si>
  <si>
    <t xml:space="preserve"> Staničení: 62,83956 - 62,84956: 2,50133580131536 (2_7VoXjDm$k00000000ZjC) = 2,501 [EE]</t>
  </si>
  <si>
    <t xml:space="preserve"> Staničení: 0,61035 - 0,62044: 2,50436069731959 (2_7VoXjDm$k00000000Y6H) = 2,504 [EF]</t>
  </si>
  <si>
    <t xml:space="preserve"> Staničení: 62,81588 - 62,82588: 2,50113235067161 (2_7VoXjDm$k00000000ZmC) = 2,501 [EG]</t>
  </si>
  <si>
    <t xml:space="preserve"> Staničení: 0,35887 - 0,36885: 2,5037555200728 (2_7VoXjDm$k00000000Y1b) = 2,504 [EH]</t>
  </si>
  <si>
    <t xml:space="preserve"> Staničení: 0,51948 - 0,52958: 2,50479769118971 (2_7VoXjDm$k00000000Y4b) = 2,505 [EI]</t>
  </si>
  <si>
    <t xml:space="preserve"> Staničení: 62,78956 - 62,79956: 2,50096058847727 (2_7VoXjDm$k00000000Zk8) = 2,501 [EJ]</t>
  </si>
  <si>
    <t xml:space="preserve"> Staničení: 62,76483 - 62,77535: 2,62588674441651 (2_7VoXjDm$k00000000Zn8) = 2,626 [EK]</t>
  </si>
  <si>
    <t xml:space="preserve"> Staničení: 0,05296 - 0,06295: 2,50017745028163 (2_7VoXjDm$k00000000Xxz) = 2,500 [EL]</t>
  </si>
  <si>
    <t xml:space="preserve"> Staničení: 0,21965 - 0,22959: 2,5018154852856 (2_7VoXjDm$k00000000X_z) = 2,502 [EM]</t>
  </si>
  <si>
    <t xml:space="preserve"> Staničení: 0,14663 - 0,15707: 2,62613775884259 (2_7VoXjDm$k00000000Xzf) = 2,626 [EN]</t>
  </si>
  <si>
    <t xml:space="preserve"> Staničení: 0,08391 - 0,09438: 2,62619623940452 (2_7VoXjDm$k00000000XyX) = 2,626 [EO]</t>
  </si>
  <si>
    <t xml:space="preserve"> Staničení: 0,12046 - 0,13101: 2,62616391844402 (2_7VoXjDm$k00000000YG3) = 2,626 [EP]</t>
  </si>
  <si>
    <t xml:space="preserve"> Staničení: 0,28602 - 0,29608: 2,50347716875645 (2_7VoXjDm$k00000000YJ3) = 2,503 [EQ]</t>
  </si>
  <si>
    <t xml:space="preserve"> Staničení: 0,4463 - 0,45626: 2,50563730263497 (2_7VoXjDm$k00000000YM3) = 2,506 [ER]</t>
  </si>
  <si>
    <t xml:space="preserve"> Staničení: 0,60494 - 0,61484: 2,50437413436172 (2_7VoXjDm$k00000000YP3) = 2,504 [ES]</t>
  </si>
  <si>
    <t xml:space="preserve"> Staničení: 0,24946 - 0,25939: 2,50242651734877 (2_7VoXjDm$k00000000X$X) = 2,502 [ET]</t>
  </si>
  <si>
    <t xml:space="preserve"> Staničení: 0,01297 - 0,02297: 2,50081236838419 (2_7VoXjDm$k00000000XxD) = 2,501 [EU]</t>
  </si>
  <si>
    <t xml:space="preserve"> Staničení: 0,17793 - 0,18836: 2,62632043353486 (2_7VoXjDm$k00000000X_D) = 2,626 [EV]</t>
  </si>
  <si>
    <t xml:space="preserve"> Staničení: 0,32897 - 0,33893: 2,50373578414549 (2_7VoXjDm$k00000000Y11) = 2,504 [EW]</t>
  </si>
  <si>
    <t xml:space="preserve"> Staničení: 0,65073 - 0,66083: 2,50436708066723 (2_7VoXjDm$k00000000Y71) = 2,504 [EX]</t>
  </si>
  <si>
    <t xml:space="preserve"> Staničení: 0,4892 - 0,49929: 2,50510322099679 (2_7VoXjDm$k00000000Y41) = 2,505 [EY]</t>
  </si>
  <si>
    <t xml:space="preserve"> Staničení: 0,08884 - 0,09937: 2,62619351985216 (2_7VoXjDm$k00000000YFV) = 2,626 [EZ]</t>
  </si>
  <si>
    <t xml:space="preserve"> Staničení: 0,25582 - 0,26588: 2,50262159571515 (2_7VoXjDm$k00000000YIV) = 2,503 [FA]</t>
  </si>
  <si>
    <t xml:space="preserve"> Staničení: 0,57522 - 0,58513: 2,50445521082894 (2_7VoXjDm$k00000000YOV) = 2,504 [FB]</t>
  </si>
  <si>
    <t xml:space="preserve"> Staničení: 0,41639 - 0,42637: 2,50299303618396 (2_7VoXjDm$k00000000YLV) = 2,503 [FC]</t>
  </si>
  <si>
    <t xml:space="preserve"> Staničení: 0,01676 - 0,02676: 2,50081236836062 (2_7VoXjDm$k00000000YEB) = 2,501 [FD]</t>
  </si>
  <si>
    <t xml:space="preserve"> Staničení: 0,34632 - 0,35635: 2,50378419527668 (2_7VoXjDm$k00000000YKB) = 2,504 [FE]</t>
  </si>
  <si>
    <t xml:space="preserve"> Staničení: 0,18384 - 0,19441: 2,62638711657055 (2_7VoXjDm$k00000000YHB) = 2,626 [FF]</t>
  </si>
  <si>
    <t xml:space="preserve"> Staničení: 0,50588 - 0,51579: 2,50489875162949 (2_7VoXjDm$k00000000YNB) = 2,505 [FG]</t>
  </si>
  <si>
    <t xml:space="preserve"> Staničení: 0,66437 - 0,67428: 2,50440167510924 (2_7VoXjDm$k00000000YQB) = 2,504 [FH]</t>
  </si>
  <si>
    <t xml:space="preserve"> Staničení: 0,10991 - 0,12046: 2,62617577373162 (2_7VoXjDm$k00000000YFt) = 2,626 [FI]</t>
  </si>
  <si>
    <t xml:space="preserve"> Celkové množství 410.202000 = 410,202 [FJ]</t>
  </si>
  <si>
    <t xml:space="preserve"> Staničení: 63,03588 - 63,04588: 2,50385813510635 (2_7VoXjDm$k00000000asj) = 2,504 [A]</t>
  </si>
  <si>
    <t xml:space="preserve"> Staničení: 63,10955 - 63,11956: 2,50372653301527 (2_7VoXjDm$k00000000anF) = 2,504 [B]</t>
  </si>
  <si>
    <t xml:space="preserve"> Staničení: 62,94956 - 62,95956: 2,50232494969105 (2_7VoXjDm$k00000000aqF) = 2,502 [C]</t>
  </si>
  <si>
    <t xml:space="preserve"> Staničení: 62,98588 - 62,99588: 2,50181483163556 (2_7VoXjDm$k00000000atf) = 2,502 [D]</t>
  </si>
  <si>
    <t xml:space="preserve"> Staničení: 63,00588 - 63,01588: 2,50179626216767 (2_7VoXjDm$k00000000atH) = 2,502 [E]</t>
  </si>
  <si>
    <t xml:space="preserve"> Staničení: 63,09956 - 63,10956: 2,50340146046084 (2_7VoXjDm$k00000000anR) = 2,503 [F]</t>
  </si>
  <si>
    <t xml:space="preserve"> Staničení: 62,93956 - 62,94956: 2,50244855625256 (2_7VoXjDm$k00000000aqR) = 2,502 [G]</t>
  </si>
  <si>
    <t xml:space="preserve"> Staničení: 63,11955 - 63,12955: 2,50377999463797 (2_7VoXjDm$k00000000an3) = 2,504 [H]</t>
  </si>
  <si>
    <t xml:space="preserve"> Staničení: 62,95956 - 62,96956: 2,50268491564104 (2_7VoXjDm$k00000000aq3) = 2,503 [I]</t>
  </si>
  <si>
    <t xml:space="preserve"> Staničení: 62,96588 - 62,97588: 2,50281257041583 (2_7VoXjDm$k00000000au1) = 2,503 [J]</t>
  </si>
  <si>
    <t xml:space="preserve"> Staničení: 63,13953 - 63,14953: 2,50430051823398 (2_7VoXjDm$k00000000amh) = 2,504 [K]</t>
  </si>
  <si>
    <t xml:space="preserve"> Staničení: 62,97956 - 62,98956: 2,50260193254695 (2_7VoXjDm$k00000000aph) = 2,503 [L]</t>
  </si>
  <si>
    <t xml:space="preserve"> Staničení: 62,97588 - 62,98588: 2,50244743646488 (2_7VoXjDm$k00000000atr) = 2,502 [M]</t>
  </si>
  <si>
    <t xml:space="preserve"> Staničení: 62,95588 - 62,96588: 2,50264833934594 (2_7VoXjDm$k00000000auD) = 2,503 [N]</t>
  </si>
  <si>
    <t xml:space="preserve"> Staničení: 63,08956 - 63,09956: 2,5028794853608 (2_7VoXjDm$k00000000and) = 2,503 [O]</t>
  </si>
  <si>
    <t xml:space="preserve"> Staničení: 62,92956 - 62,93956: 2,50279573059471 (2_7VoXjDm$k00000000aqd) = 2,503 [P]</t>
  </si>
  <si>
    <t xml:space="preserve"> Staničení: 63,04956 - 63,05956: 2,50407958641382 (2_7VoXjDm$k00000000aoN) = 2,504 [Q]</t>
  </si>
  <si>
    <t xml:space="preserve"> Staničení: 63,10631 - 63,11632: 2,50215684529392 (2_7VoXjDm$k00000000arP) = 2,502 [R]</t>
  </si>
  <si>
    <t xml:space="preserve"> Staničení: 63,08634 - 63,09634: 2,50245061950313 (2_7VoXjDm$k00000000arn) = 2,502 [S]</t>
  </si>
  <si>
    <t xml:space="preserve"> Staničení: 62,94588 - 62,95588: 2,50242477521099 (2_7VoXjDm$k00000000auP) = 2,502 [T]</t>
  </si>
  <si>
    <t xml:space="preserve"> Staničení: 62,92588 - 62,93588: 2,50167291262523 (2_7VoXjDm$k00000000aun) = 2,502 [U]</t>
  </si>
  <si>
    <t xml:space="preserve"> Staničení: 63,07956 - 63,08956: 2,50220106745736 (2_7VoXjDm$k00000000anp) = 2,502 [V]</t>
  </si>
  <si>
    <t xml:space="preserve"> Staničení: 62,91956 - 62,92956: 2,50233934307292 (2_7VoXjDm$k00000000aqp) = 2,502 [W]</t>
  </si>
  <si>
    <t xml:space="preserve"> Staničení: 63,03956 - 63,04956: 2,50400925231088 (2_7VoXjDm$k00000000aoZ) = 2,504 [X]</t>
  </si>
  <si>
    <t xml:space="preserve"> Staničení: 63,14953 - 63,15953: 2,50407785402806 (2_7VoXjDm$k00000000amV) = 2,504 [Y]</t>
  </si>
  <si>
    <t xml:space="preserve"> Staničení: 62,98956 - 62,99956: 2,50232779087484 (2_7VoXjDm$k00000000apV) = 2,502 [Z]</t>
  </si>
  <si>
    <t xml:space="preserve"> Staničení: 63,16953 - 63,17953: 2,50355628016826 (2_7VoXjDm$k00000000am7) = 2,504 [AA]</t>
  </si>
  <si>
    <t xml:space="preserve"> Staničení: 63,00956 - 63,01956: 2,5033684758388 (2_7VoXjDm$k00000000ap7) = 2,503 [AB]</t>
  </si>
  <si>
    <t xml:space="preserve"> Staničení: 63,06588 - 63,07637: 2,62721380244383 (2_7VoXjDm$k00000000as9) = 2,627 [AC]</t>
  </si>
  <si>
    <t xml:space="preserve"> Staničení: 62,908 - 62,91589: 1,97263729377376 (2_7VoXjDm$k00000000av9) = 1,973 [AD]</t>
  </si>
  <si>
    <t xml:space="preserve"> Staničení: 63,01588 - 63,02588: 2,5019839336868 (2_7VoXjDm$k00000000at5) = 2,502 [AE]</t>
  </si>
  <si>
    <t xml:space="preserve"> Staničení: 63,06956 - 63,07956: 2,50277645528765 (2_7VoXjDm$k00000000an$) = 2,503 [AF]</t>
  </si>
  <si>
    <t xml:space="preserve"> Staničení: 62,90956 - 62,91956: 2,50202378538192 (2_7VoXjDm$k00000000aq$) = 2,502 [AG]</t>
  </si>
  <si>
    <t xml:space="preserve"> Staničení: 63,07635 - 63,08635: 2,50280980578522 (2_7VoXjDm$k00000000arz) = 2,503 [AH]</t>
  </si>
  <si>
    <t xml:space="preserve"> Staničení: 62,91588 - 62,92588: 2,50172111814166 (2_7VoXjDm$k00000000auz) = 2,502 [AI]</t>
  </si>
  <si>
    <t xml:space="preserve"> Staničení: 63,05588 - 63,06588: 2,50377973060069 (2_7VoXjDm$k00000000asL) = 2,504 [AJ]</t>
  </si>
  <si>
    <t xml:space="preserve"> Staničení: 63,02956 - 63,03956: 2,50316886027598 (2_7VoXjDm$k00000000aol) = 2,503 [AK]</t>
  </si>
  <si>
    <t xml:space="preserve"> Staničení: 63,02588 - 63,03588: 2,50264365257808 (2_7VoXjDm$k00000000asv) = 2,503 [AL]</t>
  </si>
  <si>
    <t xml:space="preserve"> Staničení: 63,04588 - 63,05588: 2,50420602740525 (2_7VoXjDm$k00000000asX) = 2,504 [AM]</t>
  </si>
  <si>
    <t xml:space="preserve"> Staničení: 63,01956 - 63,02956: 2,50242007574697 (2_7VoXjDm$k00000000aox) = 2,502 [AN]</t>
  </si>
  <si>
    <t xml:space="preserve"> Staničení: 63,17953 - 63,18953: 2,50311697416414 (2_7VoXjDm$k00000000alx) = 2,503 [AO]</t>
  </si>
  <si>
    <t xml:space="preserve"> Staničení: 63,05956 - 63,06956: 2,5040062964009 (2_7VoXjDm$k00000000aoB) = 2,504 [AP]</t>
  </si>
  <si>
    <t xml:space="preserve"> Staničení: 62,908 - 62,90957: 0,391092716976795 (2_7VoXjDm$k00000000arB) = 0,391 [AQ]</t>
  </si>
  <si>
    <t xml:space="preserve"> Staničení: 63,09632 - 63,10632: 2,50179174912922 (2_7VoXjDm$k00000000arb) = 2,502 [AR]</t>
  </si>
  <si>
    <t xml:space="preserve"> Staničení: 62,99588 - 63,00588: 2,50164902774607 (2_7VoXjDm$k00000000atT) = 2,502 [AS]</t>
  </si>
  <si>
    <t xml:space="preserve"> Staničení: 62,93588 - 62,94588: 2,50211699842956 (2_7VoXjDm$k00000000aub) = 2,502 [AT]</t>
  </si>
  <si>
    <t xml:space="preserve"> Staničení: 63,12954 - 63,13954: 2,50423406888413 (2_7VoXjDm$k00000000amt) = 2,504 [AU]</t>
  </si>
  <si>
    <t xml:space="preserve"> Staničení: 62,96956 - 62,97956: 2,50302383393063 (2_7VoXjDm$k00000000apt) = 2,503 [AV]</t>
  </si>
  <si>
    <t xml:space="preserve"> Staničení: 63,15953 - 63,16953: 2,50346355615787 (2_7VoXjDm$k00000000amJ) = 2,503 [AW]</t>
  </si>
  <si>
    <t xml:space="preserve"> Staničení: 62,99956 - 63,00956: 2,50325202636302 (2_7VoXjDm$k00000000apJ) = 2,503 [AX]</t>
  </si>
  <si>
    <t xml:space="preserve"> Celkové množství 122.625000 = 122,625 [AY]</t>
  </si>
  <si>
    <t>SO301</t>
  </si>
  <si>
    <t>Silniční kanalizace</t>
  </si>
  <si>
    <t xml:space="preserve"> Staničení: 0,68708 - 1,14215: 1076,16239810571 (2FVkuq9Gth$00000000X8Y) = 1076,162 [A]</t>
  </si>
  <si>
    <t xml:space="preserve"> Celkové množství 1076.162000 = 1076,162 [B]</t>
  </si>
  <si>
    <t>133832</t>
  </si>
  <si>
    <t>HLOUBENÍ ŠACHET ZAPAŽ I NEPAŽ TŘ. II, ODVOZ DO 2KM</t>
  </si>
  <si>
    <t xml:space="preserve"> Staničení: 0,91231 - 0,91469: 10,5068085194338 (2FVkuq9Gth$00000000X0Q) = 10,507 [A]</t>
  </si>
  <si>
    <t xml:space="preserve"> Staničení: 0,76122 - 0,76363: 12,5204319626245 (2FVkuq9Gth$00000000X1c) = 12,520 [B]</t>
  </si>
  <si>
    <t xml:space="preserve"> Staničení: 1,04034 - 1,04264: 11,1815269438457 (2FVkuq9Gth$00000000X7P) = 11,182 [C]</t>
  </si>
  <si>
    <t xml:space="preserve"> Staničení: 1,14031 - 1,14261: 10,2995917822584 (2FVkuq9Gth$00000000X9k) = 10,300 [D]</t>
  </si>
  <si>
    <t xml:space="preserve"> Staničení: 0,72544 - 0,72791: 10,9085121893311 (2FVkuq9Gth$00000000X1k) = 10,909 [E]</t>
  </si>
  <si>
    <t xml:space="preserve"> Staničení: 0,8428 - 0,84519: 10,9831447143352 (2FVkuq9Gth$00000000X0j) = 10,983 [F]</t>
  </si>
  <si>
    <t xml:space="preserve"> Staničení: 0,8644 - 0,86679: 10,2430556471267 (2FVkuq9Gth$00000000X85) = 10,243 [G]</t>
  </si>
  <si>
    <t xml:space="preserve"> Staničení: 0,94034 - 0,94264: 10,9602118361164 (2FVkuq9Gth$00000000X05) = 10,960 [H]</t>
  </si>
  <si>
    <t xml:space="preserve"> Staničení: 1,09034 - 1,09265: 10,2546450015495 (2FVkuq9Gth$00000000W$m) = 10,255 [I]</t>
  </si>
  <si>
    <t xml:space="preserve"> Staničení: 0,68472 - 0,68717: 10,8297213998688 (2FVkuq9Gth$00000000X9o) = 10,830 [J]</t>
  </si>
  <si>
    <t xml:space="preserve"> Staničení: 0,78027 - 0,78259: 10,3124458589667 (2FVkuq9Gth$00000000X1J) = 10,312 [K]</t>
  </si>
  <si>
    <t xml:space="preserve"> Staničení: 0,99034 - 0,99264: 11,8812445762484 (2FVkuq9Gth$00000000X01) = 11,881 [L]</t>
  </si>
  <si>
    <t xml:space="preserve"> Staničení: 0,79831 - 0,8007: 11,928834120167 (2FVkuq9Gth$00000000X10) = 11,929 [M]</t>
  </si>
  <si>
    <t xml:space="preserve"> Celkové množství 142.811000 = 142,811 [N]</t>
  </si>
  <si>
    <t>Materiál:
ŠDA:
podrobná specifikace:
GE, zásyp hutněný po vrstvách:
Reference:
ČSN 73 6126-1, D.9.4 uložení potrubí, D.9.1 technická zpráva:
specifikace:
ŠDA fr. 0/63:</t>
  </si>
  <si>
    <t xml:space="preserve"> Staničení: 0,76357 - 0,78027: 13,6802432968956 (2FVkuq9Gth$00000000XE8) = 13,680 [A]</t>
  </si>
  <si>
    <t xml:space="preserve"> Staničení: 0,80064 - 0,84287: 42,6755217806224 (2FVkuq9Gth$00000000XE3) = 42,676 [B]</t>
  </si>
  <si>
    <t xml:space="preserve"> Staničení: 0,78259 - 0,79837: 15,2845707752159 (2FVkuq9Gth$00000000XGr) = 15,285 [C]</t>
  </si>
  <si>
    <t xml:space="preserve"> Staničení: 0,86671 - 0,91237: 39,9113967732785 (2FVkuq9Gth$00000000XE5) = 39,911 [E]</t>
  </si>
  <si>
    <t xml:space="preserve"> Staničení: 0,84512 - 0,86447: 14,7063217455485 (2FVkuq9Gth$00000000XE4) = 14,706 [F]</t>
  </si>
  <si>
    <t xml:space="preserve"> Staničení: 0,68708 - 0,72555: 41,2455751648342 (2FVkuq9Gth$00000000XCZ) = 41,246 [I]</t>
  </si>
  <si>
    <t xml:space="preserve"> Staničení: 0,7278 - 0,76129: 32,1411288902723 (2FVkuq9Gth$00000000XEq) = 32,141 [J]</t>
  </si>
  <si>
    <t xml:space="preserve"> Staničení: 0,91463 - 0,94034: 22,5023612317676 (2FVkuq9Gth$00000000XE6) = 22,502 [M]</t>
  </si>
  <si>
    <t xml:space="preserve"> Mezisoučet 222.147000 = 222,147 [N]</t>
  </si>
  <si>
    <t>Materiál:
ŠDA:
podrobná specifikace:
GE, zásyp hutněný po vrstvách:
Reference:
ČSN 73 6126-1, D.9.5 šachty, D.9.1 technická zpráva:
specifikace:
ŠDA fr. 0/63:</t>
  </si>
  <si>
    <t xml:space="preserve"> Staničení: 0,79831 - 0,8007: 6,26712940718104 (2FVkuq9Gth$00000000X0n) = 6,267 [A]</t>
  </si>
  <si>
    <t xml:space="preserve"> Staničení: 0,99034 - 0,99264: 6,6225822872426 (2FVkuq9Gth$00000000W$q) = 6,623 [B]</t>
  </si>
  <si>
    <t xml:space="preserve"> Staničení: 1,14031 - 1,14261: 4,97092468813939 (2FVkuq9Gth$00000000XBb) = 4,971 [C]</t>
  </si>
  <si>
    <t xml:space="preserve"> Staničení: 0,76122 - 0,76363: 8,60726878939402 (2FVkuq9Gth$00000000X1N) = 8,607 [D]</t>
  </si>
  <si>
    <t xml:space="preserve"> Staničení: 1,1403 - 1,1427: 5,87823051320987 (2FVkuq9Gth$00000000XAw) = 5,878 [E]</t>
  </si>
  <si>
    <t xml:space="preserve"> Staničení: 0,78027 - 0,78259: 5,1932083956708 (2FVkuq9Gth$00000000X14) = 5,193 [F]</t>
  </si>
  <si>
    <t xml:space="preserve"> Staničení: 1,09034 - 1,09265: 5,91809559057009 (2FVkuq9Gth$00000000X2v) = 5,918 [G]</t>
  </si>
  <si>
    <t xml:space="preserve"> Staničení: 0,8428 - 0,84519: 5,02472445410433 (2FVkuq9Gth$00000000X0U) = 5,025 [H]</t>
  </si>
  <si>
    <t xml:space="preserve"> Staničení: 0,72544 - 0,72789: 4,60611763904628 (2FVkuq9Gth$00000000X1g) = 4,606 [I]</t>
  </si>
  <si>
    <t xml:space="preserve"> Staničení: 0,94034 - 0,94264: 5,87201428774511 (2FVkuq9Gth$00000000XEp) = 5,872 [J]</t>
  </si>
  <si>
    <t xml:space="preserve"> Staničení: 1,04034 - 1,04264: 5,82696767279315 (2FVkuq9Gth$00000000X7T) = 5,827 [K]</t>
  </si>
  <si>
    <t xml:space="preserve"> Staničení: 0,8644 - 0,86679: 5,29016360839849 (2FVkuq9Gth$00000000X89) = 5,290 [L]</t>
  </si>
  <si>
    <t xml:space="preserve"> Staničení: 0,91231 - 0,91469: 5,52102861169576 (2FVkuq9Gth$00000000X09) = 5,521 [M]</t>
  </si>
  <si>
    <t xml:space="preserve"> Staničení: 0,68472 - 0,68717: 6,63767702391422 (2FVkuq9Gth$00000000XGs) = 6,638 [N]</t>
  </si>
  <si>
    <t xml:space="preserve"> Celkové množství 82.236000 = 82,236 [O]</t>
  </si>
  <si>
    <t>Materiál: 
ŠDA, ŠD získaná demolicí vrstev ŠD ze stáv. II/353
podrobná specifikace:
GE, zásyp hutněný po vrstvách:
Reference:
ČSN 73 6126-1, D.9.4 uložení potrubí, D.9.1 technická zpráva:
specifikace:
ŠDA fr. 0/63:</t>
  </si>
  <si>
    <t xml:space="preserve"> Staničení: 1,04264 - 1,09035: 48,955671544895 (2FVkuq9Gth$00000000XFX) = 48,956 [D]</t>
  </si>
  <si>
    <t xml:space="preserve"> Staničení: 1,09264 - 1,14031: 31,6386190366463 (2FVkuq9Gth$00000000XEm) = 31,639 [G]</t>
  </si>
  <si>
    <t xml:space="preserve"> Staničení: 0,94264 - 0,99034: 50,1171480077985 (2FVkuq9Gth$00000000XE7) = 50,117 [H]</t>
  </si>
  <si>
    <t xml:space="preserve"> Staničení: 1,14081 - 1,14216: 7,06434935156013 (2FVkuq9Gth$00000000X6v) = 7,064 [K]</t>
  </si>
  <si>
    <t xml:space="preserve"> Staničení: 0,99264 - 1,04034: 51,6503584204891 (2FVkuq9Gth$00000000XCU) = 51,650 [L]</t>
  </si>
  <si>
    <t xml:space="preserve"> Mezisoučet 189.426000 = 189,426 [A]</t>
  </si>
  <si>
    <t>Materiál:
ŠDB :
podrobná specifikace:
GN, tl. 0,6m:
Reference:
ČSN 73 6126-1, D.9.4 uložení potrubí, D.9.1 technická zpráva:
specifikace:
ŠDB fr. 0/32:</t>
  </si>
  <si>
    <t xml:space="preserve"> Staničení: 0,78259 - 0,79837: 11,2161618325639 (2FVkuq9Gth$00000000XAi) = 11,216 [A]</t>
  </si>
  <si>
    <t xml:space="preserve"> Staničení: 0,76357 - 0,78027: 11,9776665353915 (2FVkuq9Gth$00000000XA3) = 11,978 [B]</t>
  </si>
  <si>
    <t xml:space="preserve"> Staničení: 0,718 - 0,72555: 5,29540818889874 (2FVkuq9Gth$00000000XBV) = 5,295 [C]</t>
  </si>
  <si>
    <t xml:space="preserve"> Staničení: 0,71903 - 0,71905: 0 (2FVkuq9Gth$00000000X9V) = 0,000 [D]</t>
  </si>
  <si>
    <t xml:space="preserve"> Staničení: 0,91463 - 0,94034: 18,6000610268551 (2FVkuq9Gth$00000000XAO) = 18,600 [E]</t>
  </si>
  <si>
    <t xml:space="preserve"> Staničení: 0,84512 - 0,86447: 13,8833880157392 (2FVkuq9Gth$00000000XAS) = 13,883 [F]</t>
  </si>
  <si>
    <t xml:space="preserve"> Staničení: 1,14081 - 1,14215: 6,16521060932596 (2FVkuq9Gth$00000000X2S) = 6,165 [G]</t>
  </si>
  <si>
    <t xml:space="preserve"> Staničení: 1,11997 - 1,14041: 14,7994668787336 (2FVkuq9Gth$00000000XC5) = 14,799 [H]</t>
  </si>
  <si>
    <t xml:space="preserve"> Staničení: 0,7278 - 0,76129: 23,7803156283661 (2FVkuq9Gth$00000000XAe) = 23,780 [I]</t>
  </si>
  <si>
    <t xml:space="preserve"> Staničení: 0,68708 - 0,71804: 22,0632440920004 (2FVkuq9Gth$00000000X9w) = 22,063 [J]</t>
  </si>
  <si>
    <t xml:space="preserve"> Staničení: 0,99264 - 1,04034: 34,5155826922395 (2FVkuq9Gth$00000000XA7) = 34,516 [K]</t>
  </si>
  <si>
    <t xml:space="preserve"> Staničení: 0,80064 - 0,84287: 30,561401 (2FVkuq9Gth$00000000XAK) = 30,561 [L]</t>
  </si>
  <si>
    <t xml:space="preserve"> Staničení: 0,94264 - 0,98905: 33,5775496623541 (2FVkuq9Gth$00000000XAB) = 33,578 [M]</t>
  </si>
  <si>
    <t xml:space="preserve"> Staničení: 0,98905 - 0,99034: 0,468499943744594 (2FVkuq9Gth$00000000XAo) = 0,468 [N]</t>
  </si>
  <si>
    <t xml:space="preserve"> Staničení: 0,86672 - 0,91237: 33,0546608082028 (2FVkuq9Gth$00000000XAW) = 33,055 [O]</t>
  </si>
  <si>
    <t xml:space="preserve"> Staničení: 1,09264 - 1,11997: 19,6514841775441 (2FVkuq9Gth$00000000XC1) = 19,651 [P]</t>
  </si>
  <si>
    <t xml:space="preserve"> Staničení: 1,04264 - 1,09035: 34,4859114988945 (2FVkuq9Gth$00000000XAa) = 34,486 [Q]</t>
  </si>
  <si>
    <t xml:space="preserve"> Staničení: 0,98905 - 0,99034: 0,410878219247401 (2FVkuq9Gth$00000000XAs) = 0,411 [R]</t>
  </si>
  <si>
    <t xml:space="preserve"> Celkové množství 314.505000 = 314,505 [S]</t>
  </si>
  <si>
    <t>Materiál:
štěrkopísek:
podrobná specifikace:
GE, tl. 0.1 m:
Reference:
ČSN 73 6126-1, D.9.4 uložení potrubí, D.9.1 technická zpráva:
specifikace:
štěrkopísek fr. 0/16:</t>
  </si>
  <si>
    <t xml:space="preserve"> Staničení: 0,84442 - 0,86512: 2,67185107592385 (2FVkuq9Gth$00000000X93) = 2,672 [A]</t>
  </si>
  <si>
    <t xml:space="preserve"> Staničení: 1,04188 - 1,09109: 6,37395442594697 (2FVkuq9Gth$00000000X7G) = 6,374 [B]</t>
  </si>
  <si>
    <t xml:space="preserve"> Staničení: 0,72705 - 0,76206: 4,44318674763091 (2FVkuq9Gth$00000000X4u) = 4,443 [C]</t>
  </si>
  <si>
    <t xml:space="preserve"> Staničení: 0,78182 - 0,79916: 2,2047148860346 (2FVkuq9Gth$00000000X4O) = 2,205 [D]</t>
  </si>
  <si>
    <t xml:space="preserve"> Staničení: 0,68628 - 0,72631: 5,08796440775434 (2FVkuq9Gth$00000000X5F) = 5,088 [E]</t>
  </si>
  <si>
    <t xml:space="preserve"> Staničení: 0,91391 - 0,94112: 3,51272897411919 (2FVkuq9Gth$00000000X3b) = 3,513 [F]</t>
  </si>
  <si>
    <t xml:space="preserve"> Staničení: 1,14082 - 1,14215: 1,38803788372078 (2FVkuq9Gth$00000000X55) = 1,388 [G]</t>
  </si>
  <si>
    <t xml:space="preserve"> Staničení: 0,99187 - 1,0411: 6,37411071468492 (2FVkuq9Gth$00000000X3C) = 6,374 [H]</t>
  </si>
  <si>
    <t xml:space="preserve"> Staničení: 0,79985 - 0,84361: 5,64095421795415 (2FVkuq9Gth$00000000X47) = 5,641 [I]</t>
  </si>
  <si>
    <t xml:space="preserve"> Staničení: 0,86598 - 0,91309: 6,10645558946289 (2FVkuq9Gth$00000000X3o) = 6,106 [J]</t>
  </si>
  <si>
    <t xml:space="preserve"> Staničení: 0,7628 - 0,78101: 2,31485674983546 (2FVkuq9Gth$00000000X4f) = 2,315 [K]</t>
  </si>
  <si>
    <t xml:space="preserve"> Staničení: 1,09188 - 1,14113: 6,36244300971419 (2FVkuq9Gth$00000000X71) = 6,362 [L]</t>
  </si>
  <si>
    <t xml:space="preserve"> Staničení: 0,94184 - 0,99112: 6,37526370615474 (2FVkuq9Gth$00000000X7s) = 6,375 [M]</t>
  </si>
  <si>
    <t xml:space="preserve"> Celkové množství 58.856000 = 58,856 [N]</t>
  </si>
  <si>
    <t>Materiál:
štěrkopísek:
podrobná specifikace:
GE, tl. 0.15 m:
Reference:
ČSN 73 6126-1, vzorové šachty, D.9.1 technická zpráva:
specifikace:
štěrkopísek fr. 0/16:</t>
  </si>
  <si>
    <t xml:space="preserve"> Staničení: 1,09034 - 1,09265: 0,7935 (2FVkuq9Gth$00000000X5i) = 0,794 [A]</t>
  </si>
  <si>
    <t xml:space="preserve"> Staničení: 0,91231 - 0,91469: 0,7935 (2FVkuq9Gth$00000000X68) = 0,794 [B]</t>
  </si>
  <si>
    <t xml:space="preserve"> Staničení: 0,68472 - 0,68717: 0,7935 (2FVkuq9Gth$00000000X6h) = 0,794 [C]</t>
  </si>
  <si>
    <t xml:space="preserve"> Staničení: 0,8644 - 0,86679: 0,7935 (2FVkuq9Gth$00000000X6F) = 0,794 [D]</t>
  </si>
  <si>
    <t xml:space="preserve"> Staničení: 0,72544 - 0,72791: 0,7935 (2FVkuq9Gth$00000000X5b) = 0,794 [E]</t>
  </si>
  <si>
    <t xml:space="preserve"> Staničení: 0,99034 - 0,99264: 0,7935 (2FVkuq9Gth$00000000X5w) = 0,794 [F]</t>
  </si>
  <si>
    <t xml:space="preserve"> Staničení: 0,76122 - 0,76363: 0,7935 (2FVkuq9Gth$00000000X5U) = 0,794 [G]</t>
  </si>
  <si>
    <t xml:space="preserve"> Staničení: 0,79831 - 0,8007: 0,7935 (2FVkuq9Gth$00000000X6T) = 0,794 [H]</t>
  </si>
  <si>
    <t xml:space="preserve"> Staničení: 1,04034 - 1,04264: 0,7935 (2FVkuq9Gth$00000000X5p) = 0,794 [I]</t>
  </si>
  <si>
    <t xml:space="preserve"> Staničení: 1,1403 - 1,1427: 0,7935 (2FVkuq9Gth$00000000X6o) = 0,794 [J]</t>
  </si>
  <si>
    <t xml:space="preserve"> Staničení: 0,8428 - 0,84519: 0,7935 (2FVkuq9Gth$00000000X6M) = 0,794 [K]</t>
  </si>
  <si>
    <t xml:space="preserve"> Staničení: 0,94034 - 0,94264: 0,7935 (2FVkuq9Gth$00000000X61) = 0,794 [L]</t>
  </si>
  <si>
    <t xml:space="preserve"> Staničení: 0,78026 - 0,78259: 0,7935 (2FVkuq9Gth$00000000X6a) = 0,794 [M]</t>
  </si>
  <si>
    <t xml:space="preserve"> Staničení: 1,14031 - 1,14261: 0,7935 (2FVkuq9Gth$00000000XBs) = 0,794 [N]</t>
  </si>
  <si>
    <t xml:space="preserve"> Celkové množství 11.116000 = 11,116 [O]</t>
  </si>
  <si>
    <t>87445</t>
  </si>
  <si>
    <t>POTRUBÍ Z TRUB PLASTOVÝCH ODPADNÍCH DN DO 300MM</t>
  </si>
  <si>
    <t>Kategorie stavebního výrobku:
Klasifikace dle CCI:
Podrobná specifikace:
SN 16, včetně zkoušky vodotěsnosti potrubí:
Reference:
ČSN 75 6101, ČSN EN 1401-1, ČSN 75 6909, ČSN EN 1610, D.9.2 situace, D.9.1 technická zpráva, vzorová uložení potrubí:
Specifikace:
plastové potrubí, PVC-U s hladkou kompaktní stěnou, DN 300:
Stavební výrobek:
kanalizační potrubí:
Typ stavebního výrobku:
potrubí:
Výrobce:
Nd:</t>
  </si>
  <si>
    <t xml:space="preserve"> Staničení: 0,79992 - 0,84353: 43,55 (2FVkuq9Gth$00000000X28) = 43,550 [A]</t>
  </si>
  <si>
    <t xml:space="preserve"> Staničení: 0,91402 - 0,94109: 27,1 (2FVkuq9Gth$00000000X1_) = 27,100 [B]</t>
  </si>
  <si>
    <t xml:space="preserve"> Staničení: 0,84448 - 0,86507: 20,65 (2FVkuq9Gth$00000000X9G) = 20,650 [C]</t>
  </si>
  <si>
    <t xml:space="preserve"> Staničení: 0,99189 - 1,04109: 49,25 (2FVkuq9Gth$00000000X1u) = 49,250 [D]</t>
  </si>
  <si>
    <t xml:space="preserve"> Staničení: 0,68635 - 0,72627: 39,35 (2FVkuq9Gth$00000000X5O) = 39,350 [E]</t>
  </si>
  <si>
    <t xml:space="preserve"> Staničení: 0,76283 - 0,78103: 18 (2FVkuq9Gth$00000000X2I) = 18,000 [F]</t>
  </si>
  <si>
    <t xml:space="preserve"> Staničení: 0,86613 - 0,91303: 47,1 (2FVkuq9Gth$00000000X22) = 47,100 [G]</t>
  </si>
  <si>
    <t xml:space="preserve"> Staničení: 0,94188 - 0,9911: 49,3 (2FVkuq9Gth$00000000X7m) = 49,300 [H]</t>
  </si>
  <si>
    <t xml:space="preserve"> Staničení: 1,09188 - 1,14107: 49,2 (2FVkuq9Gth$00000000X7C) = 49,200 [I]</t>
  </si>
  <si>
    <t xml:space="preserve"> Staničení: 0,78195 - 0,79911: 17 (2FVkuq9Gth$00000000X2C) = 17,000 [J]</t>
  </si>
  <si>
    <t xml:space="preserve"> Staničení: 1,04189 - 1,09109: 49,25 (2FVkuq9Gth$00000000X1o) = 49,250 [K]</t>
  </si>
  <si>
    <t xml:space="preserve"> Staničení: 0,72707 - 0,76204: 34,5 (2FVkuq9Gth$00000000X2M) = 34,500 [L]</t>
  </si>
  <si>
    <t xml:space="preserve"> Staničení: 1,14153 - 1,14162: 10,7 (2FVkuq9Gth$00000000X59) = 10,700 [M]</t>
  </si>
  <si>
    <t xml:space="preserve"> Celkové množství 454.950000 = 454,950 [N]</t>
  </si>
  <si>
    <t>894145</t>
  </si>
  <si>
    <t>ŠACHTY KANALIZAČNÍ Z BETON DÍLCŮ NA POTRUBÍ DN DO 300MM</t>
  </si>
  <si>
    <t>Specifikace:
Betonová šachta DN 1000,tl. stěny 120 mm, litinový poklop DN 600, třídy D400:
Stavební výrobek:
kanalizační šachta betonová prefabrikovaná:
Typ stavebního výrobku:
vstupní šachta, viz D.9.5 šachty:
skladba z prefabrikovaných skruží, vodotěsné šachtové dno v úhlu dle D.9.2 situace, ocelová stupadla DIN 19555 s PE povlakem, beton C40/50, povrchová úprava svahů kolem šachty bude přisypána tak, aby vnější hrana poklopu šachty nevyčnívala nad terén více než 0,2m
ČSN 75 6101, ČSN EN 1917, ČSN 75 6909, ČSN EN 206-1, D.9.2 situace, D.9.1 technická zpráva, D.9.5 šachty</t>
  </si>
  <si>
    <t xml:space="preserve"> Staničení: 0,86532 - 0,86563: 1 (2FVkuq9Gth$00000000XBD) = 1,000 [A]</t>
  </si>
  <si>
    <t xml:space="preserve"> Staničení: 1,09121 - 1,0915: 1 (2FVkuq9Gth$00000000X38) = 1,000 [B]</t>
  </si>
  <si>
    <t xml:space="preserve"> Staničení: 0,79891 - 0,8001: 1 (2FVkuq9Gth$00000000X43) = 1,000 [C]</t>
  </si>
  <si>
    <t xml:space="preserve"> Staničení: 1,14115 - 1,14149: 1 (2FVkuq9Gth$00000000X2r) = 1,000 [D]</t>
  </si>
  <si>
    <t xml:space="preserve"> Staničení: 0,99121 - 0,99149: 1 (2FVkuq9Gth$00000000X3P) = 1,000 [E]</t>
  </si>
  <si>
    <t xml:space="preserve"> Staničení: 0,76214 - 0,76244: 1 (2FVkuq9Gth$00000000X4b) = 1,000 [F]</t>
  </si>
  <si>
    <t xml:space="preserve"> Staničení: 0,91321 - 0,9135: 1 (2FVkuq9Gth$00000000X3X) = 1,000 [G]</t>
  </si>
  <si>
    <t xml:space="preserve"> Staničení: 0,72636 - 0,7267: 1 (2FVkuq9Gth$00000000X4q) = 1,000 [H]</t>
  </si>
  <si>
    <t xml:space="preserve"> Staničení: 1,14091 - 1,14209: 1 (2FVkuq9Gth$00000000X9K) = 1,000 [I]</t>
  </si>
  <si>
    <t xml:space="preserve"> Staničení: 0,78083 - 0,78203: 1 (2FVkuq9Gth$00000000X4K) = 1,000 [J]</t>
  </si>
  <si>
    <t xml:space="preserve"> Staničení: 0,94121 - 0,9415: 1 (2FVkuq9Gth$00000000X3T) = 1,000 [K]</t>
  </si>
  <si>
    <t xml:space="preserve"> Staničení: 1,0409 - 1,04149: 1 (2FVkuq9Gth$00000000XBM) = 1,000 [L]</t>
  </si>
  <si>
    <t xml:space="preserve"> Staničení: 0,84341 - 0,84459: 1 (2FVkuq9Gth$00000000X3$) = 1,000 [M]</t>
  </si>
  <si>
    <t xml:space="preserve"> Staničení: 0,68566 - 0,68598: 1 (2FVkuq9Gth$00000000X51) = 1,000 [N]</t>
  </si>
  <si>
    <t xml:space="preserve"> Celkové množství 14.000000 = 14,000 [O]</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</si>
  <si>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</si>
  <si>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Kategorie stavebního výrobku:
Klasifikace dle CCI:
Podrobná specifikace:
šedá:
Reference:
D.9.2 situace, D.9.4 uložení potrubí, D.9.1 technická zpráva:
Specifikace:
výstražná folie, š 0.33 m:
Stavební výrobek:
folie PVC:
Typ stavebního výrobku:
folie:
Výrobce:
Nd:</t>
  </si>
  <si>
    <t xml:space="preserve"> Staničení: 0,68656 - 1,14165: 450,15 (2FVkuq9Gth$00000000X9a) = 450,150 [A]</t>
  </si>
  <si>
    <t xml:space="preserve"> Celkové množství 450.150000 = 450,150 [B]</t>
  </si>
  <si>
    <t>899652</t>
  </si>
  <si>
    <t>ZKOUŠKA VODOTĚSNOSTI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</si>
  <si>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</si>
  <si>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899901</t>
  </si>
  <si>
    <t>PŘEPOJENÍ PŘÍPOJEK</t>
  </si>
  <si>
    <t>napojení na stávající kanalizaci realizovanou v předchozí etapě</t>
  </si>
  <si>
    <t xml:space="preserve"> první šachta v km 1,14450 1 = 1,000 [A]</t>
  </si>
  <si>
    <t>položka zahrnuje řez na potrubí, dodání a osazení příslušných tvarovek a armatur</t>
  </si>
  <si>
    <t xml:space="preserve"> Staničení: 0,00647 - 0,14053: 290,624665047758 (2FVkuq9Gth$00000000Wma) = 290,625 [A]</t>
  </si>
  <si>
    <t xml:space="preserve"> Celkové množství 290.625000 = 290,625 [B]</t>
  </si>
  <si>
    <t xml:space="preserve"> Staničení: 0,02505 - 0,02735: 10,4871254503368 (2FVkuq9Gth$00000000WkZ) = 10,487 [A]</t>
  </si>
  <si>
    <t xml:space="preserve"> Staničení: 0,09469 - 0,09728: 10,2509301032335 (2FVkuq9Gth$00000000WkM) = 10,251 [B]</t>
  </si>
  <si>
    <t xml:space="preserve"> Staničení: 0,12043 - 0,12293: 10,262813991738 (2FVkuq9Gth$00000000XFO) = 10,263 [C]</t>
  </si>
  <si>
    <t xml:space="preserve"> Staničení: 0,14053 - 0,14283: 10,2734069010162 (2FVkuq9Gth$00000000Wtu) = 10,273 [D]</t>
  </si>
  <si>
    <t xml:space="preserve"> Staničení: 0,07505 - 0,07735: 10,2513491677321 (2FVkuq9Gth$00000000WkV) = 10,251 [E]</t>
  </si>
  <si>
    <t xml:space="preserve"> Celkové množství 51.525000 = 51,525 [F]</t>
  </si>
  <si>
    <t xml:space="preserve"> Staničení: 0,14053 - 0,14283: 5,24866939005231 (2FVkuq9Gth$00000000WlL) = 5,249 [A]</t>
  </si>
  <si>
    <t xml:space="preserve"> Staničení: 0,07505 - 0,07735: 5,31673723457717 (2FVkuq9Gth$00000000Wkd) = 5,317 [B]</t>
  </si>
  <si>
    <t xml:space="preserve"> Staničení: 0,12043 - 0,12293: 5,3256103948149 (2FVkuq9Gth$00000000Wk_) = 5,326 [C]</t>
  </si>
  <si>
    <t xml:space="preserve"> Staničení: 0,09469 - 0,09728: 5,31459108837005 (2FVkuq9Gth$00000000Wpe) = 5,315 [D]</t>
  </si>
  <si>
    <t xml:space="preserve"> Staničení: 0,02505 - 0,02735: 5,50389396150688 (2FVkuq9Gth$00000000Wty) = 5,504 [E]</t>
  </si>
  <si>
    <t xml:space="preserve"> Celkové množství 26.711000 = 26,711 [F]</t>
  </si>
  <si>
    <t xml:space="preserve"> Staničení: 0,12278 - 0,14053: 12,4512770263954 (2FVkuq9Gth$00000000WpD) = 12,451 [A]</t>
  </si>
  <si>
    <t xml:space="preserve"> Staničení: 0,02735 - 0,07505: 42,8081176258591 (2FVkuq9Gth$00000000Woi) = 42,808 [B]</t>
  </si>
  <si>
    <t xml:space="preserve"> Staničení: 0,07735 - 0,0949: 11,8723914882199 (2FVkuq9Gth$00000000Wot) = 11,872 [C]</t>
  </si>
  <si>
    <t xml:space="preserve"> Staničení: 0,09709 - 0,12059: 15,7205999092033 (2FVkuq9Gth$00000000Wp2) = 15,721 [D]</t>
  </si>
  <si>
    <t xml:space="preserve"> Staničení: 0,00647 - 0,02505: 9,67655981961699 (2FVkuq9Gth$00000000Wq7) = 9,677 [E]</t>
  </si>
  <si>
    <t xml:space="preserve"> Celkové množství 92.529000 = 92,529 [F]</t>
  </si>
  <si>
    <t xml:space="preserve"> Staničení: 0,07735 - 0,0949: 12,4051785752774 (2FVkuq9Gth$00000000WnD) = 12,405 [A]</t>
  </si>
  <si>
    <t xml:space="preserve"> Staničení: 0,02735 - 0,07505: 17,3270774113638 (2FVkuq9Gth$00000000Wn2) = 17,327 [B]</t>
  </si>
  <si>
    <t xml:space="preserve"> Staničení: 0,02735 - 0,07505: 17,3270774114145 (2FVkuq9Gth$00000000WuQ) = 17,327 [C]</t>
  </si>
  <si>
    <t xml:space="preserve"> Staničení: 0,00648 - 0,02505: 13,244269 (2FVkuq9Gth$00000000WqI) = 13,244 [D]</t>
  </si>
  <si>
    <t xml:space="preserve"> Staničení: 0,09716 - 0,12053: 8,30429158900176 (2FVkuq9Gth$00000000Wub) = 8,304 [E]</t>
  </si>
  <si>
    <t xml:space="preserve"> Staničení: 0,09709 - 0,12059: 8,37494499924094 (2FVkuq9Gth$00000000Wny) = 8,375 [F]</t>
  </si>
  <si>
    <t xml:space="preserve"> Staničení: 0,12278 - 0,14053: 12,7898749847918 (2FVkuq9Gth$00000000Wo7) = 12,790 [G]</t>
  </si>
  <si>
    <t xml:space="preserve"> Celkové množství 89.772000 = 89,772 [H]</t>
  </si>
  <si>
    <t xml:space="preserve"> Staničení: 0,07735 - 0,0949: 2,24222185184298 (2FVkuq9Gth$00000000WrR) = 2,242 [A]</t>
  </si>
  <si>
    <t xml:space="preserve"> Staničení: 0,09709 - 0,12059: 2,99637822202154 (2FVkuq9Gth$00000000Wmt) = 2,996 [B]</t>
  </si>
  <si>
    <t xml:space="preserve"> Staničení: 0,12278 - 0,14053: 2,30033750204004 (2FVkuq9Gth$00000000Wr5) = 2,300 [C]</t>
  </si>
  <si>
    <t xml:space="preserve"> Staničení: 0,02735 - 0,07505: 6,2009517662619 (2FVkuq9Gth$00000000WuF) = 6,201 [D]</t>
  </si>
  <si>
    <t xml:space="preserve"> Staničení: 0,00648 - 0,02505: 2,39254537957475 (2FVkuq9Gth$00000000Wrp) = 2,393 [E]</t>
  </si>
  <si>
    <t xml:space="preserve"> Celkové množství 16.132000 = 16,132 [F]</t>
  </si>
  <si>
    <t>Materiál:
štěrkopísek:
podrobná specifikace:
GE, tl. 0.15 m:
Reference:
ČSN 73 6126-1, D.9.4 uložení potrubí, D.9.1 technická zpráva:
specifikace:
štěrkopísek fr. 0/16:</t>
  </si>
  <si>
    <t xml:space="preserve"> Staničení: 0,09469 - 0,09728: 0,7935 (2FVkuq9Gth$00000000Wm4) = 0,794 [A]</t>
  </si>
  <si>
    <t xml:space="preserve"> Staničení: 0,07505 - 0,07735: 0,7935 (2FVkuq9Gth$00000000WmB) = 0,794 [B]</t>
  </si>
  <si>
    <t xml:space="preserve"> Staničení: 0,12043 - 0,12293: 0,7935 (2FVkuq9Gth$00000000Wlz) = 0,794 [C]</t>
  </si>
  <si>
    <t xml:space="preserve"> Staničení: 0,02505 - 0,02735: 0,7935 (2FVkuq9Gth$00000000WmI) = 0,794 [D]</t>
  </si>
  <si>
    <t xml:space="preserve"> Staničení: 0,14053 - 0,14283: 0,7935 (2FVkuq9Gth$00000000Wls) = 0,794 [E]</t>
  </si>
  <si>
    <t xml:space="preserve"> Celkové množství 3.970000 = 3,970 [F]</t>
  </si>
  <si>
    <t xml:space="preserve"> Staničení: 0,12215 - 0,14121: 19,05 (2FVkuq9Gth$00000000WrG) = 19,050 [A]</t>
  </si>
  <si>
    <t xml:space="preserve"> Staničení: 0,09646 - 0,1212: 24,4 (2FVkuq9Gth$00000000Wv4) = 24,400 [B]</t>
  </si>
  <si>
    <t xml:space="preserve"> Staničení: 0,02667 - 0,07572: 49,05 (2FVkuq9Gth$00000000WmP) = 49,050 [C]</t>
  </si>
  <si>
    <t xml:space="preserve"> Staničení: 0,07667 - 0,0955: 18,65 (2FVkuq9Gth$00000000Wre) = 18,650 [D]</t>
  </si>
  <si>
    <t xml:space="preserve"> Staničení: 0,00546 - 0,02025: 20,27 (2FVkuq9Gth$00000000WvF) = 20,270 [E]</t>
  </si>
  <si>
    <t xml:space="preserve"> Celkové množství 131.420000 = 131,420 [F]</t>
  </si>
  <si>
    <t>Specifikace:
Betonová šachta DN 1000,tl. stěny 120 mm, litinový poklop DN 600, třídy D400:
Stavební výrobek:
kanalizační šachta betonová prefabrikovaná:
Typ stavebního výrobku:
vstupní šachta:
skladba z prefabrikovaných skruží, vodotěsné šachtové dno v úhlu dle D.9.2 situace, ocelová stupadla DIN 19555 s PE povlakem, beton C40/50, povrchová úprava svahů kolem šachty bude přisypána tak, aby vnější hrana poklopu šachty nevyčnívala nad terén více než 0,2m
ČSN 75 6101, ČSN EN 1917, ČSN 75 6909, ČSN EN 206-1, D.9.2 situace, D.9.1 technická zpráva, D.9.5 šachty</t>
  </si>
  <si>
    <t xml:space="preserve"> Staničení: 0,12109 - 0,12227: 1 (2FVkuq9Gth$00000000Wtq) = 1,000 [A]</t>
  </si>
  <si>
    <t xml:space="preserve"> Staničení: 0,0954 - 0,09659: 1 (2FVkuq9Gth$00000000Wp$) = 1,000 [B]</t>
  </si>
  <si>
    <t xml:space="preserve"> Staničení: 0,14109 - 0,14227: 1 (2FVkuq9Gth$00000000Wq3) = 1,000 [C]</t>
  </si>
  <si>
    <t xml:space="preserve"> Staničení: 0,07561 - 0,07679: 1 (2FVkuq9Gth$00000000Wtm) = 1,000 [D]</t>
  </si>
  <si>
    <t xml:space="preserve"> Staničení: 0,02561 - 0,02679: 1 (2FVkuq9Gth$00000000WkI) = 1,000 [E]</t>
  </si>
  <si>
    <t xml:space="preserve"> Staničení: 0,00605 - 0,14109: 129,75 (2FVkuq9Gth$00000000X9f) = 129,750 [A]</t>
  </si>
  <si>
    <t xml:space="preserve"> Celkové množství 129.750000 = 129,750 [B]</t>
  </si>
  <si>
    <t>Další specifikace:
Zpětné použití do záhozu/násypu:
Klasifikace zemin / hornin:
F4 CS, S5 SC, F5ML/MI, F6 CI, S4 SM, S3 S-F, G3 G-F, R6-R4:
Třída těžitelnosti:
2:</t>
  </si>
  <si>
    <t xml:space="preserve"> Staničení: 0,89869 - 0,92626: 13,1752770247995 (2zJ3tMF3orW00000000WQo) = 13,175 [A]</t>
  </si>
  <si>
    <t xml:space="preserve"> Staničení: 0,92581 - 0,92633: 16,8889550592504 (2zJ3tMF3orW00000000WQu) = 16,889 [B]</t>
  </si>
  <si>
    <t xml:space="preserve"> Celkové množství 30.064000 = 30,064 [C]</t>
  </si>
  <si>
    <t>Materiál:
F4 CS, S5 SC, F5ML/MI, F6 CI, S4 SM, S3 S-F, G3 G-F, R6-R4:
podrobná specifikace:
Nd:
Reference:
ČSN 73 6126-1, C.3.3 koord. situace, D.11.2 vzorové uložení kabelu NN, D.11.1 technická zpráva:
specifikace:
zához zeminou z výkopu:</t>
  </si>
  <si>
    <t xml:space="preserve"> Staničení: 0,9259 - 0,92626: 1,66024047815221 (2zJ3tMF3orW00000000WNN) = 1,660 [A]</t>
  </si>
  <si>
    <t xml:space="preserve"> Staničení: 0,89869 - 0,92623: 8,32337525783252 (2zJ3tMF3orW00000000WMH) = 8,323 [B]</t>
  </si>
  <si>
    <t xml:space="preserve"> Staničení: 0,92581 - 0,92633: 11,4101362150112 (2zJ3tMF3orW00000000WMq) = 11,410 [C]</t>
  </si>
  <si>
    <t xml:space="preserve"> Celkové množství 21.393000 = 21,393 [D]</t>
  </si>
  <si>
    <t>Materiál:
prosátá zemina (štěrkopísek):
podrobná specifikace:
GN:
Reference:
ČSN 73 6126-1, C.3.3 koord. situace, D.11.2 vzorové uložení kabelu NN, D.11.1 technická zpráva:
specifikace:
 fr. 0/16:</t>
  </si>
  <si>
    <t xml:space="preserve"> Staničení: 0,9259 - 0,92626: 0,471305473437097 (2zJ3tMF3orW00000000WNG) = 0,471 [A]</t>
  </si>
  <si>
    <t xml:space="preserve"> Staničení: 0,89869 - 0,92623: 2,60567016981198 (2zJ3tMF3orW00000000WMA) = 2,606 [B]</t>
  </si>
  <si>
    <t xml:space="preserve"> Staničení: 0,92581 - 0,92633: 2,00410188938657 (2zJ3tMF3orW00000000WXO) = 2,004 [C]</t>
  </si>
  <si>
    <t xml:space="preserve"> Celkové množství 5.081000 = 5,081 [D]</t>
  </si>
  <si>
    <t>742H25</t>
  </si>
  <si>
    <t>KABEL NN ČTYŘ- A PĚTIŽÍLOVÝ AL S PLASTOVOU IZOLACÍ OD 150 DO 240 MM2</t>
  </si>
  <si>
    <t>Kategorie stavebního výrobku:
Klasifikace dle CCI:
Podrobná specifikace:
včetně zemních kabelových spojek na kabel typu AYKY-J 3x240+120mm2, 2ks:
Reference:
C.3.3 koord. situace, D.11.2 vzorové uložení kabelu NN, D.11.1 technická zpráva:
Specifikace:
kabel typu AYKY-J 3x240+120mm2, síť 3+PEN stř.50Hz,400V/TN-C, přeložka kabelu k napájení vrtů pitné vody pro obec Jamné:
Stavební výrobek:
kabel s hliníkovým jádrem:
Typ stavebního výrobku:
kabel:
Výrobce:
Nd:</t>
  </si>
  <si>
    <t xml:space="preserve"> Staničení: 0,92605 - 0,92612: 5,54 (2zJ3tMF3orW00000000WN9) = 5,540 [A]</t>
  </si>
  <si>
    <t xml:space="preserve"> Staničení: 0,92603 - 0,92611: 17,35 (2zJ3tMF3orW00000000WMc) = 17,350 [B]</t>
  </si>
  <si>
    <t xml:space="preserve"> Staničení: 0,8987 - 0,92609: 30,65 (2zJ3tMF3orW00000000WM3) = 30,650 [C]</t>
  </si>
  <si>
    <t xml:space="preserve"> Celkové množství 53.540000 = 53,540 [D]</t>
  </si>
  <si>
    <t>1. Položka obsahuje:
 – manipulace a uložení kabelu (do země, chráničky, kanálu, na rošty, na TV a pod.)
2. Položka neobsahuje:
 – příchytky, spojky, koncovky, chráničky apod.
3. Způsob měření:
Měří se metr délkový.</t>
  </si>
  <si>
    <t>742L25</t>
  </si>
  <si>
    <t>UKONČENÍ DVOU AŽ PĚTIŽÍLOVÉHO KABELU KABELOVOU SPOJKOU OD 150 DO 240 MM2</t>
  </si>
  <si>
    <t xml:space="preserve"> spojky 2 = 2,000 [A]</t>
  </si>
  <si>
    <t>1. Položka obsahuje:
 – všechny práce spojené s úpravou kabelů pro montáž včetně veškerého příslušentsví
2. Položka neobsahuje:
 X
3. Způsob měření:
Udává se počet kusů kompletní konstrukce nebo práce.</t>
  </si>
  <si>
    <t>Kategorie stavebního výrobku:
Klasifikace dle CCI:
Podrobná specifikace:
červená:
Reference:
C.3.3 koord. situace, D.11.2 vzorové uložení kabelu NN, D.11.1 technická zpráva:
Specifikace:
plastová trubka, HDPE, DN 110:
Stavební výrobek:
chránička plastová, korugovaná:
Typ stavebního výrobku:
chránička:
Výrobce:
Nd:</t>
  </si>
  <si>
    <t xml:space="preserve"> Staničení: 0,926 - 0,92603: 17,35 (2zJ3tMF3orW00000000WUE) = 17,350 [A]</t>
  </si>
  <si>
    <t xml:space="preserve"> Celkové množství 17.350000 = 17,350 [B]</t>
  </si>
  <si>
    <t>Kategorie stavebního výrobku:
Klasifikace dle CCI:
Podrobná specifikace:
červená:
Reference:
C.3.3 koord. situace, D.11.2 vzorové uložení kabelu NN, D.11.1 technická zpráva:
Specifikace:
výstražná folie, š 0.33 m:
Stavební výrobek:
folie PVC:
Typ stavebního výrobku:
folie:
Výrobce:
Nd:</t>
  </si>
  <si>
    <t xml:space="preserve"> Staničení: 0,89872 - 0,92618: 53,54 (2zJ3tMF3orW00000000WOg) = 53,540 [A]</t>
  </si>
  <si>
    <t xml:space="preserve"> Celkové množství 53.540000 = 53,540 [B]</t>
  </si>
  <si>
    <t>Materiál:
ornice/místní materiál:
podrobná specifikace:
ornice získaná skrývkou ornice z pozemků s ochranou ZPF/ nedostatek řešen nákupem
Reference:
D.1.4 vzorové řezy, D.1.1 technická zpráva:
specifikace:
ornice/humozní vrstva, tl. 200mm:</t>
  </si>
  <si>
    <t xml:space="preserve"> Staničení: 0,79319 - 0,86032: 4,81045321209474 (2fAhZZNHVqM00000000aJi) = 4,810 [A]</t>
  </si>
  <si>
    <t xml:space="preserve"> Staničení: 0,86335 - 0,89658: 3,59662056270135 (2fAhZZNHVqM00000000aJa) = 3,597 [B]</t>
  </si>
  <si>
    <t xml:space="preserve"> Celkové množství 8.407000 = 8,407 [C]</t>
  </si>
  <si>
    <t xml:space="preserve"> Staničení: 0,79111 - 0,79305: 6,0453815481598 (2fAhZZNHVqM00000000WGH) = 6,045 [A]</t>
  </si>
  <si>
    <t xml:space="preserve"> Celkové množství 6.045000 = 6,045 [B]</t>
  </si>
  <si>
    <t>132732</t>
  </si>
  <si>
    <t>HLOUBENÍ RÝH ŠÍŘ DO 2M PAŽ I NEPAŽ TŘ. I, ODVOZ DO 2KM</t>
  </si>
  <si>
    <t>Další specifikace:
Zpětné použití do záhozu:
Klasifikace zemin / hornin:
F4 CS, S5 SC, F5ML/MI, F6 CI, S4 SM, S3 S-F, G3 G-F, R6-R4:
Třída těžitelnosti:
2:</t>
  </si>
  <si>
    <t xml:space="preserve"> Staničení: -0,17 - 0,79225: 999,273315253392 (2fAhZZNHVqM00000000YTU) = 999,273 [A]</t>
  </si>
  <si>
    <t xml:space="preserve"> Staničení: 0,79167 - 1,14408: 266,881049985382 (2fAhZZNHVqM00000000YTW) = 266,881 [B]</t>
  </si>
  <si>
    <t xml:space="preserve"> Staničení: -0,38249 - -0,17: 165,022013336082 (2fAhZZNHVqM00000000YTV) = 165,022 [C]</t>
  </si>
  <si>
    <t xml:space="preserve"> Celkové množství 1431.176000 = 1431,176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</si>
  <si>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</si>
  <si>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 xml:space="preserve"> Staničení: 0,79111 - 0,79305: 6,0453815481598 (2fAhZZNHVqM00000000WGH) = 6,045 [C]</t>
  </si>
  <si>
    <t xml:space="preserve"> Staničení: -0,38249 - -0,17: 165,022013336082 (2fAhZZNHVqM00000000YTV) = 165,022 [D]</t>
  </si>
  <si>
    <t xml:space="preserve"> Celkové množství 1437.221000 = 1437,221 [E]</t>
  </si>
  <si>
    <t>17421</t>
  </si>
  <si>
    <t>ZÁSYP JAM A RÝH ZEMINOU BEZ ZHUTNĚNÍ</t>
  </si>
  <si>
    <t>Materiál:
F4 CS, S5 SC, F5ML/MI, F6 CI, S4 SM, S3 S-F, G3 G-F, R6-R4:
podrobná specifikace:
Nd:
Reference:
ČSN 73 6126-1, D.14.2 vzorové uložení, D.14.1 technická zpráva:
specifikace:
zához zeminou z výkopu:</t>
  </si>
  <si>
    <t xml:space="preserve"> Staničení: 0,10028 - 0,13155: 11,1761503665697 (2fAhZZNHVqM00000000XOw) = 11,176 [A]</t>
  </si>
  <si>
    <t xml:space="preserve"> Staničení: -0,3825 - -0,16999: 136,433909332648 (2fAhZZNHVqM00000000XHj) = 136,434 [B]</t>
  </si>
  <si>
    <t xml:space="preserve"> Staničení: 0,13154 - 0,79225: 231,64555588484 (2fAhZZNHVqM00000000ZHJ) = 231,646 [C]</t>
  </si>
  <si>
    <t xml:space="preserve"> Staničení: 0,13155 - 0,79224: 359,625000876891 (2fAhZZNHVqM00000000ZG$) = 359,625 [D]</t>
  </si>
  <si>
    <t xml:space="preserve"> Staničení: -0,17 - 0,10029: 162,289478339511 (2fAhZZNHVqM00000000XOp) = 162,289 [E]</t>
  </si>
  <si>
    <t xml:space="preserve"> Staničení: 0,79165 - 1,14408: 0,199475689701338 (2fAhZZNHVqM00000000Wr0) = 0,199 [F]</t>
  </si>
  <si>
    <t xml:space="preserve"> Staničení: -0,17 - 0,10029: 105,834111068393 (2fAhZZNHVqM00000000XOi) = 105,834 [G]</t>
  </si>
  <si>
    <t xml:space="preserve"> Staničení: 0,79174 - 0,79245: 6,25275712843393 (2fAhZZNHVqM00000000Z68) = 6,253 [H]</t>
  </si>
  <si>
    <t xml:space="preserve"> Staničení: 0,79174 - 0,79245: 0,00755354356578205 (2fAhZZNHVqM00000000Z6K) = 0,008 [I]</t>
  </si>
  <si>
    <t xml:space="preserve"> Staničení: 0,79165 - 1,14408: 205,500579051423 (2fAhZZNHVqM00000000Wnu) = 205,501 [J]</t>
  </si>
  <si>
    <t xml:space="preserve"> Staničení: 0,10029 - 0,13157: 17,2645847843931 (2fAhZZNHVqM00000000XP1) = 17,265 [K]</t>
  </si>
  <si>
    <t xml:space="preserve"> Celkové množství 1236.230000 = 1236,230 [L]</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</si>
  <si>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</si>
  <si>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Materiál:
ŠDA:
podrobná specifikace:
GE, zásyp hutněný po vrstvách:
Reference:
ČSN 73 6126-1, D.14.3 vzorová kabelová komora, D.14.1 technická zpráva:
specifikace:
ŠDA fr. 0/63:</t>
  </si>
  <si>
    <t xml:space="preserve"> Staničení: 0,7911 - 0,79305: 3,91607226231568 (2fAhZZNHVqM00000000WkI) = 3,916 [A]</t>
  </si>
  <si>
    <t xml:space="preserve"> Celkové množství 3.916000 = 3,916 [B]</t>
  </si>
  <si>
    <t>Materiál:
prosátá zemina (štěrkopísek):
podrobná specifikace:
GN:
Reference:
ČSN 73 6126-1, D.14.2 vzorové uložení, D.14.1 technická zpráva:
specifikace:
 fr. 0/16:</t>
  </si>
  <si>
    <t xml:space="preserve"> Staničení: -0,17 - 0,10029: 13,519567695041 (2fAhZZNHVqM00000000XQ_) = 13,520 [A]</t>
  </si>
  <si>
    <t xml:space="preserve"> Staničení: -0,17 - 0,10029: 19,0557058885121 (2fAhZZNHVqM00000000XR5) = 19,056 [B]</t>
  </si>
  <si>
    <t xml:space="preserve"> Staničení: 0,13155 - 0,77957: 0,270819016945378 (2fAhZZNHVqM00000000XSP) = 0,271 [C]</t>
  </si>
  <si>
    <t xml:space="preserve"> Staničení: -0,17 - 0,10029: 0,112160604410286 (2fAhZZNHVqM00000000XRC) = 0,112 [D]</t>
  </si>
  <si>
    <t xml:space="preserve"> Staničení: 0,13154 - 0,77958: 35,8652999415993 (2fAhZZNHVqM00000000XS4) = 35,865 [E]</t>
  </si>
  <si>
    <t xml:space="preserve"> Staničení: 0,10028 - 0,13157: 0,19723731704906 (2fAhZZNHVqM00000000XRX) = 0,197 [F]</t>
  </si>
  <si>
    <t xml:space="preserve"> Staničení: 0,10029 - 0,13156: 0,000654617726661889 (2fAhZZNHVqM00000000XRl) = 0,001 [G]</t>
  </si>
  <si>
    <t xml:space="preserve"> Staničení: -0,38245 - -0,17: 0,260692992211049 (2fAhZZNHVqM00000000Yl$) = 0,261 [H]</t>
  </si>
  <si>
    <t xml:space="preserve"> Staničení: 0,79176 - 0,79245: 1,5682913387166 (2fAhZZNHVqM00000000Z50) = 1,568 [I]</t>
  </si>
  <si>
    <t xml:space="preserve"> Staničení: 0,10096 - 0,13065: 3,45243868905366 (2fAhZZNHVqM00000000ZYi) = 3,452 [J]</t>
  </si>
  <si>
    <t xml:space="preserve"> Staničení: 0,79166 - 1,14408: 25,1613719412695 (2fAhZZNHVqM00000000Wmn) = 25,161 [K]</t>
  </si>
  <si>
    <t xml:space="preserve"> Staničení: 0,77956 - 0,79225: 1,50549610868865 (2fAhZZNHVqM00000000cED) = 1,505 [L]</t>
  </si>
  <si>
    <t xml:space="preserve"> Staničení: 0,13155 - 0,77957: 46,0052917345046 (2fAhZZNHVqM00000000XSB) = 46,005 [M]</t>
  </si>
  <si>
    <t xml:space="preserve"> Staničení: -0,38249 - -0,17: 26,8209680590187 (2fAhZZNHVqM00000000XIB) = 26,821 [N]</t>
  </si>
  <si>
    <t xml:space="preserve"> Staničení: 0,79188 - 1,14408: 20,1720075435954 (2fAhZZNHVqM00000000Ycc) = 20,172 [O]</t>
  </si>
  <si>
    <t xml:space="preserve"> Staničení: -0,17 - 0,10029: 0,112159387985615 (2fAhZZNHVqM00000000XRJ) = 0,112 [P]</t>
  </si>
  <si>
    <t xml:space="preserve"> Staničení: 0,10029 - 0,13155: 0,000654617655190041 (2fAhZZNHVqM00000000XRs) = 0,001 [Q]</t>
  </si>
  <si>
    <t xml:space="preserve"> Staničení: -0,17 - 0,10029: 1,2191226764584 (2fAhZZNHVqM00000000XRQ) = 1,219 [R]</t>
  </si>
  <si>
    <t xml:space="preserve"> Celkové množství 195.299000 = 195,299 [S]</t>
  </si>
  <si>
    <t>Materiál:
travní směs:
podrobná specifikace:
Založení porostů musí být provedeno ihned po provedení jemných terénních úprav, tak aby nový porost redukoval výskyt plevelů.:
Reference:
D.20:
specifikace:
založení travního porostu osevem:</t>
  </si>
  <si>
    <t xml:space="preserve"> Staničení: 0,79377 - 0,86: 24,0990079997417 (2fAhZZNHVqM00000000frp) = 24,099 [A]</t>
  </si>
  <si>
    <t xml:space="preserve"> Staničení: 0,86363 - 0,89528: 18,0232322487966 (2fAhZZNHVqM00000000fs0) = 18,023 [B]</t>
  </si>
  <si>
    <t xml:space="preserve"> Celkové množství 42.122000 = 42,122 [C]</t>
  </si>
  <si>
    <t>Materiál:
štěrkopísek:
podrobná specifikace:
GE, tl. 0.15 m:
Reference:
ČSN 73 6126-1, D.14.3 vzorová kabelová komora, D.14.1 technická zpráva:
specifikace:
štěrkopísek fr. 0/16:</t>
  </si>
  <si>
    <t xml:space="preserve"> Staničení: 0,79111 - 0,79305: 0,88979931222272 (2fAhZZNHVqM00000000WGC) = 0,890 [A]</t>
  </si>
  <si>
    <t xml:space="preserve"> Celkové množství 0.890000 = 0,890 [B]</t>
  </si>
  <si>
    <t>Materiál:
štěrkopísek:
podrobná specifikace:
GE, tl. 0.05 m:
Reference:
ČSN 73 6126-1, D.14.2 vzorové uložení chrániček, D.14.1 technická zpráva:
specifikace:
štěrkopísek fr. 4/8:</t>
  </si>
  <si>
    <t xml:space="preserve"> Staničení: -0,17 - 0,10029: 7,33035997591543 (2fAhZZNHVqM00000000X9Q) = 7,330 [A]</t>
  </si>
  <si>
    <t xml:space="preserve"> Staničení: 0,79175 - 0,79245: 0,375818757295985 (2fAhZZNHVqM00000000Z6W) = 0,376 [B]</t>
  </si>
  <si>
    <t xml:space="preserve"> Staničení: 0,10028 - 0,13157: 0,841755085074079 (2fAhZZNHVqM00000000X9X) = 0,842 [C]</t>
  </si>
  <si>
    <t xml:space="preserve"> Staničení: 0,79167 - 1,14408: 9,68733986072416 (2fAhZZNHVqM00000000Wdc) = 9,687 [D]</t>
  </si>
  <si>
    <t xml:space="preserve"> Staničení: 0,13154 - 0,79225: 18,0481838350778 (2fAhZZNHVqM00000000X9e) = 18,048 [E]</t>
  </si>
  <si>
    <t xml:space="preserve"> Staničení: -0,38249 - -0,17: 5,7793877094551 (2fAhZZNHVqM00000000XHO) = 5,779 [F]</t>
  </si>
  <si>
    <t xml:space="preserve"> Celkové množství 42.062000 = 42,062 [G]</t>
  </si>
  <si>
    <t>75I911</t>
  </si>
  <si>
    <t>OPTOTRUBKA HDPE PRŮMĚRU DO 40 MM</t>
  </si>
  <si>
    <t>Kategorie stavebního výrobku:
Klasifikace dle CCI:
Podrobná specifikace:
oranžová:
Reference:
C.1.3 situace, D.14.2 vzorové uložení chrániček, D.14.1 technická zpráva:
Specifikace:
plastová trubka, HDPE, DN 40:
Stavební výrobek:
chránička plastová:
Typ stavebního výrobku:
chránička:
Výrobce:
Nd:</t>
  </si>
  <si>
    <t xml:space="preserve"> Staničení: 0,10029 - 0,10095: 0,68 (2fAhZZNHVqM00000000Zp$) = 0,680 [A]</t>
  </si>
  <si>
    <t xml:space="preserve"> Staničení: 0,13063 - 0,13155: 0,92 (2fAhZZNHVqM00000000Zq4) = 0,920 [B]</t>
  </si>
  <si>
    <t xml:space="preserve"> Staničení: 0,79194 - 1,14408: 357,3 (2fAhZZNHVqM00000000X1t) = 357,300 [C]</t>
  </si>
  <si>
    <t xml:space="preserve"> Staničení: -0,38242 - -0,17: 212,86 (2fAhZZNHVqM00000000XGk) = 212,860 [D]</t>
  </si>
  <si>
    <t xml:space="preserve"> Staničení: 0,13155 - 0,77957: 651,83 (2fAhZZNHVqM00000000ZtT) = 651,830 [E]</t>
  </si>
  <si>
    <t xml:space="preserve"> Staničení: 0,77959 - 0,79234: 12,95 (2fAhZZNHVqM00000000XNK) = 12,950 [F]</t>
  </si>
  <si>
    <t xml:space="preserve"> Staničení: 0,10096 - 0,13063: 29,45 (2fAhZZNHVqM00000000XMO) = 29,450 [G]</t>
  </si>
  <si>
    <t xml:space="preserve"> Staničení: 0,7921 - 0,79226: 13,65 (2fAhZZNHVqM00000000Zjf) = 13,650 [H]</t>
  </si>
  <si>
    <t xml:space="preserve"> Staničení: -0,17 - 0,10029: 270 (2fAhZZNHVqM00000000XMQ) = 270,000 [I]</t>
  </si>
  <si>
    <t xml:space="preserve"> Celkové množství 1549.640000 = 1549,640 [J]</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</si>
  <si>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metrech.</t>
  </si>
  <si>
    <t>Kategorie stavebního výrobku:
Klasifikace dle CCI:
Podrobná specifikace:
modrá:
Reference:
C.1.3 situace, D.14.2 vzorové uložení chrániček, D.14.1 technická zpráva:
Specifikace:
plastová trubka, HDPE, DN 40, doplněno o signalizační vodič CYY:
Stavební výrobek:
chránička plastová:
Typ stavebního výrobku:
chránička:
Výrobce:
Nd:</t>
  </si>
  <si>
    <t xml:space="preserve"> Staničení: 0,13155 - 0,77957: 651,83 (2fAhZZNHVqM00000000ZtU) = 651,830 [A]</t>
  </si>
  <si>
    <t xml:space="preserve"> Staničení: 0,13063 - 0,13155: 0,92 (2fAhZZNHVqM00000000ZqA) = 0,920 [B]</t>
  </si>
  <si>
    <t xml:space="preserve"> Staničení: 0,77959 - 0,79234: 12,95 (2fAhZZNHVqM00000000XNI) = 12,950 [C]</t>
  </si>
  <si>
    <t xml:space="preserve"> Staničení: 0,10096 - 0,13063: 29,45 (2fAhZZNHVqM00000000WKP) = 29,450 [D]</t>
  </si>
  <si>
    <t xml:space="preserve"> Staničení: 0,10029 - 0,10095: 0,68 (2fAhZZNHVqM00000000Zq8) = 0,680 [E]</t>
  </si>
  <si>
    <t xml:space="preserve"> Staničení: -0,17 - 0,10029: 270 (2fAhZZNHVqM00000000XMe) = 270,000 [F]</t>
  </si>
  <si>
    <t xml:space="preserve"> Staničení: 0,79212 - 0,79228: 13,65 (2fAhZZNHVqM00000000Zjm) = 13,650 [G]</t>
  </si>
  <si>
    <t xml:space="preserve"> Staničení: -0,38243 - -0,17: 212,86 (2fAhZZNHVqM00000000XGy) = 212,860 [H]</t>
  </si>
  <si>
    <t xml:space="preserve"> Staničení: 0,7919 - 1,14407: 357,3 (2fAhZZNHVqM00000000X23) = 357,300 [I]</t>
  </si>
  <si>
    <t>Kategorie stavebního výrobku:
 Klasifikace dle CCI:
Podrobná specifikace:
zelená:
Reference:
C.1.3 situace, D.14.2 vzorové uložení chrániček, D.14.1 technická zpráva:
Specifikace:
plastová trubka, HDPE, DN 40:
Stavební výrobek:
chránička plastová:
Typ stavebního výrobku:
chránička:
Výrobce:
Nd:</t>
  </si>
  <si>
    <t xml:space="preserve"> Staničení: 0,13063 - 0,13156: 0,92 (2fAhZZNHVqM00000000Zq5) = 0,920 [A]</t>
  </si>
  <si>
    <t xml:space="preserve"> Staničení: -0,17 - 0,10029: 270 (2fAhZZNHVqM00000000XMl) = 270,000 [B]</t>
  </si>
  <si>
    <t xml:space="preserve"> Staničení: 0,13155 - 0,77957: 651,83 (2fAhZZNHVqM00000000ZtV) = 651,830 [C]</t>
  </si>
  <si>
    <t xml:space="preserve"> Staničení: 0,10029 - 0,10095: 0,68 (2fAhZZNHVqM00000000Zq9) = 0,680 [D]</t>
  </si>
  <si>
    <t xml:space="preserve"> Staničení: 0,79214 - 0,79229: 13,65 (2fAhZZNHVqM00000000Zjc) = 13,650 [E]</t>
  </si>
  <si>
    <t xml:space="preserve"> Staničení: 0,79186 - 1,14407: 357,3 (2fAhZZNHVqM00000000X1k) = 357,300 [F]</t>
  </si>
  <si>
    <t xml:space="preserve"> Staničení: -0,38244 - -0,17: 212,86 (2fAhZZNHVqM00000000XH3) = 212,860 [G]</t>
  </si>
  <si>
    <t xml:space="preserve"> Staničení: 0,77959 - 0,79234: 12,95 (2fAhZZNHVqM00000000XNJ) = 12,950 [H]</t>
  </si>
  <si>
    <t xml:space="preserve"> Staničení: 0,10096 - 0,13063: 29,45 (2fAhZZNHVqM00000000XMN) = 29,450 [I]</t>
  </si>
  <si>
    <t>87733</t>
  </si>
  <si>
    <t>CHRÁNIČKY PŮLENÉ Z TRUB PLAST DN DO 150MM</t>
  </si>
  <si>
    <t>Kategorie stavebního výrobku:
Klasifikace dle CCI:
Podrobná specifikace:
pod sjezdy a v příčných přechodech pod komunikací, v délce přesahující vozovku o 1 m:
Reference:
C.1.3 situace, D.14.2 vzorové uložení chrániček, D.14.1 technická zpráva:
Specifikace:
plastová trubka, HDPE, DN 125:
Stavební výrobek:
chránička plastová:
Typ stavebního výrobku:
chránička:
Výrobce:
Nd:</t>
  </si>
  <si>
    <t xml:space="preserve"> Staničení: 0,79214 - 0,7923: 13,65 (2fAhZZNHVqM00000000Z5y) = 13,650 [A]</t>
  </si>
  <si>
    <t xml:space="preserve"> Staničení: 0,77959 - 0,79234: 12,95 (2fAhZZNHVqM00000000Xn2) = 12,950 [B]</t>
  </si>
  <si>
    <t xml:space="preserve"> Staničení: 0,10096 - 0,13063: 29,45 (2fAhZZNHVqM00000000Xne) = 29,450 [C]</t>
  </si>
  <si>
    <t xml:space="preserve"> Celkové množství 56.050000 = 56,050 [D]</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</si>
  <si>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</si>
  <si>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8988F</t>
  </si>
  <si>
    <t>KABELOVÉ KOMORY Z PLASTICKÝCH HMOT, UŽITNÝ OBJEM DO 1,8M3</t>
  </si>
  <si>
    <t>Kategorie stavebního výrobku:
Klasifikace dle CCI:
Podrobná specifikace:
skladba ze segmentů 150 mm :
Reference:
C.1.3 situace, D.14.1 technická zpráva,  D.14.3 vzorová kabelová komora:
Specifikace:
kabelová komora 1500 x 950 x 950 mm, litinový poklop třídy D400:
Stavební výrobek:
kabelová komora HDPE:
Typ stavebního výrobku:
kabelová komora:
Výrobce:
Nd:</t>
  </si>
  <si>
    <t xml:space="preserve"> Staničení: 0,79162 - 0,79254: 1 (2fAhZZNHVqM00000000WWN) = 1,000 [A]</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</si>
  <si>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</si>
  <si>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899308</t>
  </si>
  <si>
    <t>DOPLŇKY NA POTRUBÍ - SIGNALIZAČ VODIČ</t>
  </si>
  <si>
    <t>- Položka zahrnuje veškerý materiál, výrobky a polotovary, včetně mimostaveništní a vnitrostaveništní dopravy (rovněž přesuny), včetně naložení a složení,případně s uložením. 
- položka signalizační vodič zahrnuje i kontrolní vývody.</t>
  </si>
  <si>
    <t>Kategorie stavebního výrobku:
Klasifikace dle CCI:
Podrobná specifikace:
oranžová:
Reference:
situace, D.14.2 vzorové uložení chrániček, D.14.1 technická zpráva:
Specifikace:
výstražná folie, š 0.33 m:
Stavební výrobek:
folie PVC:
Typ stavebního výrobku:
folie:
Výrobce:
Nd:</t>
  </si>
  <si>
    <t xml:space="preserve"> Staničení: -0,38245 - 0,79144: 1178,68 (2fAhZZNHVqM00000000Zur) = 1178,680 [A]</t>
  </si>
  <si>
    <t xml:space="preserve"> Staničení: 0,7919 - 1,14257: 370,95 (2fAhZZNHVqM00000000Zuf) = 370,950 [B]</t>
  </si>
  <si>
    <t xml:space="preserve"> Celkové množství 1549.630000 = 1549,630 [C]</t>
  </si>
  <si>
    <t>899604</t>
  </si>
  <si>
    <t>KALIBRACE OPTOTRUBKY</t>
  </si>
  <si>
    <t xml:space="preserve"> Staničení: 0,10029 - 0,10095: 0,68 (2fAhZZNHVqM00000000Zp$) = 0,680 [B]</t>
  </si>
  <si>
    <t xml:space="preserve"> Staničení: 0,13063 - 0,13156: 0,92 (2fAhZZNHVqM00000000Zq5) = 0,920 [C]</t>
  </si>
  <si>
    <t xml:space="preserve"> Staničení: 0,13063 - 0,13155: 0,92 (2fAhZZNHVqM00000000ZqA) = 0,920 [D]</t>
  </si>
  <si>
    <t xml:space="preserve"> Staničení: -0,17 - 0,10029: 270 (2fAhZZNHVqM00000000XMl) = 270,000 [E]</t>
  </si>
  <si>
    <t xml:space="preserve"> Staničení: 0,13155 - 0,77957: 651,83 (2fAhZZNHVqM00000000ZtV) = 651,830 [F]</t>
  </si>
  <si>
    <t xml:space="preserve"> Staničení: 0,10029 - 0,10095: 0,68 (2fAhZZNHVqM00000000Zq9) = 0,680 [G]</t>
  </si>
  <si>
    <t xml:space="preserve"> Staničení: 0,13063 - 0,13155: 0,92 (2fAhZZNHVqM00000000Zq4) = 0,920 [H]</t>
  </si>
  <si>
    <t xml:space="preserve"> Staničení: 0,77959 - 0,79234: 12,95 (2fAhZZNHVqM00000000XNI) = 12,950 [I]</t>
  </si>
  <si>
    <t xml:space="preserve"> Staničení: 0,79194 - 1,14408: 357,3 (2fAhZZNHVqM00000000X1t) = 357,300 [J]</t>
  </si>
  <si>
    <t xml:space="preserve"> Staničení: -0,38242 - -0,17: 212,86 (2fAhZZNHVqM00000000XGk) = 212,860 [K]</t>
  </si>
  <si>
    <t xml:space="preserve"> Staničení: 0,10096 - 0,13063: 29,45 (2fAhZZNHVqM00000000WKP) = 29,450 [L]</t>
  </si>
  <si>
    <t xml:space="preserve"> Staničení: 0,10029 - 0,10095: 0,68 (2fAhZZNHVqM00000000Zq8) = 0,680 [M]</t>
  </si>
  <si>
    <t xml:space="preserve"> Staničení: -0,17 - 0,10029: 270 (2fAhZZNHVqM00000000XMe) = 270,000 [N]</t>
  </si>
  <si>
    <t xml:space="preserve"> Staničení: 0,13155 - 0,77957: 651,83 (2fAhZZNHVqM00000000ZtT) = 651,830 [O]</t>
  </si>
  <si>
    <t xml:space="preserve"> Staničení: 0,79214 - 0,79229: 13,65 (2fAhZZNHVqM00000000Zjc) = 13,650 [P]</t>
  </si>
  <si>
    <t xml:space="preserve"> Staničení: 0,79186 - 1,14407: 357,3 (2fAhZZNHVqM00000000X1k) = 357,300 [Q]</t>
  </si>
  <si>
    <t xml:space="preserve"> Staničení: 0,79212 - 0,79228: 13,65 (2fAhZZNHVqM00000000Zjm) = 13,650 [R]</t>
  </si>
  <si>
    <t xml:space="preserve"> Staničení: 0,77959 - 0,79234: 12,95 (2fAhZZNHVqM00000000XNK) = 12,950 [S]</t>
  </si>
  <si>
    <t xml:space="preserve"> Staničení: -0,38244 - -0,17: 212,86 (2fAhZZNHVqM00000000XH3) = 212,860 [T]</t>
  </si>
  <si>
    <t xml:space="preserve"> Staničení: 0,10096 - 0,13063: 29,45 (2fAhZZNHVqM00000000XMO) = 29,450 [U]</t>
  </si>
  <si>
    <t xml:space="preserve"> Staničení: -0,38243 - -0,17: 212,86 (2fAhZZNHVqM00000000XGy) = 212,860 [V]</t>
  </si>
  <si>
    <t xml:space="preserve"> Staničení: 0,7921 - 0,79226: 13,65 (2fAhZZNHVqM00000000Zjf) = 13,650 [W]</t>
  </si>
  <si>
    <t xml:space="preserve"> Staničení: 0,77959 - 0,79234: 12,95 (2fAhZZNHVqM00000000XNJ) = 12,950 [X]</t>
  </si>
  <si>
    <t xml:space="preserve"> Staničení: -0,17 - 0,10029: 270 (2fAhZZNHVqM00000000XMQ) = 270,000 [Y]</t>
  </si>
  <si>
    <t xml:space="preserve"> Staničení: 0,7919 - 1,14407: 357,3 (2fAhZZNHVqM00000000X23) = 357,300 [Z]</t>
  </si>
  <si>
    <t xml:space="preserve"> Staničení: 0,10096 - 0,13063: 29,45 (2fAhZZNHVqM00000000XMN) = 29,450 [AA]</t>
  </si>
  <si>
    <t xml:space="preserve"> Celkové množství 4648.920000 = 4648,920 [AB]</t>
  </si>
  <si>
    <t>položka zahrnuje protlačení kalibračního předmětu (např. kuličky) tlakovým vzduchem</t>
  </si>
  <si>
    <t>899611</t>
  </si>
  <si>
    <t>TLAKOVÉ ZKOUŠKY POTRUBÍ DN DO 80MM</t>
  </si>
  <si>
    <t>13173</t>
  </si>
  <si>
    <t>HLOUBENÍ JAM ZAPAŽ I NEPAŽ TŘ. I</t>
  </si>
  <si>
    <t>Další specifikace:
zpětné použití do násypů:
Klasifikace zemin / hornin:
F4 CS, S5 SC, F5ML/MI, F6 CI, S4 SM, S3 S-F, G3 G-F, R6-R4:
Třída těžitelnosti:
1:</t>
  </si>
  <si>
    <t xml:space="preserve"> Staničení: 0,7585 - 0,76092: 0,117069713230533 (2QQgnI$U0$AG000000085t) = 0,117 [A]</t>
  </si>
  <si>
    <t xml:space="preserve"> Staničení: 0,75266 - 0,7545: 1,57301041913242 (2QQgnI$U0$AG000000082t) = 1,573 [B]</t>
  </si>
  <si>
    <t xml:space="preserve"> Staničení: 0,70116 - 0,70358: 0,0242885352104885 (2QQgnI$U0$AG000000084l) = 0,024 [C]</t>
  </si>
  <si>
    <t xml:space="preserve"> Staničení: 0,77021 - 0,77235: 1,72904728784607 (2QQgnI$U0$AG000000087l) = 1,729 [D]</t>
  </si>
  <si>
    <t xml:space="preserve"> Staničení: 0,72813 - 0,72989: 1,30249738579563 (2QQgnI$U0$AG000000081l) = 1,302 [E]</t>
  </si>
  <si>
    <t xml:space="preserve"> Staničení: 0,75442 - 0,75684: 0,110708964584055 (2QQgnI$U0$AG0000000863) = 0,111 [F]</t>
  </si>
  <si>
    <t xml:space="preserve"> Staničení: 0,76657 - 0,76887: 0,144976317690022 (2QQgnI$U0$AG000000085V) = 0,145 [G]</t>
  </si>
  <si>
    <t xml:space="preserve"> Staničení: 0,76464 - 0,76671: 1,62901120709834 (2QQgnI$U0$AG0000000833) = 1,629 [H]</t>
  </si>
  <si>
    <t xml:space="preserve"> Staničení: 0,74448 - 0,74631: 1,51082633904007 (2QQgnI$U0$AG000000082V) = 1,511 [I]</t>
  </si>
  <si>
    <t xml:space="preserve"> Staničení: 0,74214 - 0,74453: 0,0564181073932759 (2QQgnI$U0$AG000000086d) = 0,056 [J]</t>
  </si>
  <si>
    <t xml:space="preserve"> Staničení: 0,70355 - 0,7053: 1,29247793730772 (2QQgnI$U0$AG000000080d) = 1,292 [K]</t>
  </si>
  <si>
    <t xml:space="preserve"> Staničení: 0,76945 - 0,77148: 1,52312556601163 (2QQgnI$U0$AG000000083d) = 1,523 [L]</t>
  </si>
  <si>
    <t xml:space="preserve"> Staničení: 0,71755 - 0,71997: 0,0177169484054281 (2QQgnI$U0$AG000000084N) = 0,018 [M]</t>
  </si>
  <si>
    <t xml:space="preserve"> Staničení: 0,70935 - 0,71177: 0,0209321446402793 (2QQgnI$U0$AG000000087N) = 0,021 [N]</t>
  </si>
  <si>
    <t xml:space="preserve"> Staničení: 0,71995 - 0,72168: 1,25866675756292 (2QQgnI$U0$AG000000081N) = 1,259 [O]</t>
  </si>
  <si>
    <t xml:space="preserve"> Staničení: 0,69645 - 0,69946: 0,0234667733637016 (2QQgnI$U0$AG000000084x) = 0,023 [P]</t>
  </si>
  <si>
    <t xml:space="preserve"> Staničení: 0,73222 - 0,734: 1,35692979518751 (2QQgnI$U0$AG000000081x) = 1,357 [Q]</t>
  </si>
  <si>
    <t xml:space="preserve"> Staničení: 0,75032 - 0,75275: 0,10354807694133 (2QQgnI$U0$AG000000086F) = 0,104 [R]</t>
  </si>
  <si>
    <t xml:space="preserve"> Staničení: 0,69945 - 0,70121: 1,30141468515531 (2QQgnI$U0$AG000000080F) = 1,301 [S]</t>
  </si>
  <si>
    <t xml:space="preserve"> Staničení: 0,76077 - 0,76267: 1,54636130254976 (2QQgnI$U0$AG000000083F) = 1,546 [T]</t>
  </si>
  <si>
    <t xml:space="preserve"> Staničení: 0,71345 - 0,71587: 0,0193021610788734 (2QQgnI$U0$AG000000084Z) = 0,019 [U]</t>
  </si>
  <si>
    <t xml:space="preserve"> Staničení: 0,70526 - 0,70767: 0,0226068978065827 (2QQgnI$U0$AG000000087Z) = 0,023 [V]</t>
  </si>
  <si>
    <t xml:space="preserve"> Staničení: 0,72405 - 0,72578: 1,24545405744043 (2QQgnI$U0$AG000000081Z) = 1,245 [W]</t>
  </si>
  <si>
    <t xml:space="preserve"> Staničení: 0,72985 - 0,73224: 0,020168580916673 (2QQgnI$U0$AG000000086$) = 0,020 [X]</t>
  </si>
  <si>
    <t xml:space="preserve"> Staničení: 0,71175 - 0,71349: 1,27688055451972 (2QQgnI$U0$AG000000080$) = 1,277 [Y]</t>
  </si>
  <si>
    <t xml:space="preserve"> Staničení: 0,73804 - 0,74044: 0,042776080901376 (2QQgnI$U0$AG000000083$) = 0,043 [Z]</t>
  </si>
  <si>
    <t xml:space="preserve"> Staničení: 0,73395 - 0,73634: 0,0306814418016021 (2QQgnI$U0$AG000000086p) = 0,031 [AA]</t>
  </si>
  <si>
    <t xml:space="preserve"> Staničení: 0,70765 - 0,70939: 1,28499327115671 (2QQgnI$U0$AG000000080p) = 1,285 [AB]</t>
  </si>
  <si>
    <t xml:space="preserve"> Staničení: 0,75674 - 0,7586: 1,59667742734155 (2QQgnI$U0$AG000000083p) = 1,597 [AC]</t>
  </si>
  <si>
    <t xml:space="preserve"> Staničení: 0,76257 - 0,76496: 0,130648497657903 (2QQgnI$U0$AG000000085h) = 0,131 [AD]</t>
  </si>
  <si>
    <t xml:space="preserve"> Staničení: 0,74857 - 0,75041: 1,54935742644568 (2QQgnI$U0$AG000000082h) = 1,549 [AE]</t>
  </si>
  <si>
    <t xml:space="preserve"> Staničení: 0,74623 - 0,74866: 0,0965830533866149 (2QQgnI$U0$AG000000086R) = 0,097 [AF]</t>
  </si>
  <si>
    <t xml:space="preserve"> Staničení: 0,6947 - 0,69656: 1,3458159719751 (2QQgnI$U0$AG000000080R) = 1,346 [AG]</t>
  </si>
  <si>
    <t xml:space="preserve"> Staničení: 0,76833 - 0,77088: 1,58698018494218 (2QQgnI$U0$AG000000083R) = 1,587 [AH]</t>
  </si>
  <si>
    <t xml:space="preserve"> Staničení: 0,77029 - 0,77127: 0,235143009988899 (2QQgnI$U0$AG0000000857) = 0,235 [AI]</t>
  </si>
  <si>
    <t xml:space="preserve"> Staničení: 0,76952 - 0,77043: 0,187968622636222 (2QQgnI$U0$AG000000085J) = 0,188 [AJ]</t>
  </si>
  <si>
    <t xml:space="preserve"> Staničení: 0,73631 - 0,7381: 1,41207141237725 (2QQgnI$U0$AG0000000827) = 1,412 [AK]</t>
  </si>
  <si>
    <t xml:space="preserve"> Staničení: 0,7404 - 0,74221: 1,46766594853959 (2QQgnI$U0$AG000000082J) = 1,468 [AL]</t>
  </si>
  <si>
    <t xml:space="preserve"> Staničení: 0,72575 - 0,72814: 0,0112641325386061 (2QQgnI$U0$AG000000084B) = 0,011 [AM]</t>
  </si>
  <si>
    <t xml:space="preserve"> Staničení: 0,72165 - 0,72406: 0,016176377679713 (2QQgnI$U0$AG000000087B) = 0,016 [AN]</t>
  </si>
  <si>
    <t xml:space="preserve"> Staničení: 0,71585 - 0,71759: 1,26791642365974 (2QQgnI$U0$AG000000081B) = 1,268 [AO]</t>
  </si>
  <si>
    <t xml:space="preserve"> Celkové množství 31.489000 = 31,489 [AP]</t>
  </si>
  <si>
    <t>17411</t>
  </si>
  <si>
    <t>ZÁSYP JAM A RÝH ZEMINOU SE ZHUTNĚNÍM</t>
  </si>
  <si>
    <t>Materiál:
vyzískamá zemina z výkopu:
podrobná specifikace:
Id=0,9:
Reference:
D.15.3:
specifikace:
hutněný:</t>
  </si>
  <si>
    <t xml:space="preserve"> Staničení: 0,77021 - 0,77235: 1,57884113178 (2QQgnI$U0$AG00000008Ft) = 1,579 [A]</t>
  </si>
  <si>
    <t xml:space="preserve"> Staničení: 0,71175 - 0,71349: 1,12773998938651 (2QQgnI$U0$AG00000008Ct) = 1,128 [B]</t>
  </si>
  <si>
    <t xml:space="preserve"> Staničení: 0,75266 - 0,7545: 1,42318467710933 (2QQgnI$U0$AG00000008El) = 1,423 [C]</t>
  </si>
  <si>
    <t xml:space="preserve"> Staničení: 0,71585 - 0,71759: 1,11879761199623 (2QQgnI$U0$AG00000008D3) = 1,119 [D]</t>
  </si>
  <si>
    <t xml:space="preserve"> Staničení: 0,76945 - 0,77148: 1,37375548002446 (2QQgnI$U0$AG00000008FV) = 1,374 [E]</t>
  </si>
  <si>
    <t xml:space="preserve"> Staničení: 0,70355 - 0,7053: 1,1432938902079 (2QQgnI$U0$AG00000008CV) = 1,143 [F]</t>
  </si>
  <si>
    <t xml:space="preserve"> Staničení: 0,72813 - 0,72989: 1,15329155635711 (2QQgnI$U0$AG00000008Dd) = 1,153 [G]</t>
  </si>
  <si>
    <t xml:space="preserve"> Staničení: 0,74448 - 0,74631: 1,36110057132253 (2QQgnI$U0$AG00000008EN) = 1,361 [H]</t>
  </si>
  <si>
    <t xml:space="preserve"> Staničení: 0,76464 - 0,76671: 1,47905632310965 (2QQgnI$U0$AG00000008Ex) = 1,479 [I]</t>
  </si>
  <si>
    <t xml:space="preserve"> Staničení: 0,71995 - 0,72168: 1,10956969737751 (2QQgnI$U0$AG00000008DF) = 1,110 [J]</t>
  </si>
  <si>
    <t xml:space="preserve"> Staničení: 0,74857 - 0,75041: 1,39958057941475 (2QQgnI$U0$AG00000008EZ) = 1,400 [K]</t>
  </si>
  <si>
    <t xml:space="preserve"> Staničení: 0,73631 - 0,7381: 1,26260458646643 (2QQgnI$U0$AG00000008D$) = 1,263 [L]</t>
  </si>
  <si>
    <t xml:space="preserve"> Staničení: 0,73222 - 0,734: 1,20759346623183 (2QQgnI$U0$AG00000008Dp) = 1,208 [M]</t>
  </si>
  <si>
    <t xml:space="preserve"> Staničení: 0,75674 - 0,7586: 1,44680274973734 (2QQgnI$U0$AG00000008Fh) = 1,447 [N]</t>
  </si>
  <si>
    <t xml:space="preserve"> Staničení: 0,70765 - 0,70939: 1,13583096205951 (2QQgnI$U0$AG00000008Ch) = 1,136 [O]</t>
  </si>
  <si>
    <t xml:space="preserve"> Staničení: 0,72405 - 0,72578: 1,09637921947271 (2QQgnI$U0$AG00000008DR) = 1,096 [P]</t>
  </si>
  <si>
    <t xml:space="preserve"> Staničení: 0,76077 - 0,76267: 1,39657217128141 (2QQgnI$U0$AG00000008F7) = 1,397 [Q]</t>
  </si>
  <si>
    <t xml:space="preserve"> Staničení: 0,6947 - 0,69656: 1,19648273271361 (2QQgnI$U0$AG00000008C7) = 1,196 [R]</t>
  </si>
  <si>
    <t xml:space="preserve"> Staničení: 0,76833 - 0,77088: 1,43704566204067 (2QQgnI$U0$AG00000008FJ) = 1,437 [S]</t>
  </si>
  <si>
    <t xml:space="preserve"> Staničení: 0,69945 - 0,70121: 1,15220739898154 (2QQgnI$U0$AG00000008CJ) = 1,152 [T]</t>
  </si>
  <si>
    <t xml:space="preserve"> Staničení: 0,7404 - 0,74221: 1,31806862778714 (2QQgnI$U0$AG00000008EB) = 1,318 [U]</t>
  </si>
  <si>
    <t xml:space="preserve"> Celkové množství 26.919000 = 26,919 [V]</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</si>
  <si>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</si>
  <si>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184A1</t>
  </si>
  <si>
    <t>VYSAZOVÁNÍ KEŘŮ LISTNATÝCH S BALEM VČETNĚ VÝKOPU JAMKY</t>
  </si>
  <si>
    <t>vysazování keřů - popínavé rostliny na rubu PHS
D.15.3</t>
  </si>
  <si>
    <t xml:space="preserve"> počet kusů podél soklů PHS SO 601 162 = 162,000 [A]</t>
  </si>
  <si>
    <t xml:space="preserve"> Celkové množství 162.000000 = 162,000 [B]</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</si>
  <si>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</si>
  <si>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224324</t>
  </si>
  <si>
    <t>PILOTY ZE ŽELEZOBETONU C25/30</t>
  </si>
  <si>
    <t>Beton:
C 25/30:
Materiál:
beton:
Množství betonářské výztuže:
62,7kg  (konkrétní množství výztuže v modelovaném elementu):
Množství betonářské výztuže na m3:
Nd:
Množství předpínací výztuže:
Nd:
Návrhová životnost:
100 let:
podrobná specifikace:
XA1:
Reference:
D.15.1, D.15.3:
Referencované výkresy:
D.15.3:
specifikace:
C 25/30:
Specifikace:
XA1:
Typ betonářské vyztuže:
B500B:
Typ předpínací vyztuže:
Nd:</t>
  </si>
  <si>
    <t xml:space="preserve"> Staničení: 0,76551 - 0,76604: 0,488454825780133 (2QQgnI$U0$AG00000008P6) = 0,488 [A]</t>
  </si>
  <si>
    <t xml:space="preserve"> Staničení: 0,69537 - 0,69589: 0,488454825780133 (2QQgnI$U0$AG00000008LO) = 0,488 [B]</t>
  </si>
  <si>
    <t xml:space="preserve"> Staničení: 0,71236 - 0,71288: 0,488454825780133 (2QQgnI$U0$AG00000008MG) = 0,488 [C]</t>
  </si>
  <si>
    <t xml:space="preserve"> Staničení: 0,70007 - 0,70059: 0,488454825780133 (2QQgnI$U0$AG00000008Lc) = 0,488 [D]</t>
  </si>
  <si>
    <t xml:space="preserve"> Staničení: 0,71646 - 0,71698: 0,488454825780133 (2QQgnI$U0$AG00000008MU) = 0,488 [E]</t>
  </si>
  <si>
    <t xml:space="preserve"> Staničení: 0,70417 - 0,70469: 0,488454825780133 (2QQgnI$U0$AG00000008Lq) = 0,488 [F]</t>
  </si>
  <si>
    <t xml:space="preserve"> Staničení: 0,73285 - 0,73338: 0,488454825780133 (2QQgnI$U0$AG00000008NM) = 0,488 [G]</t>
  </si>
  <si>
    <t xml:space="preserve"> Staničení: 0,72056 - 0,72108: 0,488454825780133 (2QQgnI$U0$AG00000008Mi) = 0,488 [H]</t>
  </si>
  <si>
    <t xml:space="preserve"> Staničení: 0,75333 - 0,75386: 0,488454825780133 (2QQgnI$U0$AG00000008OS) = 0,488 [I]</t>
  </si>
  <si>
    <t xml:space="preserve"> Staničení: 0,74924 - 0,74977: 0,488454825780133 (2QQgnI$U0$AG00000008OE) = 0,488 [J]</t>
  </si>
  <si>
    <t xml:space="preserve"> Staničení: 0,70826 - 0,70879: 0,488454825780133 (2QQgnI$U0$AG00000008M2) = 0,488 [K]</t>
  </si>
  <si>
    <t xml:space="preserve"> Staničení: 0,72875 - 0,72928: 0,488454825780133 (2QQgnI$U0$AG00000008N8) = 0,488 [L]</t>
  </si>
  <si>
    <t xml:space="preserve"> Staničení: 0,73695 - 0,73748: 0,488454825780133 (2QQgnI$U0$AG00000008Na) = 0,488 [M]</t>
  </si>
  <si>
    <t xml:space="preserve"> Staničení: 0,76953 - 0,77006: 0,488454825780133 (2QQgnI$U0$AG00000008PK) = 0,488 [N]</t>
  </si>
  <si>
    <t xml:space="preserve"> Staničení: 0,74514 - 0,74567: 0,488454825780133 (2QQgnI$U0$AG00000008O0) = 0,488 [O]</t>
  </si>
  <si>
    <t xml:space="preserve"> Staničení: 0,72466 - 0,72518: 0,488454825780133 (2QQgnI$U0$AG00000008Mw) = 0,488 [P]</t>
  </si>
  <si>
    <t xml:space="preserve"> Staničení: 0,77029 - 0,77082: 0,488454825780133 (2QQgnI$U0$AG00000008PY) = 0,488 [Q]</t>
  </si>
  <si>
    <t xml:space="preserve"> Staničení: 0,74105 - 0,74158: 0,488454825780133 (2QQgnI$U0$AG00000008No) = 0,488 [R]</t>
  </si>
  <si>
    <t xml:space="preserve"> Staničení: 0,75742 - 0,75795: 0,488454825780133 (2QQgnI$U0$AG00000008Og) = 0,488 [S]</t>
  </si>
  <si>
    <t xml:space="preserve"> Staničení: 0,7615 - 0,76203: 0,488454825780133 (2QQgnI$U0$AG00000008Ou) = 0,488 [T]</t>
  </si>
  <si>
    <t xml:space="preserve"> Staničení: 0,77111 - 0,77165: 0,488454825780133 (2QQgnI$U0$AG00000008Pm) = 0,488 [U]</t>
  </si>
  <si>
    <t xml:space="preserve"> Celkové množství 10.248000 = 10,248 [V]</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</si>
  <si>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</si>
  <si>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</si>
  <si>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</si>
  <si>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 xml:space="preserve"> Staničení: 0,76551 - 0,76604: 0,063 (2QQgnI$U0$AG00000008P6) = 0,063 [A]</t>
  </si>
  <si>
    <t xml:space="preserve"> Staničení: 0,69537 - 0,69589: 0,063 (2QQgnI$U0$AG00000008LO) = 0,063 [B]</t>
  </si>
  <si>
    <t xml:space="preserve"> Staničení: 0,71236 - 0,71288: 0,063 (2QQgnI$U0$AG00000008MG) = 0,063 [C]</t>
  </si>
  <si>
    <t xml:space="preserve"> Staničení: 0,70007 - 0,70059: 0,063 (2QQgnI$U0$AG00000008Lc) = 0,063 [D]</t>
  </si>
  <si>
    <t xml:space="preserve"> Staničení: 0,71646 - 0,71698: 0,063 (2QQgnI$U0$AG00000008MU) = 0,063 [E]</t>
  </si>
  <si>
    <t xml:space="preserve"> Staničení: 0,70417 - 0,70469: 0,063 (2QQgnI$U0$AG00000008Lq) = 0,063 [F]</t>
  </si>
  <si>
    <t xml:space="preserve"> Staničení: 0,73285 - 0,73338: 0,063 (2QQgnI$U0$AG00000008NM) = 0,063 [G]</t>
  </si>
  <si>
    <t xml:space="preserve"> Staničení: 0,72056 - 0,72108: 0,063 (2QQgnI$U0$AG00000008Mi) = 0,063 [H]</t>
  </si>
  <si>
    <t xml:space="preserve"> Staničení: 0,75333 - 0,75386: 0,063 (2QQgnI$U0$AG00000008OS) = 0,063 [I]</t>
  </si>
  <si>
    <t xml:space="preserve"> Staničení: 0,74924 - 0,74977: 0,063 (2QQgnI$U0$AG00000008OE) = 0,063 [J]</t>
  </si>
  <si>
    <t xml:space="preserve"> Staničení: 0,70826 - 0,70879: 0,063 (2QQgnI$U0$AG00000008M2) = 0,063 [K]</t>
  </si>
  <si>
    <t xml:space="preserve"> Staničení: 0,72875 - 0,72928: 0,063 (2QQgnI$U0$AG00000008N8) = 0,063 [L]</t>
  </si>
  <si>
    <t xml:space="preserve"> Staničení: 0,73695 - 0,73748: 0,063 (2QQgnI$U0$AG00000008Na) = 0,063 [M]</t>
  </si>
  <si>
    <t xml:space="preserve"> Staničení: 0,76953 - 0,77006: 0,063 (2QQgnI$U0$AG00000008PK) = 0,063 [N]</t>
  </si>
  <si>
    <t xml:space="preserve"> Staničení: 0,74514 - 0,74567: 0,063 (2QQgnI$U0$AG00000008O0) = 0,063 [O]</t>
  </si>
  <si>
    <t xml:space="preserve"> Staničení: 0,72466 - 0,72518: 0,063 (2QQgnI$U0$AG00000008Mw) = 0,063 [P]</t>
  </si>
  <si>
    <t xml:space="preserve"> Staničení: 0,77029 - 0,77082: 0,063 (2QQgnI$U0$AG00000008PY) = 0,063 [Q]</t>
  </si>
  <si>
    <t xml:space="preserve"> Staničení: 0,74105 - 0,74158: 0,063 (2QQgnI$U0$AG00000008No) = 0,063 [R]</t>
  </si>
  <si>
    <t xml:space="preserve"> Staničení: 0,75742 - 0,75795: 0,063 (2QQgnI$U0$AG00000008Og) = 0,063 [S]</t>
  </si>
  <si>
    <t xml:space="preserve"> Staničení: 0,7615 - 0,76203: 0,063 (2QQgnI$U0$AG00000008Ou) = 0,063 [T]</t>
  </si>
  <si>
    <t xml:space="preserve"> Staničení: 0,77111 - 0,77165: 0,063 (2QQgnI$U0$AG00000008Pm) = 0,063 [U]</t>
  </si>
  <si>
    <t xml:space="preserve"> Celkové množství 1.323000 = 1,323 [V]</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</si>
  <si>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</si>
  <si>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264128</t>
  </si>
  <si>
    <t>VRTY PRO PILOTY TŘ. I D DO 600MM</t>
  </si>
  <si>
    <t xml:space="preserve"> Staničení: 0,76551 - 0,76604: 2,3 (2QQgnI$U0$AG00000008P6) = 2,300 [A]</t>
  </si>
  <si>
    <t xml:space="preserve"> Staničení: 0,69537 - 0,69589: 2,3 (2QQgnI$U0$AG00000008LO) = 2,300 [B]</t>
  </si>
  <si>
    <t xml:space="preserve"> Staničení: 0,71236 - 0,71288: 2,3 (2QQgnI$U0$AG00000008MG) = 2,300 [C]</t>
  </si>
  <si>
    <t xml:space="preserve"> Staničení: 0,70007 - 0,70059: 2,3 (2QQgnI$U0$AG00000008Lc) = 2,300 [D]</t>
  </si>
  <si>
    <t xml:space="preserve"> Staničení: 0,71646 - 0,71698: 2,3 (2QQgnI$U0$AG00000008MU) = 2,300 [E]</t>
  </si>
  <si>
    <t xml:space="preserve"> Staničení: 0,70417 - 0,70469: 2,3 (2QQgnI$U0$AG00000008Lq) = 2,300 [F]</t>
  </si>
  <si>
    <t xml:space="preserve"> Staničení: 0,73285 - 0,73338: 2,3 (2QQgnI$U0$AG00000008NM) = 2,300 [G]</t>
  </si>
  <si>
    <t xml:space="preserve"> Staničení: 0,72056 - 0,72108: 2,3 (2QQgnI$U0$AG00000008Mi) = 2,300 [H]</t>
  </si>
  <si>
    <t xml:space="preserve"> Staničení: 0,75333 - 0,75386: 2,3 (2QQgnI$U0$AG00000008OS) = 2,300 [I]</t>
  </si>
  <si>
    <t xml:space="preserve"> Staničení: 0,74924 - 0,74977: 2,3 (2QQgnI$U0$AG00000008OE) = 2,300 [J]</t>
  </si>
  <si>
    <t xml:space="preserve"> Staničení: 0,70826 - 0,70879: 2,3 (2QQgnI$U0$AG00000008M2) = 2,300 [K]</t>
  </si>
  <si>
    <t xml:space="preserve"> Staničení: 0,72875 - 0,72928: 2,3 (2QQgnI$U0$AG00000008N8) = 2,300 [L]</t>
  </si>
  <si>
    <t xml:space="preserve"> Staničení: 0,73695 - 0,73748: 2,3 (2QQgnI$U0$AG00000008Na) = 2,300 [M]</t>
  </si>
  <si>
    <t xml:space="preserve"> Staničení: 0,76953 - 0,77006: 2,3 (2QQgnI$U0$AG00000008PK) = 2,300 [N]</t>
  </si>
  <si>
    <t xml:space="preserve"> Staničení: 0,74514 - 0,74567: 2,3 (2QQgnI$U0$AG00000008O0) = 2,300 [O]</t>
  </si>
  <si>
    <t xml:space="preserve"> Staničení: 0,72466 - 0,72518: 2,3 (2QQgnI$U0$AG00000008Mw) = 2,300 [P]</t>
  </si>
  <si>
    <t xml:space="preserve"> Staničení: 0,77029 - 0,77082: 2,3 (2QQgnI$U0$AG00000008PY) = 2,300 [Q]</t>
  </si>
  <si>
    <t xml:space="preserve"> Staničení: 0,74105 - 0,74158: 2,3 (2QQgnI$U0$AG00000008No) = 2,300 [R]</t>
  </si>
  <si>
    <t xml:space="preserve"> Staničení: 0,75742 - 0,75795: 2,3 (2QQgnI$U0$AG00000008Og) = 2,300 [S]</t>
  </si>
  <si>
    <t xml:space="preserve"> Staničení: 0,7615 - 0,76203: 2,3 (2QQgnI$U0$AG00000008Ou) = 2,300 [T]</t>
  </si>
  <si>
    <t xml:space="preserve"> Staničení: 0,77111 - 0,77165: 2,3 (2QQgnI$U0$AG00000008Pm) = 2,300 [U]</t>
  </si>
  <si>
    <t xml:space="preserve"> Celkové množství 48.300000 = 48,300 [V]</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</si>
  <si>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</si>
  <si>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272325</t>
  </si>
  <si>
    <t>ZÁKLADY ZE ŽELEZOBETONU DO C30/37</t>
  </si>
  <si>
    <t>Beton:
C 30/37:
Materiál:
beton:
Množství betonářské výztuže:
Nd:
Množství betonářské výztuže na m3:
Nd:
Množství předpínací výztuže:
Nd:
Návrhová životnost:
100 let:
podrobná specifikace:
XF4, dl. 0.7m, ochranný nátěr zhlaví piloty, primární vrstva - 1x asfaltový lak penetrační; ochranná a itzolační vrstva - 2x asfaltový lak nátěrový, ochranná geotextilie zhlaví piloty - plošná hmotnost min. 600g/m2:
Reference:
D.15.1, D.15.3:
Referencované výkresy:
D.15.3:
specifikace:
C 30/37:
Specifikace:
XF4:
Typ betonářské vyztuže:
B500B:
Typ předpínací vyztuže:
Nd:</t>
  </si>
  <si>
    <t xml:space="preserve"> Staničení: 0,72875 - 0,72928: 0,148660164367867 (2QQgnI$U0$AG00000008wz) = 0,149 [A]</t>
  </si>
  <si>
    <t xml:space="preserve"> Staničení: 0,70417 - 0,70469: 0,148660164367867 (2QQgnI$U0$AG00000008vl) = 0,149 [B]</t>
  </si>
  <si>
    <t xml:space="preserve"> Staničení: 0,75742 - 0,75795: 0,148660164367867 (2QQgnI$U0$AG00000008yO) = 0,149 [C]</t>
  </si>
  <si>
    <t xml:space="preserve"> Staničení: 0,70826 - 0,70879: 0,148660164367867 (2QQgnI$U0$AG00000008vy) = 0,149 [D]</t>
  </si>
  <si>
    <t xml:space="preserve"> Staničení: 0,73695 - 0,73748: 0,148660164367867 (2QQgnI$U0$AG00000008xN) = 0,149 [E]</t>
  </si>
  <si>
    <t xml:space="preserve"> Staničení: 0,7615 - 0,76203: 0,148660164367867 (2QQgnI$U0$AG00000008yb) = 0,149 [F]</t>
  </si>
  <si>
    <t xml:space="preserve"> Staničení: 0,71646 - 0,71698: 0,148660164367867 (2QQgnI$U0$AG00000008wM) = 0,149 [G]</t>
  </si>
  <si>
    <t xml:space="preserve"> Staničení: 0,72056 - 0,72108: 0,148660164367867 (2QQgnI$U0$AG00000008wZ) = 0,149 [H]</t>
  </si>
  <si>
    <t xml:space="preserve"> Staničení: 0,69537 - 0,69589: 0,148660164367867 (2QQgnI$U0$AG00000008vL) = 0,149 [I]</t>
  </si>
  <si>
    <t xml:space="preserve"> Staničení: 0,71236 - 0,71288: 0,148660164367867 (2QQgnI$U0$AG00000008w9) = 0,149 [J]</t>
  </si>
  <si>
    <t xml:space="preserve"> Staničení: 0,76953 - 0,77006: 0,148660164367867 (2QQgnI$U0$AG00000008y$) = 0,149 [K]</t>
  </si>
  <si>
    <t xml:space="preserve"> Staničení: 0,74105 - 0,74158: 0,148660164367867 (2QQgnI$U0$AG00000008xa) = 0,149 [L]</t>
  </si>
  <si>
    <t xml:space="preserve"> Staničení: 0,70007 - 0,70059: 0,148660164367867 (2QQgnI$U0$AG00000008vY) = 0,149 [M]</t>
  </si>
  <si>
    <t xml:space="preserve"> Staničení: 0,77029 - 0,77082: 0,148660164367867 (2QQgnI$U0$AG00000008zC) = 0,149 [N]</t>
  </si>
  <si>
    <t xml:space="preserve"> Staničení: 0,76551 - 0,76604: 0,148660164367867 (2QQgnI$U0$AG00000008yo) = 0,149 [O]</t>
  </si>
  <si>
    <t xml:space="preserve"> Staničení: 0,75333 - 0,75386: 0,148660164367867 (2QQgnI$U0$AG00000008yB) = 0,149 [P]</t>
  </si>
  <si>
    <t xml:space="preserve"> Staničení: 0,74514 - 0,74567: 0,148660164367867 (2QQgnI$U0$AG00000008xn) = 0,149 [Q]</t>
  </si>
  <si>
    <t xml:space="preserve"> Staničení: 0,77111 - 0,77165: 0,148660164367867 (2QQgnI$U0$AG00000008zP) = 0,149 [R]</t>
  </si>
  <si>
    <t xml:space="preserve"> Staničení: 0,74924 - 0,74977: 0,148660164367867 (2QQgnI$U0$AG00000008x_) = 0,149 [S]</t>
  </si>
  <si>
    <t xml:space="preserve"> Staničení: 0,73285 - 0,73338: 0,148660164367867 (2QQgnI$U0$AG00000008xA) = 0,149 [T]</t>
  </si>
  <si>
    <t xml:space="preserve"> Staničení: 0,72466 - 0,72518: 0,148660164367867 (2QQgnI$U0$AG00000008wm) = 0,149 [U]</t>
  </si>
  <si>
    <t xml:space="preserve"> Celkové množství 3.129000 = 3,129 [V]</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</si>
  <si>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</si>
  <si>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Svislé konstrukce</t>
  </si>
  <si>
    <t>318125</t>
  </si>
  <si>
    <t>ZDI ODDĚLOVACÍ A OHRADNÍ Z DÍLCŮ ŽELEZOBETON DO C30/37</t>
  </si>
  <si>
    <t>Materiál:
beton:
podrobná specifikace:
XF4, XD3; včetně betonářské výztuže B500B dle RDS:
Reference:
D.15.1, D.15.3:
specifikace:
C 30/37, ochranný nátěr asf. a nátěr S2, vyrovnání podkladním betonem C25/30 (3,5%objemu):</t>
  </si>
  <si>
    <t xml:space="preserve"> Staničení: 0,74134 - 0,74538: 0,308100000283324 (2QQgnI$U0$AG00000007jA) = 0,308 [A]</t>
  </si>
  <si>
    <t xml:space="preserve"> Staničení: 0,70036 - 0,7044: 0,30810000028332 (2QQgnI$U0$AG00000007hI) = 0,308 [B]</t>
  </si>
  <si>
    <t xml:space="preserve"> Staničení: 0,76579 - 0,76979: 0,352042499728472 (2QQgnI$U0$AG00000007kI) = 0,352 [C]</t>
  </si>
  <si>
    <t xml:space="preserve"> Staničení: 0,70855 - 0,7126: 0,30810000028332 (2QQgnI$U0$AG00000007hg) = 0,308 [D]</t>
  </si>
  <si>
    <t xml:space="preserve"> Staničení: 0,76979 - 0,77061: 0,350430000343888 (2QQgnI$U0$AG00000007kg) = 0,350 [E]</t>
  </si>
  <si>
    <t xml:space="preserve"> Staničení: 0,70445 - 0,7085: 0,30810000028332 (2QQgnI$U0$AG00000007hU) = 0,308 [F]</t>
  </si>
  <si>
    <t xml:space="preserve"> Staničení: 0,7705 - 0,77144: 0,328380000359094 (2QQgnI$U0$AG00000007kU) = 0,328 [G]</t>
  </si>
  <si>
    <t xml:space="preserve"> Staničení: 0,71675 - 0,7208: 0,30810000028332 (2QQgnI$U0$AG00000007i2) = 0,308 [H]</t>
  </si>
  <si>
    <t xml:space="preserve"> Staničení: 0,73314 - 0,73719: 0,308100000283324 (2QQgnI$U0$AG00000007io) = 0,308 [I]</t>
  </si>
  <si>
    <t xml:space="preserve"> Staničení: 0,72085 - 0,72489: 0,30810000028332 (2QQgnI$U0$AG00000007iE) = 0,308 [J]</t>
  </si>
  <si>
    <t xml:space="preserve"> Staničení: 0,71265 - 0,7167: 0,30810000028332 (2QQgnI$U0$AG00000007hs) = 0,308 [K]</t>
  </si>
  <si>
    <t xml:space="preserve"> Staničení: 0,69565 - 0,70032: 0,356460000327959 (2QQgnI$U0$AG00000007h6) = 0,356 [L]</t>
  </si>
  <si>
    <t xml:space="preserve"> Staničení: 0,76178 - 0,76576: 0,35204249972851 (2QQgnI$U0$AG00000007k6) = 0,352 [M]</t>
  </si>
  <si>
    <t xml:space="preserve"> Staničení: 0,74543 - 0,74948: 0,345765000271869 (2QQgnI$U0$AG00000007jM) = 0,346 [N]</t>
  </si>
  <si>
    <t xml:space="preserve"> Staničení: 0,73724 - 0,74129: 0,308100000283324 (2QQgnI$U0$AG00000007i_) = 0,308 [O]</t>
  </si>
  <si>
    <t xml:space="preserve"> Staničení: 0,72904 - 0,73309: 0,308100000283324 (2QQgnI$U0$AG00000007ic) = 0,308 [P]</t>
  </si>
  <si>
    <t xml:space="preserve"> Staničení: 0,72494 - 0,72899: 0,308100000283324 (2QQgnI$U0$AG00000007iQ) = 0,308 [Q]</t>
  </si>
  <si>
    <t xml:space="preserve"> Staničení: 0,75362 - 0,75766: 0,345765000271869 (2QQgnI$U0$AG00000007jk) = 0,346 [R]</t>
  </si>
  <si>
    <t xml:space="preserve"> Staničení: 0,74953 - 0,75357: 0,345765000271869 (2QQgnI$U0$AG00000007jY) = 0,346 [S]</t>
  </si>
  <si>
    <t xml:space="preserve"> Staničení: 0,75771 - 0,76175: 0,345765000271869 (2QQgnI$U0$AG00000007jw) = 0,346 [T]</t>
  </si>
  <si>
    <t xml:space="preserve"> Celkové množství 6.510000 = 6,510 [U]</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</si>
  <si>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</si>
  <si>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33717</t>
  </si>
  <si>
    <t>SLOUPKY PROTIHLUK STĚN Z DÍLCŮ KOVOVÝCH</t>
  </si>
  <si>
    <t>Kategorie stavebního výrobku:
Klasifikace dle CCI:
Podrobná specifikace:
včetně PKO dle PD:
Reference:
D.15.1, D.15.3:
Specifikace:
S 235 J0:
Stavební výrobek:
HEB 180:
Typ stavebního výrobku:
ocelový výlcovaný profil:
Výrobce:
Nd:</t>
  </si>
  <si>
    <t xml:space="preserve"> Staničení: 0,70024 - 0,70043: 0,3383193 (2QQgnI$U0$AG00000008ls) = 0,338 [A]</t>
  </si>
  <si>
    <t xml:space="preserve"> Staničení: 0,69553 - 0,69573: 0,3383193 (2QQgnI$U0$AG00000008le) = 0,338 [B]</t>
  </si>
  <si>
    <t xml:space="preserve"> Staničení: 0,70433 - 0,70452: 0,3383193 (2QQgnI$U0$AG00000008m4) = 0,338 [C]</t>
  </si>
  <si>
    <t xml:space="preserve"> Staničení: 0,72892 - 0,72911: 0,3383193 (2QQgnI$U0$AG00000008nO) = 0,338 [D]</t>
  </si>
  <si>
    <t xml:space="preserve"> Staničení: 0,71253 - 0,71272: 0,3383193 (2QQgnI$U0$AG00000008mk) = 0,338 [E]</t>
  </si>
  <si>
    <t xml:space="preserve"> Staničení: 0,71663 - 0,71681: 0,3383193 (2QQgnI$U0$AG00000008my) = 0,338 [F]</t>
  </si>
  <si>
    <t xml:space="preserve"> Staničení: 0,76567 - 0,76588: 0,3383193 (2QQgnI$U0$AG00000008oG) = 0,338 [G]</t>
  </si>
  <si>
    <t xml:space="preserve"> Staničení: 0,74532 - 0,7455: 0,3383193 (2QQgnI$U0$AG00000008nc) = 0,338 [H]</t>
  </si>
  <si>
    <t xml:space="preserve"> Staničení: 0,77045 - 0,77066: 0,3383193 (2QQgnI$U0$AG00000008oU) = 0,338 [I]</t>
  </si>
  <si>
    <t xml:space="preserve"> Staničení: 0,76167 - 0,76187: 0,3383193 (2QQgnI$U0$AG00000008nq) = 0,338 [J]</t>
  </si>
  <si>
    <t xml:space="preserve"> Staničení: 0,74941 - 0,7496: 0,3383193 (2QQgnI$U0$AG00000008pM) = 0,338 [K]</t>
  </si>
  <si>
    <t xml:space="preserve"> Staničení: 0,73302 - 0,73321: 0,3383193 (2QQgnI$U0$AG00000008oi) = 0,338 [L]</t>
  </si>
  <si>
    <t xml:space="preserve"> Staničení: 0,76966 - 0,76992: 0,3383193 (2QQgnI$U0$AG00000008o2) = 0,338 [M]</t>
  </si>
  <si>
    <t xml:space="preserve"> Staničení: 0,74122 - 0,74141: 0,3383193 (2QQgnI$U0$AG00000008p8) = 0,338 [N]</t>
  </si>
  <si>
    <t xml:space="preserve"> Staničení: 0,7535 - 0,75369: 0,3383193 (2QQgnI$U0$AG00000008pa) = 0,338 [O]</t>
  </si>
  <si>
    <t xml:space="preserve"> Staničení: 0,77127 - 0,77149: 0,3383193 (2QQgnI$U0$AG00000008q0) = 0,338 [P]</t>
  </si>
  <si>
    <t xml:space="preserve"> Staničení: 0,73712 - 0,73731: 0,3383193 (2QQgnI$U0$AG00000008ow) = 0,338 [Q]</t>
  </si>
  <si>
    <t xml:space="preserve"> Staničení: 0,75759 - 0,75778: 0,3383193 (2QQgnI$U0$AG00000008po) = 0,338 [R]</t>
  </si>
  <si>
    <t xml:space="preserve"> Staničení: 0,72483 - 0,72501: 0,3383193 (2QQgnI$U0$AG00000008mI) = 0,338 [S]</t>
  </si>
  <si>
    <t xml:space="preserve"> Staničení: 0,72073 - 0,72091: 0,3383193 (2QQgnI$U0$AG00000008nA) = 0,338 [T]</t>
  </si>
  <si>
    <t xml:space="preserve"> Staničení: 0,70843 - 0,70862: 0,3383193 (2QQgnI$U0$AG00000008mW) = 0,338 [U]</t>
  </si>
  <si>
    <t xml:space="preserve"> Celkové množství 7.098000 = 7,098 [V]</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</si>
  <si>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</si>
  <si>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34715</t>
  </si>
  <si>
    <t>STĚNY PROTIHLUKOVÉ Z DÍLCŮ Z PLAST HMOT</t>
  </si>
  <si>
    <t>Kategorie stavebního výrobku:
Klasifikace dle CCI:
Podrobná specifikace:
pohltivost dle ČSN EN 1793-1 A3, neprůzvučnost dle ČSN EN 1793-2 B3:
Reference:
D.15.1, D.15.3:
Specifikace:
sendvičový prvek rámový, podrobněji v RDS:
Stavební výrobek:
akustický panel pohltivý:
Typ stavebního výrobku:
protihlukový panel:
Výrobce:
Nd:</t>
  </si>
  <si>
    <t xml:space="preserve"> Staničení: 0,76579 - 0,76978: 4 (2QQgnI$U0$AG00000007aA) = 4,000 [A]</t>
  </si>
  <si>
    <t xml:space="preserve"> Staničení: 0,71265 - 0,7167: 4 (2QQgnI$U0$AG00000007NA) = 4,000 [B]</t>
  </si>
  <si>
    <t xml:space="preserve"> Staničení: 0,76178 - 0,76576: 4 (2QQgnI$U0$AG00000007ZZ) = 4,000 [C]</t>
  </si>
  <si>
    <t xml:space="preserve"> Staničení: 0,70855 - 0,7126: 4 (2QQgnI$U0$AG00000007MZ) = 4,000 [D]</t>
  </si>
  <si>
    <t xml:space="preserve"> Staničení: 0,77051 - 0,77151: 4,26 (2QQgnI$U0$AG00000007cp) = 4,260 [E]</t>
  </si>
  <si>
    <t xml:space="preserve"> Staničení: 0,73314 - 0,73719: 4 (2QQgnI$U0$AG00000007SS) = 4,000 [F]</t>
  </si>
  <si>
    <t xml:space="preserve"> Staničení: 0,72085 - 0,72489: 4 (2QQgnI$U0$AG00000007Pp) = 4,000 [G]</t>
  </si>
  <si>
    <t xml:space="preserve"> Staničení: 0,73724 - 0,74129: 4 (2QQgnI$U0$AG00000007TT) = 4,000 [H]</t>
  </si>
  <si>
    <t xml:space="preserve"> Staničení: 0,76579 - 0,76978: 4 (2QQgnI$U0$AG00000007an) = 4,000 [I]</t>
  </si>
  <si>
    <t xml:space="preserve"> Staničení: 0,74543 - 0,74948: 4 (2QQgnI$U0$AG00000007VI) = 4,000 [J]</t>
  </si>
  <si>
    <t xml:space="preserve"> Staničení: 0,7698 - 0,77069: 4 (2QQgnI$U0$AG00000007bB) = 4,000 [K]</t>
  </si>
  <si>
    <t xml:space="preserve"> Staničení: 0,71265 - 0,7167: 4 (2QQgnI$U0$AG00000007Nn) = 4,000 [L]</t>
  </si>
  <si>
    <t xml:space="preserve"> Staničení: 0,71675 - 0,7208: 4 (2QQgnI$U0$AG00000007OB) = 4,000 [M]</t>
  </si>
  <si>
    <t xml:space="preserve"> Staničení: 0,73724 - 0,74129: 4 (2QQgnI$U0$AG00000007Tg) = 4,000 [N]</t>
  </si>
  <si>
    <t xml:space="preserve"> Staničení: 0,75362 - 0,75766: 4 (2QQgnI$U0$AG00000007Xx) = 4,000 [O]</t>
  </si>
  <si>
    <t xml:space="preserve"> Staničení: 0,70445 - 0,7085: 4 (2QQgnI$U0$AG00000007Kx) = 4,000 [P]</t>
  </si>
  <si>
    <t xml:space="preserve"> Staničení: 0,72494 - 0,72899: 4 (2QQgnI$U0$AG00000007Qq) = 4,000 [Q]</t>
  </si>
  <si>
    <t xml:space="preserve"> Staničení: 0,74134 - 0,74538: 4 (2QQgnI$U0$AG00000007UU) = 4,000 [R]</t>
  </si>
  <si>
    <t xml:space="preserve"> Staničení: 0,73314 - 0,73719: 4 (2QQgnI$U0$AG00000007S2) = 4,000 [S]</t>
  </si>
  <si>
    <t xml:space="preserve"> Staničení: 0,74953 - 0,75357: 4 (2QQgnI$U0$AG00000007WJ) = 4,000 [T]</t>
  </si>
  <si>
    <t xml:space="preserve"> Staničení: 0,7698 - 0,77069: 4 (2QQgnI$U0$AG00000007bo) = 4,000 [U]</t>
  </si>
  <si>
    <t xml:space="preserve"> Staničení: 0,77051 - 0,77151: 4,26 (2QQgnI$U0$AG00000007cC) = 4,260 [V]</t>
  </si>
  <si>
    <t xml:space="preserve"> Staničení: 0,70036 - 0,7044: 4 (2QQgnI$U0$AG00000007JJ) = 4,000 [W]</t>
  </si>
  <si>
    <t xml:space="preserve"> Staničení: 0,72085 - 0,72489: 4 (2QQgnI$U0$AG00000007PC) = 4,000 [X]</t>
  </si>
  <si>
    <t xml:space="preserve"> Staničení: 0,71675 - 0,7208: 4 (2QQgnI$U0$AG00000007Oo) = 4,000 [Y]</t>
  </si>
  <si>
    <t xml:space="preserve"> Staničení: 0,72494 - 0,72899: 4 (2QQgnI$U0$AG00000007QD) = 4,000 [Z]</t>
  </si>
  <si>
    <t xml:space="preserve"> Staničení: 0,75771 - 0,76175: 4 (2QQgnI$U0$AG00000007Yy) = 4,000 [AA]</t>
  </si>
  <si>
    <t xml:space="preserve"> Staničení: 0,70855 - 0,7126: 4 (2QQgnI$U0$AG00000007Ly) = 4,000 [AB]</t>
  </si>
  <si>
    <t xml:space="preserve"> Staničení: 0,72904 - 0,73309: 4 (2QQgnI$U0$AG00000007Rr) = 4,000 [AC]</t>
  </si>
  <si>
    <t xml:space="preserve"> Staničení: 0,74543 - 0,74948: 4 (2QQgnI$U0$AG00000007VV) = 4,000 [AD]</t>
  </si>
  <si>
    <t xml:space="preserve"> Staničení: 0,73724 - 0,74129: 4 (2QQgnI$U0$AG00000007T3) = 4,000 [AE]</t>
  </si>
  <si>
    <t xml:space="preserve"> Staničení: 0,75362 - 0,75766: 4 (2QQgnI$U0$AG00000007XK) = 4,000 [AF]</t>
  </si>
  <si>
    <t xml:space="preserve"> Staničení: 0,74134 - 0,74538: 4 (2QQgnI$U0$AG00000007U4) = 4,000 [AG]</t>
  </si>
  <si>
    <t xml:space="preserve"> Staničení: 0,74134 - 0,74538: 4 (2QQgnI$U0$AG00000007Uh) = 4,000 [AH]</t>
  </si>
  <si>
    <t xml:space="preserve"> Staničení: 0,69565 - 0,70031: 4,62 (2QQgnI$U0$AG00000007KK) = 4,620 [AI]</t>
  </si>
  <si>
    <t xml:space="preserve"> Staničení: 0,75771 - 0,76175: 4 (2QQgnI$U0$AG00000007YL) = 4,000 [AJ]</t>
  </si>
  <si>
    <t xml:space="preserve"> Staničení: 0,76579 - 0,76978: 4 (2QQgnI$U0$AG00000007aa) = 4,000 [AK]</t>
  </si>
  <si>
    <t xml:space="preserve"> Staničení: 0,70445 - 0,7085: 4 (2QQgnI$U0$AG00000007LL) = 4,000 [AL]</t>
  </si>
  <si>
    <t xml:space="preserve"> Staničení: 0,71265 - 0,7167: 4 (2QQgnI$U0$AG00000007Na) = 4,000 [AM]</t>
  </si>
  <si>
    <t xml:space="preserve"> Staničení: 0,72904 - 0,73309: 4 (2QQgnI$U0$AG00000007RE) = 4,000 [AN]</t>
  </si>
  <si>
    <t xml:space="preserve"> Staničení: 0,76178 - 0,76576: 4 (2QQgnI$U0$AG00000007Zz) = 4,000 [AO]</t>
  </si>
  <si>
    <t xml:space="preserve"> Staničení: 0,71265 - 0,7167: 4 (2QQgnI$U0$AG00000007Mz) = 4,000 [AP]</t>
  </si>
  <si>
    <t xml:space="preserve"> Staničení: 0,73314 - 0,73719: 4 (2QQgnI$U0$AG00000007Ss) = 4,000 [AQ]</t>
  </si>
  <si>
    <t xml:space="preserve"> Staničení: 0,74543 - 0,74948: 4 (2QQgnI$U0$AG00000007V5) = 4,000 [AR]</t>
  </si>
  <si>
    <t xml:space="preserve"> Staničení: 0,74543 - 0,74948: 4 (2QQgnI$U0$AG00000007Vi) = 4,000 [AS]</t>
  </si>
  <si>
    <t xml:space="preserve"> Staničení: 0,7698 - 0,77069: 4 (2QQgnI$U0$AG00000007b$) = 4,000 [AT]</t>
  </si>
  <si>
    <t xml:space="preserve"> Staničení: 0,72085 - 0,72489: 4 (2QQgnI$U0$AG00000007O$) = 4,000 [AU]</t>
  </si>
  <si>
    <t xml:space="preserve"> Staničení: 0,74953 - 0,75357: 4 (2QQgnI$U0$AG00000007W6) = 4,000 [AV]</t>
  </si>
  <si>
    <t xml:space="preserve"> Staničení: 0,70036 - 0,7044: 4 (2QQgnI$U0$AG00000007J6) = 4,000 [AW]</t>
  </si>
  <si>
    <t xml:space="preserve"> Staničení: 0,74953 - 0,75357: 4 (2QQgnI$U0$AG00000007WW) = 4,000 [AX]</t>
  </si>
  <si>
    <t xml:space="preserve"> Staničení: 0,70036 - 0,7044: 4 (2QQgnI$U0$AG00000007JW) = 4,000 [AY]</t>
  </si>
  <si>
    <t xml:space="preserve"> Staničení: 0,73724 - 0,74129: 4 (2QQgnI$U0$AG00000007Tt) = 4,000 [AZ]</t>
  </si>
  <si>
    <t xml:space="preserve"> Staničení: 0,76178 - 0,76576: 4 (2QQgnI$U0$AG00000007ZM) = 4,000 [BA]</t>
  </si>
  <si>
    <t xml:space="preserve"> Staničení: 0,7698 - 0,77069: 4 (2QQgnI$U0$AG00000007bb) = 4,000 [BB]</t>
  </si>
  <si>
    <t xml:space="preserve"> Staničení: 0,70855 - 0,7126: 4 (2QQgnI$U0$AG00000007MM) = 4,000 [BC]</t>
  </si>
  <si>
    <t xml:space="preserve"> Staničení: 0,71675 - 0,7208: 4 (2QQgnI$U0$AG00000007Ob) = 4,000 [BD]</t>
  </si>
  <si>
    <t xml:space="preserve"> Staničení: 0,73314 - 0,73719: 4 (2QQgnI$U0$AG00000007SF) = 4,000 [BE]</t>
  </si>
  <si>
    <t xml:space="preserve"> Staničení: 0,76579 - 0,76978: 4 (2QQgnI$U0$AG00000007a_) = 4,000 [BF]</t>
  </si>
  <si>
    <t xml:space="preserve"> Staničení: 0,77051 - 0,77151: 4,26 (2QQgnI$U0$AG00000007cP) = 4,260 [BG]</t>
  </si>
  <si>
    <t xml:space="preserve"> Staničení: 0,71675 - 0,7208: 4 (2QQgnI$U0$AG00000007N_) = 4,000 [BH]</t>
  </si>
  <si>
    <t xml:space="preserve"> Staničení: 0,72085 - 0,72489: 4 (2QQgnI$U0$AG00000007PP) = 4,000 [BI]</t>
  </si>
  <si>
    <t xml:space="preserve"> Staničení: 0,74134 - 0,74538: 4 (2QQgnI$U0$AG00000007Uu) = 4,000 [BJ]</t>
  </si>
  <si>
    <t xml:space="preserve"> Staničení: 0,76579 - 0,76978: 4 (2QQgnI$U0$AG00000007aN) = 4,000 [BK]</t>
  </si>
  <si>
    <t xml:space="preserve"> Staničení: 0,74953 - 0,75357: 4 (2QQgnI$U0$AG00000007Wj) = 4,000 [BL]</t>
  </si>
  <si>
    <t xml:space="preserve"> Staničení: 0,77051 - 0,77151: 4,26 (2QQgnI$U0$AG00000007cc) = 4,260 [BM]</t>
  </si>
  <si>
    <t xml:space="preserve"> Staničení: 0,70036 - 0,7044: 4 (2QQgnI$U0$AG00000007Jj) = 4,000 [BN]</t>
  </si>
  <si>
    <t xml:space="preserve"> Staničení: 0,71265 - 0,7167: 4 (2QQgnI$U0$AG00000007NN) = 4,000 [BO]</t>
  </si>
  <si>
    <t xml:space="preserve"> Staničení: 0,72085 - 0,72489: 4 (2QQgnI$U0$AG00000007Pc) = 4,000 [BP]</t>
  </si>
  <si>
    <t xml:space="preserve"> Staničení: 0,73724 - 0,74129: 4 (2QQgnI$U0$AG00000007TG) = 4,000 [BQ]</t>
  </si>
  <si>
    <t xml:space="preserve"> Staničení: 0,75362 - 0,75766: 4 (2QQgnI$U0$AG00000007XX) = 4,000 [BR]</t>
  </si>
  <si>
    <t xml:space="preserve"> Staničení: 0,72494 - 0,72899: 4 (2QQgnI$U0$AG00000007Qd) = 4,000 [BS]</t>
  </si>
  <si>
    <t xml:space="preserve"> Staničení: 0,69565 - 0,70031: 4,62 (2QQgnI$U0$AG00000007KX) = 4,620 [BT]</t>
  </si>
  <si>
    <t xml:space="preserve"> Staničení: 0,72494 - 0,72899: 4 (2QQgnI$U0$AG00000007QQ) = 4,000 [BU]</t>
  </si>
  <si>
    <t xml:space="preserve"> Staničení: 0,74543 - 0,74948: 4 (2QQgnI$U0$AG00000007Vv) = 4,000 [BV]</t>
  </si>
  <si>
    <t xml:space="preserve"> Staničení: 0,75362 - 0,75766: 4 (2QQgnI$U0$AG00000007X7) = 4,000 [BW]</t>
  </si>
  <si>
    <t xml:space="preserve"> Staničení: 0,7698 - 0,77069: 4 (2QQgnI$U0$AG00000007bO) = 4,000 [BX]</t>
  </si>
  <si>
    <t xml:space="preserve"> Staničení: 0,75362 - 0,75766: 4 (2QQgnI$U0$AG00000007Xk) = 4,000 [BY]</t>
  </si>
  <si>
    <t xml:space="preserve"> Staničení: 0,70036 - 0,7044: 4 (2QQgnI$U0$AG00000007Iv) = 4,000 [BZ]</t>
  </si>
  <si>
    <t xml:space="preserve"> Staničení: 0,69565 - 0,70031: 4,62 (2QQgnI$U0$AG00000007K7) = 4,620 [CA]</t>
  </si>
  <si>
    <t xml:space="preserve"> Staničení: 0,69565 - 0,70031: 4,62 (2QQgnI$U0$AG00000007Kk) = 4,620 [CB]</t>
  </si>
  <si>
    <t xml:space="preserve"> Staničení: 0,75771 - 0,76175: 4 (2QQgnI$U0$AG00000007Yl) = 4,000 [CC]</t>
  </si>
  <si>
    <t xml:space="preserve"> Staničení: 0,71675 - 0,7208: 4 (2QQgnI$U0$AG00000007OO) = 4,000 [CD]</t>
  </si>
  <si>
    <t xml:space="preserve"> Staničení: 0,70445 - 0,7085: 4 (2QQgnI$U0$AG00000007Ll) = 4,000 [CE]</t>
  </si>
  <si>
    <t xml:space="preserve"> Staničení: 0,75771 - 0,76175: 4 (2QQgnI$U0$AG00000007YY) = 4,000 [CF]</t>
  </si>
  <si>
    <t xml:space="preserve"> Staničení: 0,72904 - 0,73309: 4 (2QQgnI$U0$AG00000007Re) = 4,000 [CG]</t>
  </si>
  <si>
    <t xml:space="preserve"> Staničení: 0,70445 - 0,7085: 4 (2QQgnI$U0$AG00000007LY) = 4,000 [CH]</t>
  </si>
  <si>
    <t xml:space="preserve"> Staničení: 0,77051 - 0,77151: 4,26 (2QQgnI$U0$AG00000007d0) = 4,260 [CI]</t>
  </si>
  <si>
    <t xml:space="preserve"> Staničení: 0,74953 - 0,75357: 4 (2QQgnI$U0$AG00000007Ww) = 4,000 [CJ]</t>
  </si>
  <si>
    <t xml:space="preserve"> Staničení: 0,72494 - 0,72899: 4 (2QQgnI$U0$AG00000007Q0) = 4,000 [CK]</t>
  </si>
  <si>
    <t xml:space="preserve"> Staničení: 0,69565 - 0,70031: 4,62 (2QQgnI$U0$AG00000007Jw) = 4,620 [CL]</t>
  </si>
  <si>
    <t xml:space="preserve"> Staničení: 0,74134 - 0,74538: 4 (2QQgnI$U0$AG00000007UH) = 4,000 [CM]</t>
  </si>
  <si>
    <t xml:space="preserve"> Staničení: 0,76178 - 0,76576: 4 (2QQgnI$U0$AG00000007Zm) = 4,000 [CN]</t>
  </si>
  <si>
    <t xml:space="preserve"> Staničení: 0,70855 - 0,7126: 4 (2QQgnI$U0$AG00000007Mm) = 4,000 [CO]</t>
  </si>
  <si>
    <t xml:space="preserve"> Staničení: 0,73314 - 0,73719: 4 (2QQgnI$U0$AG00000007Sf) = 4,000 [CP]</t>
  </si>
  <si>
    <t xml:space="preserve"> Staničení: 0,75771 - 0,76175: 4 (2QQgnI$U0$AG00000007Y8) = 4,000 [CQ]</t>
  </si>
  <si>
    <t xml:space="preserve"> Staničení: 0,70445 - 0,7085: 4 (2QQgnI$U0$AG00000007L8) = 4,000 [CR]</t>
  </si>
  <si>
    <t xml:space="preserve"> Staničení: 0,72904 - 0,73309: 4 (2QQgnI$U0$AG00000007R1) = 4,000 [CS]</t>
  </si>
  <si>
    <t xml:space="preserve"> Staničení: 0,76178 - 0,76576: 4 (2QQgnI$U0$AG00000007Z9) = 4,000 [CT]</t>
  </si>
  <si>
    <t xml:space="preserve"> Staničení: 0,70855 - 0,7126: 4 (2QQgnI$U0$AG00000007M9) = 4,000 [CU]</t>
  </si>
  <si>
    <t xml:space="preserve"> Staničení: 0,72904 - 0,73309: 4 (2QQgnI$U0$AG00000007RR) = 4,000 [CV]</t>
  </si>
  <si>
    <t xml:space="preserve"> Celkové množství 404.400000 = 404,400 [CW]</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</si>
  <si>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</si>
  <si>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451314</t>
  </si>
  <si>
    <t>PODKLADNÍ A VÝPLŇOVÉ VRSTVY Z PROSTÉHO BETONU C25/30</t>
  </si>
  <si>
    <t xml:space="preserve"> Mezisoučet 6.510000 = 6,510 [U]</t>
  </si>
  <si>
    <t xml:space="preserve"> Celkové množství U*0,035 = 0,228 [V]</t>
  </si>
  <si>
    <t>711211</t>
  </si>
  <si>
    <t>IZOLACE ZVLÁŠT KONSTR PROTI ZEM VLHK ASFALT NÁTĚRY</t>
  </si>
  <si>
    <t>Reference:
D.15.1, D.15.3:
objem*0,5*2/tloušťka + (0,5*povrch obvodu)*počet
polovina povrchu stěn + polovina povrchu obvodu panelů*jejich počet
4 typy velikostí panelů
ochranný nátěr bet. soklu, primární vrstva - 1x asfaltový lak penetrační
ochranná a itzolační vrstva - 2x asfaltový lak nátěrový</t>
  </si>
  <si>
    <t xml:space="preserve"> Celkové množství 6,510000 (318125)*0,5*2/0,12+(0,5*1,13436)*7+(0,5*1,116)*11+(0,5*1,1784)+(0,5*1,2648) = 65,580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</si>
  <si>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</si>
  <si>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Reference:
D.15.1, D.15.3
ochranný nátěr zhlaví piloty, primární vrstva - 1x asfaltový lak penetrační
ochranná a itzolační vrstva - 2x asfaltový lak nátěrový</t>
  </si>
  <si>
    <t xml:space="preserve"> (povrch stěny+povrch dna)*počet pilot (0,52*3,1416*0,7+0,52*0,52/4*3,1416)*21 = 28,474 [A]</t>
  </si>
  <si>
    <t>711509</t>
  </si>
  <si>
    <t>OCHRANA IZOLACE NA POVRCHU TEXTILIÍ</t>
  </si>
  <si>
    <t>Reference:
D.15.1, D.15.3:
objem*0,5*2/tloušťka + (0,5*povrch obvodu)*počet
polovina povrchu stěn + polovina povrchu obvodu panelů*jejich počet
4 typy velikostí panelů
ochranná geotextilie bet. soklu - plošná hmotnost min. 600g/m2</t>
  </si>
  <si>
    <t>položka zahrnuje:
- dodání  předepsaného ochranného materiálu
- zřízení ochrany izolace</t>
  </si>
  <si>
    <t>Reference:
D.15.1, D.15.3:
ochranná geotextilie zhlaví piloty - plošná hmotnost min. 600g/m2</t>
  </si>
  <si>
    <t xml:space="preserve"> (povrch stěny+povrch dna)*počet pilot (0,52*3,1416*0,7+0,52*0,52/4*3,1416)*18 = 24,406 [A]</t>
  </si>
  <si>
    <t>767911</t>
  </si>
  <si>
    <t>OPLOCENÍ Z DRÁTĚNÉHO PLETIVA POZINKOVANÉHO STANDARDNÍHO</t>
  </si>
  <si>
    <t>objem soklu/tloušťka soklu
4 typy velikostí panelů
pletivo na betonovém soklu, oka 100x100mm - pro popínavé rostliny</t>
  </si>
  <si>
    <t xml:space="preserve"> plocha stěny soklu = objem/tlouštka 6,510000 (318125)/0,12 = 54,250 [A]</t>
  </si>
  <si>
    <t>- položka zahrnuje vedle vlastního pletiva i rámy, rošty, lišty, kování, podpěrné, závěsné, upevňovací prvky, spojovací a těsnící materiál, pomocný materiál, kompletní povrchovou úpravu.
- nejsou zahrnuty sloupky a vzpěry, které se vykazují v samostatných položkách 338**, není zahrnuta podezdívka (272**)
- součástí položky je  případně i ostnatý drát, uvažovaná plocha se pak vypočítává po horní hranu drátu.</t>
  </si>
  <si>
    <t>78382</t>
  </si>
  <si>
    <t>NÁTĚRY BETON KONSTR TYP S2 (OS-B)</t>
  </si>
  <si>
    <t>Reference:
D.15.1, D.15.3:
specifikace:
C 30/37, ochranný nátěr asf. a nátěr S2, vyrovnání podkladním betonem C25/30 (3,5%objemu):
objem*0,5*2/tloušťka + (0,5*povrch obvodu)*počet
polovina povrchu stěn + polovina povrchu obvodu panelů*jejich počet
4 typy velikostí panelů</t>
  </si>
  <si>
    <t xml:space="preserve"> objem*0,5*2/tloušťka + (0,5*povrch obvodu)*počet 6,510000 (318125)*0,5*2/0,12+(0,5*1,13436)*7+(0,5*1,116)*11+(0,5*1,1784)+(0,5*1,2648) = 65,580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</si>
  <si>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</si>
  <si>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 xml:space="preserve"> Staničení: 0,82876 - 0,83216: 0,106689718572812 (2u5qW2mMuHMW0000000B0I) = 0,107 [A]</t>
  </si>
  <si>
    <t xml:space="preserve"> Staničení: 0,85211 - 0,85386: 1,39134588411359 (2u5qW2mMuHMW0000000A_2) = 1,391 [B]</t>
  </si>
  <si>
    <t xml:space="preserve"> Staničení: 0,82705 - 0,82887: 1,44808152869381 (2u5qW2mMuHMW0000000AzU) = 1,448 [C]</t>
  </si>
  <si>
    <t xml:space="preserve"> Staničení: 0,81368 - 0,81709: 0,110770049029789 (2u5qW2mMuHMW0000000B0s) = 0,111 [D]</t>
  </si>
  <si>
    <t xml:space="preserve"> Staničení: 0,81198 - 0,81375: 1,46044335987831 (2u5qW2mMuHMW0000000Ayw) = 1,460 [E]</t>
  </si>
  <si>
    <t xml:space="preserve"> Staničení: 0,79852 - 0,80195: 0,0996953103809975 (2u5qW2mMuHMW0000000B1Q) = 0,100 [F]</t>
  </si>
  <si>
    <t xml:space="preserve"> Staničení: 0,83879 - 0,84218: 0,101173274720113 (2u5qW2mMuHMW0000000A$w) = 0,101 [G]</t>
  </si>
  <si>
    <t xml:space="preserve"> Staničení: 0,82203 - 0,82386: 1,4563632565482 (2u5qW2mMuHMW0000000AzI) = 1,456 [H]</t>
  </si>
  <si>
    <t xml:space="preserve"> Staničení: 0,79174 - 0,79352: 1,42444150962922 (2u5qW2mMuHMW0000000AyA) = 1,424 [I]</t>
  </si>
  <si>
    <t xml:space="preserve"> Staničení: 0,80864 - 0,81205: 0,107245884567247 (2u5qW2mMuHMW0000000B12) = 0,107 [J]</t>
  </si>
  <si>
    <t xml:space="preserve"> Staničení: 0,80693 - 0,8087: 1,45371044866337 (2u5qW2mMuHMW0000000Ayk) = 1,454 [K]</t>
  </si>
  <si>
    <t xml:space="preserve"> Staničení: 0,8588 - 0,86205: 0,11732080205095 (2u5qW2mMuHMW0000000A$A) = 0,117 [L]</t>
  </si>
  <si>
    <t xml:space="preserve"> Staničení: 0,8438 - 0,84718: 0,0980863791831723 (2u5qW2mMuHMW0000000A$k) = 0,098 [M]</t>
  </si>
  <si>
    <t xml:space="preserve"> Staničení: 0,83207 - 0,83388: 1,43722638083003 (2u5qW2mMuHMW0000000A_c) = 1,437 [N]</t>
  </si>
  <si>
    <t xml:space="preserve"> Staničení: 0,7819 - 0,78428: 1,62183265827683 (2u5qW2mMuHMW0000000Axc) = 1,622 [O]</t>
  </si>
  <si>
    <t xml:space="preserve"> Staničení: 0,78843 - 0,79182: 0,10166254425306 (2u5qW2mMuHMW0000000B1o) = 0,102 [P]</t>
  </si>
  <si>
    <t xml:space="preserve"> Staničení: 0,81872 - 0,82212: 0,111376725123784 (2u5qW2mMuHMW0000000B0g) = 0,111 [Q]</t>
  </si>
  <si>
    <t xml:space="preserve"> Staničení: 0,80358 - 0,807: 0,103411882645465 (2u5qW2mMuHMW0000000B1E) = 0,103 [R]</t>
  </si>
  <si>
    <t xml:space="preserve"> Staničení: 0,81702 - 0,8188: 1,46551325701597 (2u5qW2mMuHMW0000000Az6) = 1,466 [S]</t>
  </si>
  <si>
    <t xml:space="preserve"> Staničení: 0,80188 - 0,80365: 1,44463355856921 (2u5qW2mMuHMW0000000AyY) = 1,445 [T]</t>
  </si>
  <si>
    <t xml:space="preserve"> Staničení: 0,8488 - 0,85218: 0,105547922554368 (2u5qW2mMuHMW0000000A$Y) = 0,106 [U]</t>
  </si>
  <si>
    <t xml:space="preserve"> Staničení: 0,8421 - 0,84388: 1,4084137707998 (2u5qW2mMuHMW0000000A_Q) = 1,408 [V]</t>
  </si>
  <si>
    <t xml:space="preserve"> Staničení: 0,78461 - 0,78699: 0,169501823444381 (2u5qW2mMuHMW0000000A__) = 0,170 [W]</t>
  </si>
  <si>
    <t xml:space="preserve"> Staničení: 0,78657 - 0,78874: 1,46756830531777 (2u5qW2mMuHMW0000000Ax_) = 1,468 [X]</t>
  </si>
  <si>
    <t xml:space="preserve"> Staničení: 0,82374 - 0,82715: 0,109380706025193 (2u5qW2mMuHMW0000000B0U) = 0,109 [Y]</t>
  </si>
  <si>
    <t xml:space="preserve"> Staničení: 0,79682 - 0,79858: 1,42473348849003 (2u5qW2mMuHMW0000000AyM) = 1,425 [Z]</t>
  </si>
  <si>
    <t xml:space="preserve"> Staničení: 0,8571 - 0,85887: 1,41103489889616 (2u5qW2mMuHMW0000000Azs) = 1,411 [AA]</t>
  </si>
  <si>
    <t xml:space="preserve"> Staničení: 0,8538 - 0,85718: 0,113537644213122 (2u5qW2mMuHMW0000000A$M) = 0,114 [AB]</t>
  </si>
  <si>
    <t xml:space="preserve"> Staničení: 0,84711 - 0,84886: 1,38270605595264 (2u5qW2mMuHMW0000000A_E) = 1,383 [AC]</t>
  </si>
  <si>
    <t xml:space="preserve"> Staničení: 0,83709 - 0,83888: 1,42403525151341 (2u5qW2mMuHMW0000000A_o) = 1,424 [AD]</t>
  </si>
  <si>
    <t xml:space="preserve"> Staničení: 0,83378 - 0,83717: 0,104194659463833 (2u5qW2mMuHMW0000000B06) = 0,104 [AE]</t>
  </si>
  <si>
    <t xml:space="preserve"> Staničení: 0,78316 - 0,78552: 1,47662243461295 (2u5qW2mMuHMW0000000Axo) = 1,477 [AF]</t>
  </si>
  <si>
    <t xml:space="preserve"> Staničení: 0,86241 - 0,86357: 0,243878624243374 (2u5qW2mMuHMW0000000Azg) = 0,244 [AG]</t>
  </si>
  <si>
    <t xml:space="preserve"> Staničení: 0,78313 - 0,78408: 0,0362675337243919 (2u5qW2mMuHMW0000000B1_) = 0,036 [AH]</t>
  </si>
  <si>
    <t xml:space="preserve"> Staničení: 0,79346 - 0,79688: 0,0936917304302858 (2u5qW2mMuHMW0000000B1c) = 0,094 [AI]</t>
  </si>
  <si>
    <t xml:space="preserve"> Celkové množství 26.633000 = 26,633 [AJ]</t>
  </si>
  <si>
    <t>Materiál:
vyzískamá zemina z výkopu:
podrobná specifikace:
Id=0,9:
Reference:
D.16.3:
specifikace:
hutněný:</t>
  </si>
  <si>
    <t xml:space="preserve"> Staničení: 0,80693 - 0,8087: 1,30420653756341 (2u5qW2mMuHMW0000000B3I) = 1,304 [A]</t>
  </si>
  <si>
    <t xml:space="preserve"> Staničení: 0,7819 - 0,78428: 1,42593409054601 (2u5qW2mMuHMW0000000B2A) = 1,426 [B]</t>
  </si>
  <si>
    <t xml:space="preserve"> Staničení: 0,83207 - 0,83388: 1,2877198890356 (2u5qW2mMuHMW0000000B5A) = 1,288 [C]</t>
  </si>
  <si>
    <t xml:space="preserve"> Staničení: 0,82203 - 0,82386: 1,30683112225386 (2u5qW2mMuHMW0000000B3s) = 1,307 [D]</t>
  </si>
  <si>
    <t xml:space="preserve"> Staničení: 0,78657 - 0,78874: 1,31813776934337 (2u5qW2mMuHMW0000000B2Y) = 1,318 [E]</t>
  </si>
  <si>
    <t xml:space="preserve"> Staničení: 0,8571 - 0,85887: 1,2614640260788 (2u5qW2mMuHMW0000000B4Q) = 1,261 [F]</t>
  </si>
  <si>
    <t xml:space="preserve"> Staničení: 0,82705 - 0,82887: 1,29856166269756 (2u5qW2mMuHMW0000000B42) = 1,299 [G]</t>
  </si>
  <si>
    <t xml:space="preserve"> Staničení: 0,84711 - 0,84886: 1,23323193839248 (2u5qW2mMuHMW0000000B4o) = 1,233 [H]</t>
  </si>
  <si>
    <t xml:space="preserve"> Staničení: 0,81702 - 0,8188: 1,31596982802742 (2u5qW2mMuHMW0000000B3g) = 1,316 [I]</t>
  </si>
  <si>
    <t xml:space="preserve"> Staničení: 0,78316 - 0,78552: 1,32956692228993 (2u5qW2mMuHMW0000000B2M) = 1,330 [J]</t>
  </si>
  <si>
    <t xml:space="preserve"> Staničení: 0,83709 - 0,83888: 1,27454326885994 (2u5qW2mMuHMW0000000B5M) = 1,275 [K]</t>
  </si>
  <si>
    <t xml:space="preserve"> Staničení: 0,86241 - 0,86357: 0,195692206284714 (2u5qW2mMuHMW0000000B4E) = 0,196 [L]</t>
  </si>
  <si>
    <t xml:space="preserve"> Staničení: 0,79682 - 0,79858: 1,27527459669569 (2u5qW2mMuHMW0000000B2w) = 1,275 [M]</t>
  </si>
  <si>
    <t xml:space="preserve"> Staničení: 0,81198 - 0,81375: 1,31091877385263 (2u5qW2mMuHMW0000000B3U) = 1,311 [N]</t>
  </si>
  <si>
    <t xml:space="preserve"> Staničení: 0,80188 - 0,80365: 1,29515120051102 (2u5qW2mMuHMW0000000B36) = 1,295 [O]</t>
  </si>
  <si>
    <t xml:space="preserve"> Staničení: 0,79174 - 0,79352: 1,27499969097515 (2u5qW2mMuHMW0000000B2k) = 1,275 [P]</t>
  </si>
  <si>
    <t xml:space="preserve"> Staničení: 0,8421 - 0,84388: 1,25893747271161 (2u5qW2mMuHMW0000000B4_) = 1,259 [Q]</t>
  </si>
  <si>
    <t xml:space="preserve"> Staničení: 0,85211 - 0,85386: 1,24181904434201 (2u5qW2mMuHMW0000000B4c) = 1,242 [R]</t>
  </si>
  <si>
    <t xml:space="preserve"> Celkové množství 22.210000 = 22,210 [S]</t>
  </si>
  <si>
    <t>vysazování keřů - popínavé rostliny na rubu PHS
D.16.3</t>
  </si>
  <si>
    <t xml:space="preserve"> počet kusů podél soklů PHS SO 701 166 = 166,000 [A]</t>
  </si>
  <si>
    <t xml:space="preserve"> Celkové množství 166.000000 = 166,000 [B]</t>
  </si>
  <si>
    <t>Beton:
C 25/30:
Materiál:
beton:
Množství betonářské výztuže:
62,7kg  (konkrétní množství výztuže v modelovaném elementu):
Množství betonářské výztuže na m3:
Nd:
Množství předpínací výztuže:
Nd:
Návrhová životnost:
100 let:
podrobná specifikace:
XA1:
Reference:
D.16.1, D.16.3:
Referencované výkresy:
D.16.3:
specifikace:
C 25/30:
Specifikace:
XA1:
Typ betonářské vyztuže:
B500B:
Typ předpínací vyztuže:
Nd:</t>
  </si>
  <si>
    <t xml:space="preserve"> Staničení: 0,80757 - 0,80809: 0,488454825780133 (2u5qW2mMuHMW0000000B7I) = 0,488 [A]</t>
  </si>
  <si>
    <t xml:space="preserve"> Staničení: 0,78731 - 0,78784: 0,488454825780133 (2u5qW2mMuHMW0000000B5m) = 0,488 [B]</t>
  </si>
  <si>
    <t xml:space="preserve"> Staničení: 0,81261 - 0,81314: 0,488454825780133 (2u5qW2mMuHMW0000000B7W) = 0,488 [C]</t>
  </si>
  <si>
    <t xml:space="preserve"> Staničení: 0,83272 - 0,83324: 0,488454825780133 (2u5qW2mMuHMW0000000B8A) = 0,488 [D]</t>
  </si>
  <si>
    <t xml:space="preserve"> Staničení: 0,79238 - 0,79291: 0,488454825780133 (2u5qW2mMuHMW0000000B6e) = 0,488 [E]</t>
  </si>
  <si>
    <t xml:space="preserve"> Staničení: 0,79745 - 0,79798: 0,488454825780133 (2u5qW2mMuHMW0000000B6s) = 0,488 [F]</t>
  </si>
  <si>
    <t xml:space="preserve"> Staničení: 0,78389 - 0,78442: 0,488454825780133 (2u5qW2mMuHMW0000000B5Y) = 0,488 [G]</t>
  </si>
  <si>
    <t xml:space="preserve"> Staničení: 0,86274 - 0,86326: 0,488454825780133 (2u5qW2mMuHMW0000000B6Q) = 0,488 [H]</t>
  </si>
  <si>
    <t xml:space="preserve"> Staničení: 0,85774 - 0,85826: 0,488454825780133 (2u5qW2mMuHMW0000000B92) = 0,488 [I]</t>
  </si>
  <si>
    <t xml:space="preserve"> Staničení: 0,80251 - 0,80304: 0,488454825780133 (2u5qW2mMuHMW0000000B74) = 0,488 [J]</t>
  </si>
  <si>
    <t xml:space="preserve"> Staničení: 0,84774 - 0,84826: 0,488454825780133 (2u5qW2mMuHMW0000000B6C) = 0,488 [K]</t>
  </si>
  <si>
    <t xml:space="preserve"> Staničení: 0,83773 - 0,83825: 0,488454825780133 (2u5qW2mMuHMW0000000B8O) = 0,488 [L]</t>
  </si>
  <si>
    <t xml:space="preserve"> Staničení: 0,8277 - 0,82823: 0,488454825780133 (2u5qW2mMuHMW0000000B7y) = 0,488 [M]</t>
  </si>
  <si>
    <t xml:space="preserve"> Staničení: 0,78254 - 0,78288: 0,452496809380867 (2u5qW2mMuHMW0000000B9G) = 0,452 [N]</t>
  </si>
  <si>
    <t xml:space="preserve"> Staničení: 0,82268 - 0,82321: 0,488454825780133 (2u5qW2mMuHMW0000000B7k) = 0,488 [O]</t>
  </si>
  <si>
    <t xml:space="preserve"> Staničení: 0,85274 - 0,85326: 0,488454825780133 (2u5qW2mMuHMW0000000B8q) = 0,488 [P]</t>
  </si>
  <si>
    <t xml:space="preserve"> Staničení: 0,81766 - 0,81818: 0,488454825780133 (2u5qW2mMuHMW0000000B5_) = 0,488 [Q]</t>
  </si>
  <si>
    <t xml:space="preserve"> Staničení: 0,84274 - 0,84326: 0,488454825780133 (2u5qW2mMuHMW0000000B8c) = 0,488 [R]</t>
  </si>
  <si>
    <t xml:space="preserve"> Celkové množství 8.748000 = 8,748 [S]</t>
  </si>
  <si>
    <t xml:space="preserve"> Staničení: 0,80757 - 0,80809: 0,0627 (2u5qW2mMuHMW0000000B7I) = 0,063 [A]</t>
  </si>
  <si>
    <t xml:space="preserve"> Staničení: 0,78731 - 0,78784: 0,0627 (2u5qW2mMuHMW0000000B5m) = 0,063 [B]</t>
  </si>
  <si>
    <t xml:space="preserve"> Staničení: 0,81261 - 0,81314: 0,0627 (2u5qW2mMuHMW0000000B7W) = 0,063 [C]</t>
  </si>
  <si>
    <t xml:space="preserve"> Staničení: 0,83272 - 0,83324: 0,0627 (2u5qW2mMuHMW0000000B8A) = 0,063 [D]</t>
  </si>
  <si>
    <t xml:space="preserve"> Staničení: 0,79238 - 0,79291: 0,0627 (2u5qW2mMuHMW0000000B6e) = 0,063 [E]</t>
  </si>
  <si>
    <t xml:space="preserve"> Staničení: 0,79745 - 0,79798: 0,0627 (2u5qW2mMuHMW0000000B6s) = 0,063 [F]</t>
  </si>
  <si>
    <t xml:space="preserve"> Staničení: 0,78389 - 0,78442: 0,0627 (2u5qW2mMuHMW0000000B5Y) = 0,063 [G]</t>
  </si>
  <si>
    <t xml:space="preserve"> Staničení: 0,86274 - 0,86326: 0,0627 (2u5qW2mMuHMW0000000B6Q) = 0,063 [H]</t>
  </si>
  <si>
    <t xml:space="preserve"> Staničení: 0,85774 - 0,85826: 0,0627 (2u5qW2mMuHMW0000000B92) = 0,063 [I]</t>
  </si>
  <si>
    <t xml:space="preserve"> Staničení: 0,80251 - 0,80304: 0,0627 (2u5qW2mMuHMW0000000B74) = 0,063 [J]</t>
  </si>
  <si>
    <t xml:space="preserve"> Staničení: 0,84774 - 0,84826: 0,0627 (2u5qW2mMuHMW0000000B6C) = 0,063 [K]</t>
  </si>
  <si>
    <t xml:space="preserve"> Staničení: 0,83773 - 0,83825: 0,0627 (2u5qW2mMuHMW0000000B8O) = 0,063 [L]</t>
  </si>
  <si>
    <t xml:space="preserve"> Staničení: 0,8277 - 0,82823: 0,0627 (2u5qW2mMuHMW0000000B7y) = 0,063 [M]</t>
  </si>
  <si>
    <t xml:space="preserve"> Staničení: 0,78254 - 0,78288: 0,0627 (2u5qW2mMuHMW0000000B9G) = 0,063 [N]</t>
  </si>
  <si>
    <t xml:space="preserve"> Staničení: 0,82268 - 0,82321: 0,0627 (2u5qW2mMuHMW0000000B7k) = 0,063 [O]</t>
  </si>
  <si>
    <t xml:space="preserve"> Staničení: 0,85274 - 0,85326: 0,0627 (2u5qW2mMuHMW0000000B8q) = 0,063 [P]</t>
  </si>
  <si>
    <t xml:space="preserve"> Staničení: 0,81766 - 0,81818: 0,0627 (2u5qW2mMuHMW0000000B5_) = 0,063 [Q]</t>
  </si>
  <si>
    <t xml:space="preserve"> Staničení: 0,84274 - 0,84326: 0,0627 (2u5qW2mMuHMW0000000B8c) = 0,063 [R]</t>
  </si>
  <si>
    <t xml:space="preserve"> Celkové množství 1.134000 = 1,134 [S]</t>
  </si>
  <si>
    <t xml:space="preserve"> Staničení: 0,80757 - 0,80809: 2,3 (2u5qW2mMuHMW0000000B7I) = 2,300 [A]</t>
  </si>
  <si>
    <t xml:space="preserve"> Staničení: 0,78731 - 0,78784: 2,3 (2u5qW2mMuHMW0000000B5m) = 2,300 [B]</t>
  </si>
  <si>
    <t xml:space="preserve"> Staničení: 0,81261 - 0,81314: 2,3 (2u5qW2mMuHMW0000000B7W) = 2,300 [C]</t>
  </si>
  <si>
    <t xml:space="preserve"> Staničení: 0,83272 - 0,83324: 2,3 (2u5qW2mMuHMW0000000B8A) = 2,300 [D]</t>
  </si>
  <si>
    <t xml:space="preserve"> Staničení: 0,79238 - 0,79291: 2,3 (2u5qW2mMuHMW0000000B6e) = 2,300 [E]</t>
  </si>
  <si>
    <t xml:space="preserve"> Staničení: 0,79745 - 0,79798: 2,3 (2u5qW2mMuHMW0000000B6s) = 2,300 [F]</t>
  </si>
  <si>
    <t xml:space="preserve"> Staničení: 0,78389 - 0,78442: 2,3 (2u5qW2mMuHMW0000000B5Y) = 2,300 [G]</t>
  </si>
  <si>
    <t xml:space="preserve"> Staničení: 0,86274 - 0,86326: 2,3 (2u5qW2mMuHMW0000000B6Q) = 2,300 [H]</t>
  </si>
  <si>
    <t xml:space="preserve"> Staničení: 0,85774 - 0,85826: 2,3 (2u5qW2mMuHMW0000000B92) = 2,300 [I]</t>
  </si>
  <si>
    <t xml:space="preserve"> Staničení: 0,80251 - 0,80304: 2,3 (2u5qW2mMuHMW0000000B74) = 2,300 [J]</t>
  </si>
  <si>
    <t xml:space="preserve"> Staničení: 0,84774 - 0,84826: 2,3 (2u5qW2mMuHMW0000000B6C) = 2,300 [K]</t>
  </si>
  <si>
    <t xml:space="preserve"> Staničení: 0,83773 - 0,83825: 2,3 (2u5qW2mMuHMW0000000B8O) = 2,300 [L]</t>
  </si>
  <si>
    <t xml:space="preserve"> Staničení: 0,8277 - 0,82823: 2,3 (2u5qW2mMuHMW0000000B7y) = 2,300 [M]</t>
  </si>
  <si>
    <t xml:space="preserve"> Staničení: 0,78254 - 0,78288: 2,3 (2u5qW2mMuHMW0000000B9G) = 2,300 [N]</t>
  </si>
  <si>
    <t xml:space="preserve"> Staničení: 0,82268 - 0,82321: 2,3 (2u5qW2mMuHMW0000000B7k) = 2,300 [O]</t>
  </si>
  <si>
    <t xml:space="preserve"> Staničení: 0,85274 - 0,85326: 2,3 (2u5qW2mMuHMW0000000B8q) = 2,300 [P]</t>
  </si>
  <si>
    <t xml:space="preserve"> Staničení: 0,81766 - 0,81818: 2,3 (2u5qW2mMuHMW0000000B5_) = 2,300 [Q]</t>
  </si>
  <si>
    <t xml:space="preserve"> Staničení: 0,84274 - 0,84326: 2,3 (2u5qW2mMuHMW0000000B8c) = 2,300 [R]</t>
  </si>
  <si>
    <t xml:space="preserve"> Celkové množství 41.400000 = 41,400 [S]</t>
  </si>
  <si>
    <t>Beton:
C 30/37:
Materiál:
beton:
Množství betonářské výztuže:
Nd:
Množství betonářské výztuže na m3:
Nd:
Množství předpínací výztuže:
Nd:
Návrhová životnost:
100 let:
podrobná specifikace:
XF4, dl. 0.7m, ochranný nátěr zhlaví piloty, primární vrstva - 1x asfaltový lak penetrační; ochranná a itzolační vrstva - 2x asfaltový lak nátěrový, ochranná geotextilie zhlaví piloty - plošná hmotnost min. 600g/m2:
Reference:
D.16.1, D.16.3:
Referencované výkresy:
D.16.3:
specifikace:
C 30/37:
Specifikace:
XF4:
Typ betonářské vyztuže:
B500B:
Typ předpínací vyztuže:
Nd:</t>
  </si>
  <si>
    <t xml:space="preserve"> Staničení: 0,79745 - 0,79798: 0,148660164367867 (2u5qW2mMuHMW0000000Bbe) = 0,149 [A]</t>
  </si>
  <si>
    <t xml:space="preserve"> Staničení: 0,83272 - 0,83324: 0,148660164367867 (2u5qW2mMuHMW0000000Bcs) = 0,149 [B]</t>
  </si>
  <si>
    <t xml:space="preserve"> Staničení: 0,78254 - 0,78288: 0,137716420240249 (2u5qW2mMuHMW0000000Bdt) = 0,138 [C]</t>
  </si>
  <si>
    <t xml:space="preserve"> Staničení: 0,78389 - 0,78442: 0,148660164367867 (2u5qW2mMuHMW0000000BaQ) = 0,149 [D]</t>
  </si>
  <si>
    <t xml:space="preserve"> Staničení: 0,80757 - 0,80809: 0,148660164367867 (2u5qW2mMuHMW0000000Bc2) = 0,149 [E]</t>
  </si>
  <si>
    <t xml:space="preserve"> Staničení: 0,8277 - 0,82823: 0,148660164367867 (2u5qW2mMuHMW0000000Bcf) = 0,149 [F]</t>
  </si>
  <si>
    <t xml:space="preserve"> Staničení: 0,83773 - 0,83825: 0,148660164367867 (2u5qW2mMuHMW0000000Bd3) = 0,149 [G]</t>
  </si>
  <si>
    <t xml:space="preserve"> Staničení: 0,85774 - 0,85826: 0,148660164367867 (2u5qW2mMuHMW0000000Bdg) = 0,149 [H]</t>
  </si>
  <si>
    <t xml:space="preserve"> Staničení: 0,79238 - 0,79291: 0,148660164367867 (2u5qW2mMuHMW0000000BbR) = 0,149 [I]</t>
  </si>
  <si>
    <t xml:space="preserve"> Staničení: 0,86274 - 0,86326: 0,148660164367867 (2u5qW2mMuHMW0000000BbE) = 0,149 [J]</t>
  </si>
  <si>
    <t xml:space="preserve"> Staničení: 0,82268 - 0,82321: 0,148660164367867 (2u5qW2mMuHMW0000000BcS) = 0,149 [K]</t>
  </si>
  <si>
    <t xml:space="preserve"> Staničení: 0,85274 - 0,85326: 0,148660164367867 (2u5qW2mMuHMW0000000BdT) = 0,149 [L]</t>
  </si>
  <si>
    <t xml:space="preserve"> Staničení: 0,81261 - 0,81314: 0,148660164367867 (2u5qW2mMuHMW0000000BcF) = 0,149 [M]</t>
  </si>
  <si>
    <t xml:space="preserve"> Staničení: 0,84274 - 0,84326: 0,148660164367867 (2u5qW2mMuHMW0000000BdG) = 0,149 [N]</t>
  </si>
  <si>
    <t xml:space="preserve"> Staničení: 0,81766 - 0,81818: 0,148660164367867 (2u5qW2mMuHMW0000000Baq) = 0,149 [O]</t>
  </si>
  <si>
    <t xml:space="preserve"> Staničení: 0,78731 - 0,78784: 0,148660164367867 (2u5qW2mMuHMW0000000Bad) = 0,149 [P]</t>
  </si>
  <si>
    <t xml:space="preserve"> Staničení: 0,84774 - 0,84826: 0,148660164367867 (2u5qW2mMuHMW0000000Bb1) = 0,149 [Q]</t>
  </si>
  <si>
    <t xml:space="preserve"> Staničení: 0,80251 - 0,80304: 0,148660164367867 (2u5qW2mMuHMW0000000Bbr) = 0,149 [R]</t>
  </si>
  <si>
    <t xml:space="preserve"> Celkové množství 2.671000 = 2,671 [S]</t>
  </si>
  <si>
    <t>Materiál:
beton:
podrobná specifikace:
XF4, XD3; včetně betonářské výztuže B500B dle RDS:
Reference:
D.16.1, D.16.3:
specifikace:
C 30/37:</t>
  </si>
  <si>
    <t xml:space="preserve"> Staničení: 0,83801 - 0,84298: 0,430650000703581 (2u5qW2mMuHMW0000000BQn) = 0,431 [A]</t>
  </si>
  <si>
    <t xml:space="preserve"> Staničení: 0,82799 - 0,83296: 0,430650000703581 (2u5qW2mMuHMW0000000BQP) = 0,431 [B]</t>
  </si>
  <si>
    <t xml:space="preserve"> Staničení: 0,8129 - 0,8179: 0,43065000068493 (2u5qW2mMuHMW0000000BPf) = 0,431 [C]</t>
  </si>
  <si>
    <t xml:space="preserve"> Staničení: 0,85303 - 0,85798: 0,44552953920503 (2u5qW2mMuHMW0000000BRL) = 0,446 [D]</t>
  </si>
  <si>
    <t xml:space="preserve"> Staničení: 0,82296 - 0,82794: 0,430650000703581 (2u5qW2mMuHMW0000000BQD) = 0,431 [E]</t>
  </si>
  <si>
    <t xml:space="preserve"> Staničení: 0,79774 - 0,80275: 0,43065000068493 (2u5qW2mMuHMW0000000BP5) = 0,431 [F]</t>
  </si>
  <si>
    <t xml:space="preserve"> Staničení: 0,79267 - 0,79769: 0,43065000068493 (2u5qW2mMuHMW0000000BOv) = 0,431 [G]</t>
  </si>
  <si>
    <t xml:space="preserve"> Staničení: 0,78413 - 0,78759: 0,445509089362584 (2u5qW2mMuHMW0000000BRv) = 0,446 [H]</t>
  </si>
  <si>
    <t xml:space="preserve"> Staničení: 0,80785 - 0,81285: 0,43065000068493 (2u5qW2mMuHMW0000000BPT) = 0,431 [I]</t>
  </si>
  <si>
    <t xml:space="preserve"> Staničení: 0,78272 - 0,7842: 0,245700000368082 (2u5qW2mMuHMW0000000BRj) = 0,246 [J]</t>
  </si>
  <si>
    <t xml:space="preserve"> Staničení: 0,833 - 0,83797: 0,430650000703581 (2u5qW2mMuHMW0000000BQb) = 0,431 [K]</t>
  </si>
  <si>
    <t xml:space="preserve"> Staničení: 0,8028 - 0,8078: 0,43065000068493 (2u5qW2mMuHMW0000000BPH) = 0,431 [L]</t>
  </si>
  <si>
    <t xml:space="preserve"> Staničení: 0,84802 - 0,85298: 0,44552953920503 (2u5qW2mMuHMW0000000BR9) = 0,446 [M]</t>
  </si>
  <si>
    <t xml:space="preserve"> Staničení: 0,84302 - 0,84798: 0,430650000703581 (2u5qW2mMuHMW0000000BQz) = 0,431 [N]</t>
  </si>
  <si>
    <t xml:space="preserve"> Staničení: 0,81794 - 0,82292: 0,430650000703581 (2u5qW2mMuHMW0000000BQ1) = 0,431 [O]</t>
  </si>
  <si>
    <t xml:space="preserve"> Staničení: 0,7876 - 0,79262: 0,430650000686218 (2u5qW2mMuHMW0000000BPr) = 0,431 [P]</t>
  </si>
  <si>
    <t xml:space="preserve"> Staničení: 0,85803 - 0,86298: 0,44552953920503 (2u5qW2mMuHMW0000000BRX) = 0,446 [Q]</t>
  </si>
  <si>
    <t xml:space="preserve"> Celkové množství 7.202000 = 7,202 [R]</t>
  </si>
  <si>
    <t>Kategorie stavebního výrobku:
Klasifikace dle CCI:
Podrobná specifikace:
včetně PKO dle PD:
Reference:
D.16.1, D.16.3:
Specifikace:
S 235 J0:
Stavební výrobek:
HEB 180:
Typ stavebního výrobku:
ocelový výlcovaný profil:
Výrobce:
Nd:</t>
  </si>
  <si>
    <t xml:space="preserve"> Staničení: 0,78746 - 0,7877: 0,340882325 (2u5qW2mMuHMW0000000BSJ) = 0,341 [A]</t>
  </si>
  <si>
    <t xml:space="preserve"> Staničení: 0,79762 - 0,79781: 0,340882325 (2u5qW2mMuHMW0000000BTP) = 0,341 [B]</t>
  </si>
  <si>
    <t xml:space="preserve"> Staničení: 0,79255 - 0,79274: 0,340882325 (2u5qW2mMuHMW0000000BTB) = 0,341 [C]</t>
  </si>
  <si>
    <t xml:space="preserve"> Staničení: 0,81279 - 0,81297: 0,340882325 (2u5qW2mMuHMW0000000BU3) = 0,341 [D]</t>
  </si>
  <si>
    <t xml:space="preserve"> Staničení: 0,78403 - 0,78428: 0,340882325 (2u5qW2mMuHMW0000000BS5) = 0,341 [E]</t>
  </si>
  <si>
    <t xml:space="preserve"> Staničení: 0,85291 - 0,85309: 0,340882325 (2u5qW2mMuHMW0000000BVN) = 0,341 [F]</t>
  </si>
  <si>
    <t xml:space="preserve"> Staničení: 0,8379 - 0,83809: 0,340882325 (2u5qW2mMuHMW0000000BUx) = 0,341 [G]</t>
  </si>
  <si>
    <t xml:space="preserve"> Staničení: 0,78264 - 0,78288: 0,340882325 (2u5qW2mMuHMW0000000BVp) = 0,341 [H]</t>
  </si>
  <si>
    <t xml:space="preserve"> Staničení: 0,83288 - 0,83308: 0,340882325 (2u5qW2mMuHMW0000000BUj) = 0,341 [I]</t>
  </si>
  <si>
    <t xml:space="preserve"> Staničení: 0,85791 - 0,85809: 0,340882325 (2u5qW2mMuHMW0000000BVb) = 0,341 [J]</t>
  </si>
  <si>
    <t xml:space="preserve"> Staničení: 0,82285 - 0,82304: 0,340882325 (2u5qW2mMuHMW0000000BUH) = 0,341 [K]</t>
  </si>
  <si>
    <t xml:space="preserve"> Staničení: 0,84791 - 0,84809: 0,340882325 (2u5qW2mMuHMW0000000BSl) = 0,341 [L]</t>
  </si>
  <si>
    <t xml:space="preserve"> Staničení: 0,8429 - 0,84309: 0,340882325 (2u5qW2mMuHMW0000000BV9) = 0,341 [M]</t>
  </si>
  <si>
    <t xml:space="preserve"> Staničení: 0,82787 - 0,82806: 0,340882325 (2u5qW2mMuHMW0000000BUV) = 0,341 [N]</t>
  </si>
  <si>
    <t xml:space="preserve"> Staničení: 0,86291 - 0,86309: 0,340882325 (2u5qW2mMuHMW0000000BSz) = 0,341 [O]</t>
  </si>
  <si>
    <t xml:space="preserve"> Staničení: 0,80268 - 0,80287: 0,340882325 (2u5qW2mMuHMW0000000BTd) = 0,341 [P]</t>
  </si>
  <si>
    <t xml:space="preserve"> Staničení: 0,80774 - 0,80792: 0,340882325 (2u5qW2mMuHMW0000000BTr) = 0,341 [Q]</t>
  </si>
  <si>
    <t xml:space="preserve"> Staničení: 0,81783 - 0,81801: 0,340882325 (2u5qW2mMuHMW0000000BSX) = 0,341 [R]</t>
  </si>
  <si>
    <t xml:space="preserve"> Celkové množství 6.138000 = 6,138 [S]</t>
  </si>
  <si>
    <t>Kategorie stavebního výrobku:
Klasifikace dle CCI:
Podrobná specifikace:
pohltivost dle ČSN EN 1793-1 A3, neprůzvučnost dle ČSN EN 1793-2 B3:
Reference:
D.16.1, D.16.3:
Specifikace:
sendvičový prvek rámový, podrobněji v RDS:
Stavební výrobek:
akustický panel pohltivý:
Typ stavebního výrobku:
protihlukový panel:
Výrobce:
Nd:</t>
  </si>
  <si>
    <t xml:space="preserve"> Staničení: 0,79267 - 0,79769: 5 (2u5qW2mMuHMW0000000AZD) = 5,000 [A]</t>
  </si>
  <si>
    <t xml:space="preserve"> Staničení: 0,84802 - 0,85298: 5 (2u5qW2mMuHMW0000000AmD) = 5,000 [B]</t>
  </si>
  <si>
    <t xml:space="preserve"> Staničení: 0,82297 - 0,82794: 5 (2u5qW2mMuHMW0000000AgK) = 5,000 [C]</t>
  </si>
  <si>
    <t xml:space="preserve"> Staničení: 0,79774 - 0,80275: 5 (2u5qW2mMuHMW0000000Ab2) = 5,000 [D]</t>
  </si>
  <si>
    <t xml:space="preserve"> Staničení: 0,85803 - 0,86298: 5 (2u5qW2mMuHMW0000000Ao2) = 5,000 [E]</t>
  </si>
  <si>
    <t xml:space="preserve"> Staničení: 0,8129 - 0,8179: 5 (2u5qW2mMuHMW0000000AdU) = 5,000 [F]</t>
  </si>
  <si>
    <t xml:space="preserve"> Staničení: 0,82799 - 0,83296: 5 (2u5qW2mMuHMW0000000Ai9) = 5,000 [G]</t>
  </si>
  <si>
    <t xml:space="preserve"> Staničení: 0,84302 - 0,84798: 5 (2u5qW2mMuHMW0000000AlC) = 5,000 [H]</t>
  </si>
  <si>
    <t xml:space="preserve"> Staničení: 0,8028 - 0,8078: 5 (2u5qW2mMuHMW0000000Abf) = 5,000 [I]</t>
  </si>
  <si>
    <t xml:space="preserve"> Staničení: 0,81794 - 0,82292: 5 (2u5qW2mMuHMW0000000AfJ) = 5,000 [J]</t>
  </si>
  <si>
    <t xml:space="preserve"> Staničení: 0,78269 - 0,78419: 3,2 (2u5qW2mMuHMW0000000Aof) = 3,200 [K]</t>
  </si>
  <si>
    <t xml:space="preserve"> Staničení: 0,79267 - 0,79769: 5 (2u5qW2mMuHMW0000000Aa1) = 5,000 [L]</t>
  </si>
  <si>
    <t xml:space="preserve"> Staničení: 0,833 - 0,83797: 5 (2u5qW2mMuHMW0000000Aim) = 5,000 [M]</t>
  </si>
  <si>
    <t xml:space="preserve"> Staničení: 0,85303 - 0,85798: 5 (2u5qW2mMuHMW0000000An1) = 5,000 [N]</t>
  </si>
  <si>
    <t xml:space="preserve"> Staničení: 0,80785 - 0,81285: 5 (2u5qW2mMuHMW0000000AcT) = 5,000 [O]</t>
  </si>
  <si>
    <t xml:space="preserve"> Staničení: 0,84802 - 0,85298: 5 (2u5qW2mMuHMW0000000Alp) = 5,000 [P]</t>
  </si>
  <si>
    <t xml:space="preserve"> Staničení: 0,82297 - 0,82794: 5 (2u5qW2mMuHMW0000000Ah8) = 5,000 [Q]</t>
  </si>
  <si>
    <t xml:space="preserve"> Staničení: 0,78269 - 0,78419: 3,2 (2u5qW2mMuHMW0000000ApT) = 3,200 [R]</t>
  </si>
  <si>
    <t xml:space="preserve"> Staničení: 0,81794 - 0,82292: 5 (2u5qW2mMuHMW0000000Afw) = 5,000 [S]</t>
  </si>
  <si>
    <t xml:space="preserve"> Staničení: 0,83801 - 0,84298: 5 (2u5qW2mMuHMW0000000AkB) = 5,000 [T]</t>
  </si>
  <si>
    <t xml:space="preserve"> Staničení: 0,79774 - 0,80275: 5 (2u5qW2mMuHMW0000000Aae) = 5,000 [U]</t>
  </si>
  <si>
    <t xml:space="preserve"> Staničení: 0,7876 - 0,79262: 5 (2u5qW2mMuHMW0000000AeI) = 5,000 [V]</t>
  </si>
  <si>
    <t xml:space="preserve"> Staničení: 0,85803 - 0,86298: 5 (2u5qW2mMuHMW0000000Ane) = 5,000 [W]</t>
  </si>
  <si>
    <t xml:space="preserve"> Staničení: 0,82799 - 0,83296: 5 (2u5qW2mMuHMW0000000Ahl) = 5,000 [X]</t>
  </si>
  <si>
    <t xml:space="preserve"> Staničení: 0,84802 - 0,85298: 5 (2u5qW2mMuHMW0000000Am0) = 5,000 [Y]</t>
  </si>
  <si>
    <t xml:space="preserve"> Staničení: 0,8028 - 0,8078: 5 (2u5qW2mMuHMW0000000AbS) = 5,000 [Z]</t>
  </si>
  <si>
    <t xml:space="preserve"> Staničení: 0,81794 - 0,82292: 5 (2u5qW2mMuHMW0000000Ag7) = 5,000 [AA]</t>
  </si>
  <si>
    <t xml:space="preserve"> Staničení: 0,78414 - 0,78758: 5 (2u5qW2mMuHMW0000000AoS) = 5,000 [AB]</t>
  </si>
  <si>
    <t xml:space="preserve"> Staničení: 0,7876 - 0,79262: 5 (2u5qW2mMuHMW0000000Aev) = 5,000 [AC]</t>
  </si>
  <si>
    <t xml:space="preserve"> Staničení: 0,833 - 0,83797: 5 (2u5qW2mMuHMW0000000AiZ) = 5,000 [AD]</t>
  </si>
  <si>
    <t xml:space="preserve"> Staničení: 0,79267 - 0,79769: 5 (2u5qW2mMuHMW0000000AZd) = 5,000 [AE]</t>
  </si>
  <si>
    <t xml:space="preserve"> Staničení: 0,833 - 0,83797: 5 (2u5qW2mMuHMW0000000AjA) = 5,000 [AF]</t>
  </si>
  <si>
    <t xml:space="preserve"> Staničení: 0,8129 - 0,8179: 5 (2u5qW2mMuHMW0000000AdH) = 5,000 [AG]</t>
  </si>
  <si>
    <t xml:space="preserve"> Staničení: 0,85303 - 0,85798: 5 (2u5qW2mMuHMW0000000Amd) = 5,000 [AH]</t>
  </si>
  <si>
    <t xml:space="preserve"> Staničení: 0,78414 - 0,78758: 5 (2u5qW2mMuHMW0000000AqH) = 5,000 [AI]</t>
  </si>
  <si>
    <t xml:space="preserve"> Staničení: 0,82297 - 0,82794: 5 (2u5qW2mMuHMW0000000Agk) = 5,000 [AJ]</t>
  </si>
  <si>
    <t xml:space="preserve"> Staničení: 0,79774 - 0,80275: 5 (2u5qW2mMuHMW0000000AaR) = 5,000 [AK]</t>
  </si>
  <si>
    <t xml:space="preserve"> Staničení: 0,85803 - 0,86298: 5 (2u5qW2mMuHMW0000000AnR) = 5,000 [AL]</t>
  </si>
  <si>
    <t xml:space="preserve"> Staničení: 0,8129 - 0,8179: 5 (2u5qW2mMuHMW0000000Adu) = 5,000 [AM]</t>
  </si>
  <si>
    <t xml:space="preserve"> Staničení: 0,84802 - 0,85298: 5 (2u5qW2mMuHMW0000000Alc) = 5,000 [AN]</t>
  </si>
  <si>
    <t xml:space="preserve"> Staničení: 0,84302 - 0,84798: 5 (2u5qW2mMuHMW0000000AkO) = 5,000 [AO]</t>
  </si>
  <si>
    <t xml:space="preserve"> Staničení: 0,7876 - 0,79262: 5 (2u5qW2mMuHMW0000000Af6) = 5,000 [AP]</t>
  </si>
  <si>
    <t xml:space="preserve"> Staničení: 0,82799 - 0,83296: 5 (2u5qW2mMuHMW0000000AhY) = 5,000 [AQ]</t>
  </si>
  <si>
    <t xml:space="preserve"> Staničení: 0,84302 - 0,84798: 5 (2u5qW2mMuHMW0000000Ak$) = 5,000 [AR]</t>
  </si>
  <si>
    <t xml:space="preserve"> Staničení: 0,80785 - 0,81285: 5 (2u5qW2mMuHMW0000000AcG) = 5,000 [AS]</t>
  </si>
  <si>
    <t xml:space="preserve"> Staničení: 0,78269 - 0,78419: 3,2 (2u5qW2mMuHMW0000000ApG) = 3,200 [AT]</t>
  </si>
  <si>
    <t xml:space="preserve"> Staničení: 0,81794 - 0,82292: 5 (2u5qW2mMuHMW0000000Afj) = 5,000 [AU]</t>
  </si>
  <si>
    <t xml:space="preserve"> Staničení: 0,79267 - 0,79769: 5 (2u5qW2mMuHMW0000000AZQ) = 5,000 [AV]</t>
  </si>
  <si>
    <t xml:space="preserve"> Staničení: 0,83801 - 0,84298: 5 (2u5qW2mMuHMW0000000AjN) = 5,000 [AW]</t>
  </si>
  <si>
    <t xml:space="preserve"> Staničení: 0,8129 - 0,8179: 5 (2u5qW2mMuHMW0000000Ae5) = 5,000 [AX]</t>
  </si>
  <si>
    <t xml:space="preserve"> Staničení: 0,85303 - 0,85798: 5 (2u5qW2mMuHMW0000000AmQ) = 5,000 [AY]</t>
  </si>
  <si>
    <t xml:space="preserve"> Staničení: 0,80785 - 0,81285: 5 (2u5qW2mMuHMW0000000Act) = 5,000 [AZ]</t>
  </si>
  <si>
    <t xml:space="preserve"> Staničení: 0,82297 - 0,82794: 5 (2u5qW2mMuHMW0000000AgX) = 5,000 [BA]</t>
  </si>
  <si>
    <t xml:space="preserve"> Staničení: 0,78414 - 0,78758: 5 (2u5qW2mMuHMW0000000Apt) = 5,000 [BB]</t>
  </si>
  <si>
    <t xml:space="preserve"> Staničení: 0,83801 - 0,84298: 5 (2u5qW2mMuHMW0000000Aj_) = 5,000 [BC]</t>
  </si>
  <si>
    <t xml:space="preserve"> Staničení: 0,8028 - 0,8078: 5 (2u5qW2mMuHMW0000000AbF) = 5,000 [BD]</t>
  </si>
  <si>
    <t xml:space="preserve"> Staničení: 0,84302 - 0,84798: 5 (2u5qW2mMuHMW0000000Akb) = 5,000 [BE]</t>
  </si>
  <si>
    <t xml:space="preserve"> Staničení: 0,85803 - 0,86298: 5 (2u5qW2mMuHMW0000000AoF) = 5,000 [BF]</t>
  </si>
  <si>
    <t xml:space="preserve"> Staničení: 0,7876 - 0,79262: 5 (2u5qW2mMuHMW0000000Aei) = 5,000 [BG]</t>
  </si>
  <si>
    <t xml:space="preserve"> Staničení: 0,833 - 0,83797: 5 (2u5qW2mMuHMW0000000AiM) = 5,000 [BH]</t>
  </si>
  <si>
    <t xml:space="preserve"> Staničení: 0,80785 - 0,81285: 5 (2u5qW2mMuHMW0000000Ad4) = 5,000 [BI]</t>
  </si>
  <si>
    <t xml:space="preserve"> Staničení: 0,84802 - 0,85298: 5 (2u5qW2mMuHMW0000000AlP) = 5,000 [BJ]</t>
  </si>
  <si>
    <t xml:space="preserve"> Staničení: 0,8028 - 0,8078: 5 (2u5qW2mMuHMW0000000Abs) = 5,000 [BK]</t>
  </si>
  <si>
    <t xml:space="preserve"> Staničení: 0,78414 - 0,78758: 5 (2u5qW2mMuHMW0000000Aq4) = 5,000 [BL]</t>
  </si>
  <si>
    <t xml:space="preserve"> Staničení: 0,81794 - 0,82292: 5 (2u5qW2mMuHMW0000000AfW) = 5,000 [BM]</t>
  </si>
  <si>
    <t xml:space="preserve"> Staničení: 0,78269 - 0,78419: 3,2 (2u5qW2mMuHMW0000000Aos) = 3,200 [BN]</t>
  </si>
  <si>
    <t xml:space="preserve"> Staničení: 0,833 - 0,83797: 5 (2u5qW2mMuHMW0000000Aiz) = 5,000 [BO]</t>
  </si>
  <si>
    <t xml:space="preserve"> Staničení: 0,79774 - 0,80275: 5 (2u5qW2mMuHMW0000000AaE) = 5,000 [BP]</t>
  </si>
  <si>
    <t xml:space="preserve"> Staničení: 0,83801 - 0,84298: 5 (2u5qW2mMuHMW0000000Aja) = 5,000 [BQ]</t>
  </si>
  <si>
    <t xml:space="preserve"> Staničení: 0,85303 - 0,85798: 5 (2u5qW2mMuHMW0000000AnE) = 5,000 [BR]</t>
  </si>
  <si>
    <t xml:space="preserve"> Staničení: 0,8129 - 0,8179: 5 (2u5qW2mMuHMW0000000Adh) = 5,000 [BS]</t>
  </si>
  <si>
    <t xml:space="preserve"> Staničení: 0,82799 - 0,83296: 5 (2u5qW2mMuHMW0000000AhL) = 5,000 [BT]</t>
  </si>
  <si>
    <t xml:space="preserve"> Staničení: 0,8028 - 0,8078: 5 (2u5qW2mMuHMW0000000Ac3) = 5,000 [BU]</t>
  </si>
  <si>
    <t xml:space="preserve"> Staničení: 0,84302 - 0,84798: 5 (2u5qW2mMuHMW0000000Ako) = 5,000 [BV]</t>
  </si>
  <si>
    <t xml:space="preserve"> Staničení: 0,79774 - 0,80275: 5 (2u5qW2mMuHMW0000000Aar) = 5,000 [BW]</t>
  </si>
  <si>
    <t xml:space="preserve"> Staničení: 0,78269 - 0,78419: 3,2 (2u5qW2mMuHMW0000000Ap3) = 3,200 [BX]</t>
  </si>
  <si>
    <t xml:space="preserve"> Staničení: 0,7876 - 0,79262: 5 (2u5qW2mMuHMW0000000AeV) = 5,000 [BY]</t>
  </si>
  <si>
    <t xml:space="preserve"> Staničení: 0,85803 - 0,86298: 5 (2u5qW2mMuHMW0000000Anr) = 5,000 [BZ]</t>
  </si>
  <si>
    <t xml:space="preserve"> Staničení: 0,82799 - 0,83296: 5 (2u5qW2mMuHMW0000000Ahy) = 5,000 [CA]</t>
  </si>
  <si>
    <t xml:space="preserve"> Staničení: 0,80785 - 0,81285: 5 (2u5qW2mMuHMW0000000Acg) = 5,000 [CB]</t>
  </si>
  <si>
    <t xml:space="preserve"> Staničení: 0,78414 - 0,78758: 5 (2u5qW2mMuHMW0000000Apg) = 5,000 [CC]</t>
  </si>
  <si>
    <t xml:space="preserve"> Staničení: 0,79267 - 0,79769: 5 (2u5qW2mMuHMW0000000AZq) = 5,000 [CD]</t>
  </si>
  <si>
    <t xml:space="preserve"> Staničení: 0,83801 - 0,84298: 5 (2u5qW2mMuHMW0000000Ajn) = 5,000 [CE]</t>
  </si>
  <si>
    <t xml:space="preserve"> Staničení: 0,85303 - 0,85798: 5 (2u5qW2mMuHMW0000000Amq) = 5,000 [CF]</t>
  </si>
  <si>
    <t xml:space="preserve"> Staničení: 0,82297 - 0,82794: 5 (2u5qW2mMuHMW0000000Agx) = 5,000 [CG]</t>
  </si>
  <si>
    <t xml:space="preserve"> Celkové množství 416.000000 = 416,000 [CH]</t>
  </si>
  <si>
    <t xml:space="preserve"> Mezisoučet 7.202000 = 7,202 [R]</t>
  </si>
  <si>
    <t xml:space="preserve"> Celkové množství R*0,035 = 0,252 [S]</t>
  </si>
  <si>
    <t>Reference:
D.16.1, D.16.3:
ochranný nátěr bet. soklu, nátěr S2(OS-B) dle TKP 31, polymerní disperse, směsné nebo vícesložkové polymery PUR, střední tl. 50µm
polovina povrchu stěn + polovina povrchu obvodu panelů*jejich počet
3 typy velikostí panelů
ochranný nátěr bet. soklu, primární vrstva - 1x asfaltový lak penetrační
ochranná a itzolační vrstva - 2x asfaltový lak nátěrový</t>
  </si>
  <si>
    <t xml:space="preserve"> Celkové množství 7,202000 (318125)*0,5*2/0,12+(0,5*1,37436)*15+(0,5*1,38372)+(0,5*0,924) = 71,478 [A]</t>
  </si>
  <si>
    <t>Reference:
D.16.1, D.16.3
ochranný nátěr zhlaví piloty, primární vrstva - 1x asfaltový lak penetrační
ochranná a itzolační vrstva - 2x asfaltový lak nátěrový</t>
  </si>
  <si>
    <t>Reference:
D.16.1, D.16.3:
ochranný nátěr bet. soklu, nátěr S2(OS-B) dle TKP 31, polymerní disperse, směsné nebo vícesložkové polymery PUR, střední tl. 50µm
polovina povrchu stěn + polovina povrchu obvodu panelů*jejich počet
3 typy velikostí panelů
ochranná geotextilie bet. soklu - plošná hmotnost min. 600g/m2</t>
  </si>
  <si>
    <t>Reference:
D.16.1, D.16.3:
ochranná geotextilie zhlaví piloty - plošná hmotnost min. 600g/m2</t>
  </si>
  <si>
    <t>objem soklu/tloušťka soklu
3 typy velikostí panelů
pletivo na betonovém soklu, oka 100x100mm - pro popínavé rostliny</t>
  </si>
  <si>
    <t xml:space="preserve"> plocha stěny soklu = objem/tloušťka 7,202000 (318125)/0,12 = 60,017 [A]</t>
  </si>
  <si>
    <t>ochranný nátěr bet. soklu, nátěr S2(OS-B) dle TKP 31, polymerní disperse, směsné nebo vícesložkové polymery PUR, střední tl. 50µm
polovina povrchu stěn + polovina povrchu obvodu panelů*jejich počet
3 typy velikostí panelů</t>
  </si>
  <si>
    <t xml:space="preserve"> objem*0,5*2/tloušťka + (0,5*povrch obvodu)*počet 7,202000 (318125)*0,5*2/0,12+(0,5*1,37436)*15+(0,5*1,38372)+(0,5*0,924) = 71,478 [A]</t>
  </si>
  <si>
    <t>111207</t>
  </si>
  <si>
    <t>ODSTRANENÍ KROVIN S ODVOZEM DO 16KM</t>
  </si>
  <si>
    <t>OTSKP 2022</t>
  </si>
  <si>
    <t>Klasifikace podrobnosti zaměření:
geodetické zaměření pomocí  totální stanice TRIMBLE S5 DR PLUS z bodového pole vybudovaného :
Materiál:
keře o ploše 60m2, vyžaduje povolení kácení:
podrobná specifikace:
Ověřeno geodetickým měřením:
Reference:
dendrologický průzkum:
specifikace:
vlastníkem stromu je vlastník pozemku, na kterém strom roste:</t>
  </si>
  <si>
    <t xml:space="preserve"> 60 (2msAikBK1UGG0000000kNd) = 60,000 [A]</t>
  </si>
  <si>
    <t xml:space="preserve"> Celkové množství 60 = 60,000 [B]</t>
  </si>
  <si>
    <t>odstranení krovin a stromu do prumeru 100 mm
doprava drevin na predepsanou vzdálenost
spálení na hromadách nebo štepkování</t>
  </si>
  <si>
    <t>112016</t>
  </si>
  <si>
    <t>KÁCENÍ STROMU D KMENE DO 0,5M S ODSTRANENÍM PAREZU, ODVOZ DO 12KM</t>
  </si>
  <si>
    <t>Klasifikace podrobnosti zaměření:
geodetické zaměření pomocí  totální stanice TRIMBLE S5 DR PLUS z bodového pole vybudovaného :
Materiál:
strom určený ke kácení, vyžaduje povolení kácení:
podrobná specifikace:
Ověřeno geodetickým měřením:
Reference:
dendrologický průzkum:
specifikace:
vlastníkem stromu je vlastník pozemku, na kterém strom roste:
dřevní hmota bude předána vlastníkovi pozemku, pařezy a přebytky jsou určeny k odvozu a likvidaci zhotovitelem stavby</t>
  </si>
  <si>
    <t xml:space="preserve"> 1 (2msAikBK1UGG0000000ZKf) = 1,000 [A]</t>
  </si>
  <si>
    <t xml:space="preserve"> 1 (2msAikBK1UGG0000000ZKo) = 1,000 [B]</t>
  </si>
  <si>
    <t xml:space="preserve"> 1 (2msAikBK1UGG0000000ZKg) = 1,000 [C]</t>
  </si>
  <si>
    <t xml:space="preserve"> 1 (2msAikBK1UGG0000000ZKj) = 1,000 [D]</t>
  </si>
  <si>
    <t xml:space="preserve"> 1 (2msAikBK1UGG0000000ZKh) = 1,000 [E]</t>
  </si>
  <si>
    <t xml:space="preserve"> 1 (2msAikBK1UGG0000000ZKi) = 1,000 [F]</t>
  </si>
  <si>
    <t xml:space="preserve"> 1 (2msAikBK1UGG0000000ZKn) = 1,000 [G]</t>
  </si>
  <si>
    <t>Kácení stromu se merí v [ks] poražených stromu (prumer stromu se merí ve výšce 1,3m nad terénem) a zahrnuje zejména:
- poražení stromu a osekání vetví
- spálení vetví na hromadách nebo štepkování
- dopravu a uložení kmenu, prípadné další práce s nimi dle pokynu zadávací dokumentace
Odstranení parezu se merí v [ks] vytrhaných nebo vykopaných parezu a zahrnuje zejména:
- vytrhání nebo vykopání parezu
- veškeré zemní práce spojené s odstranením parezu
- dopravu a uložení parezu, prípadne další práce s nimi dle pokynu zadávací dokumentace
- zásyp jam po parezech</t>
  </si>
  <si>
    <t>Klasifikace podrobnosti zaměření:
geodetické zaměření pomocí  totální stanice TRIMBLE S5 DR PLUS z bodového pole vybudovaného :
Materiál:
strom určený ke kácení, nevyžaduje povolení kácení:
podrobná specifikace:
Ověřeno geodetickým měřením / pozice části stromů v prostoru bývalého lesa není oveřena geodeticky a jejich počet je odhadnut projektantem
Položka bude fakturována na základě skutečného množství
Reference:
odnětí z PUPFL:
specifikace:
vlastníkem stromu je vlastník pozemku, na kterém strom roste:
dřevní hmota bude předána vlastníkovi pozemku, pařezy a přebytky jsou určeny k odvozu a likvidaci zhotovitelem stavby</t>
  </si>
  <si>
    <t xml:space="preserve"> 1 (2msAikBK1UGG0000000jm6) = 1,000 [A]</t>
  </si>
  <si>
    <t xml:space="preserve"> 1 (2msAikBK1UGG0000000jlw) = 1,000 [B]</t>
  </si>
  <si>
    <t xml:space="preserve"> 1 (2msAikBK1UGG0000000ZLC) = 1,000 [C]</t>
  </si>
  <si>
    <t xml:space="preserve"> 1 (2msAikBK1UGG0000000jko) = 1,000 [D]</t>
  </si>
  <si>
    <t xml:space="preserve"> 1 (2msAikBK1UGG0000000ZKw) = 1,000 [E]</t>
  </si>
  <si>
    <t xml:space="preserve"> 1 (2msAikBK1UGG0000000ZL4) = 1,000 [F]</t>
  </si>
  <si>
    <t xml:space="preserve"> 1 (2msAikBK1UGG0000000jlY) = 1,000 [G]</t>
  </si>
  <si>
    <t xml:space="preserve"> 1 (2msAikBK1UGG0000000jmg) = 1,000 [H]</t>
  </si>
  <si>
    <t xml:space="preserve"> 1 (2msAikBK1UGG0000000ZL5) = 1,000 [I]</t>
  </si>
  <si>
    <t xml:space="preserve"> 1 (2msAikBK1UGG0000000jk_) = 1,000 [J]</t>
  </si>
  <si>
    <t xml:space="preserve"> 1 (2msAikBK1UGG0000000jmI) = 1,000 [K]</t>
  </si>
  <si>
    <t xml:space="preserve"> 1 (2msAikBK1UGG0000000ZL2) = 1,000 [L]</t>
  </si>
  <si>
    <t xml:space="preserve"> 1 (2msAikBK1UGG0000000jlA) = 1,000 [M]</t>
  </si>
  <si>
    <t xml:space="preserve"> 1 (2msAikBK1UGG0000000ZKz) = 1,000 [N]</t>
  </si>
  <si>
    <t xml:space="preserve"> 1 (2msAikBK1UGG0000000ZL3) = 1,000 [O]</t>
  </si>
  <si>
    <t xml:space="preserve"> 1 (2msAikBK1UGG0000000jn2) = 1,000 [P]</t>
  </si>
  <si>
    <t xml:space="preserve"> 1 (2msAikBK1UGG0000000jms) = 1,000 [Q]</t>
  </si>
  <si>
    <t xml:space="preserve"> 1 (2msAikBK1UGG0000000ZK_) = 1,000 [R]</t>
  </si>
  <si>
    <t xml:space="preserve"> 1 (2msAikBK1UGG0000000ZLD) = 1,000 [S]</t>
  </si>
  <si>
    <t xml:space="preserve"> 1 (2msAikBK1UGG0000000jlk) = 1,000 [T]</t>
  </si>
  <si>
    <t xml:space="preserve"> 1 (2msAikBK1UGG0000000ZL0) = 1,000 [U]</t>
  </si>
  <si>
    <t xml:space="preserve"> 1 (2msAikBK1UGG0000000ZKx) = 1,000 [V]</t>
  </si>
  <si>
    <t xml:space="preserve"> 1 (2msAikBK1UGG0000000jmU) = 1,000 [W]</t>
  </si>
  <si>
    <t xml:space="preserve"> 1 (2msAikBK1UGG0000000ZL1) = 1,000 [X]</t>
  </si>
  <si>
    <t xml:space="preserve"> 1 (2msAikBK1UGG0000000jlM) = 1,000 [Y]</t>
  </si>
  <si>
    <t xml:space="preserve"> 1 (2msAikBK1UGG0000000ZL6) = 1,000 [Z]</t>
  </si>
  <si>
    <t xml:space="preserve"> 1 (2msAikBK1UGG0000000ZK$) = 1,000 [AA]</t>
  </si>
  <si>
    <t xml:space="preserve"> 1 (2msAikBK1UGG0000000jnE) = 1,000 [AB]</t>
  </si>
  <si>
    <t xml:space="preserve"> 1 (2msAikBK1UGG0000000ZL7) = 1,000 [AC]</t>
  </si>
  <si>
    <t xml:space="preserve"> Celkové množství 29.000000 = 29,000 [AD]</t>
  </si>
  <si>
    <t>112026</t>
  </si>
  <si>
    <t>KÁCENÍ STROMU D KMENE DO 0,9M S ODSTRANENÍM PAREZU, ODVOZ DO 12KM</t>
  </si>
  <si>
    <t xml:space="preserve"> 1 (2msAikBK1UGG0000000ZKl) = 1,000 [A]</t>
  </si>
  <si>
    <t xml:space="preserve"> 1 (2msAikBK1UGG0000000ZKm) = 1,000 [B]</t>
  </si>
  <si>
    <t xml:space="preserve"> 1 (2msAikBK1UGG0000000ZKk) = 1,000 [C]</t>
  </si>
  <si>
    <t>112037</t>
  </si>
  <si>
    <t>KÁCENÍ STROMU D KMENE PRES 0,9M S ODSTR PAREZU, ODVOZ DO 16KM</t>
  </si>
  <si>
    <t xml:space="preserve"> 1 (2msAikBK1UGG0000000ZKr) = 1,000 [A]</t>
  </si>
  <si>
    <t>112046</t>
  </si>
  <si>
    <t>KÁCENÍ STROMU D KMENE DO 0,3M S ODSTRANENÍM PAREZU, ODVOZ DO 12KM</t>
  </si>
  <si>
    <t xml:space="preserve"> 1 (2msAikBK1UGG0000000ZKt) = 1,000 [A]</t>
  </si>
  <si>
    <t xml:space="preserve"> 1 (2msAikBK1UGG0000000ZKs) = 1,000 [B]</t>
  </si>
  <si>
    <t>Klasifikace podrobnosti zaměření:
geodetické zaměření pomocí  totální stanice TRIMBLE S5 DR PLUS z bodového pole vybudovaného :
Materiál:
strom určený ke kácení, nevyžaduje povolení kácení:
podrobná specifikace:
Ověřeno geodetickým měřením:
Reference:
odnětí z PUPFL:
specifikace:
vlastníkem stromu je vlastník pozemku, na kterém strom roste:
dřevní hmota bude předána vlastníkovi pozemku, pařezy a přebytky jsou určeny k odvozu a likvidaci zhotovitelem stavby</t>
  </si>
  <si>
    <t xml:space="preserve"> 1 (2msAikBK1UGG0000000kNR) = 1,000 [A]</t>
  </si>
  <si>
    <t xml:space="preserve"> 1 (2msAikBK1UGG0000000ZLE) = 1,000 [B]</t>
  </si>
  <si>
    <t xml:space="preserve"> 1 (2msAikBK1UGG0000000ZLB) = 1,000 [C]</t>
  </si>
  <si>
    <t xml:space="preserve"> 1 (2msAikBK1UGG0000000jo1) = 1,000 [D]</t>
  </si>
  <si>
    <t xml:space="preserve"> 1 (2msAikBK1UGG0000000jnf) = 1,000 [E]</t>
  </si>
  <si>
    <t xml:space="preserve"> 1 (2msAikBK1UGG0000000jw7) = 1,000 [F]</t>
  </si>
  <si>
    <t xml:space="preserve"> 1 (2msAikBK1UGG0000000jvl) = 1,000 [G]</t>
  </si>
  <si>
    <t xml:space="preserve"> 1 (2msAikBK1UGG0000000jwV) = 1,000 [H]</t>
  </si>
  <si>
    <t xml:space="preserve"> 1 (2msAikBK1UGG0000000jvN) = 1,000 [I]</t>
  </si>
  <si>
    <t xml:space="preserve"> 1 (2msAikBK1UGG0000000ZLA) = 1,000 [J]</t>
  </si>
  <si>
    <t xml:space="preserve"> 1 (2msAikBK1UGG0000000jnr) = 1,000 [K]</t>
  </si>
  <si>
    <t xml:space="preserve"> 1 (2msAikBK1UGG0000000ZL8) = 1,000 [L]</t>
  </si>
  <si>
    <t xml:space="preserve"> 1 (2msAikBK1UGG0000000jvx) = 1,000 [M]</t>
  </si>
  <si>
    <t xml:space="preserve"> 1 (2msAikBK1UGG0000000jnT) = 1,000 [N]</t>
  </si>
  <si>
    <t xml:space="preserve"> 1 (2msAikBK1UGG0000000ZL9) = 1,000 [O]</t>
  </si>
  <si>
    <t xml:space="preserve"> 1 (2msAikBK1UGG0000000jvZ) = 1,000 [P]</t>
  </si>
  <si>
    <t xml:space="preserve"> 1 (2msAikBK1UGG0000000jwJ) = 1,000 [Q]</t>
  </si>
  <si>
    <t xml:space="preserve"> Celkové množství 17.000000 = 17,000 [R]</t>
  </si>
  <si>
    <t>Kategorie stavebního výrobku:
Klasifikace dle CCI:
Podrobná specifikace:
prostřídáno:
Reference:
ČSN 83 9021, D.17.1 technická zpráva, D.17.2 situace NV:
Specifikace:
solitérní pyramida, velikost sazenic kontejner 3l, sázení ve sponu 3m:
Stavební výrobek:
Rosa canina, Corylus avellana, Viburnum opulus:
Typ stavebního výrobku:
keř náhradní výsadby:
Výrobce:
Nd:</t>
  </si>
  <si>
    <t xml:space="preserve"> Staničení: 0,85257 - 0,85257: 1 (2kD$k$GE6S8W0000000XKk) = 1,000 [A]</t>
  </si>
  <si>
    <t xml:space="preserve"> Staničení: 0,85257 - 0,85257: 1 (2kD$k$GE6S8W0000000XJo) = 1,000 [B]</t>
  </si>
  <si>
    <t xml:space="preserve"> Staničení: 0,85257 - 0,85257: 1 (2kD$k$GE6S8W0000000XJc) = 1,000 [C]</t>
  </si>
  <si>
    <t xml:space="preserve"> Staničení: 0,85257 - 0,85257: 1 (2kD$k$GE6S8W0000000XKA) = 1,000 [D]</t>
  </si>
  <si>
    <t xml:space="preserve"> Staničení: 0,85257 - 0,85257: 1 (2kD$k$GE6S8W0000000XKY) = 1,000 [E]</t>
  </si>
  <si>
    <t xml:space="preserve"> Staničení: 0,85257 - 0,85257: 1 (2kD$k$GE6S8W0000000XIg) = 1,000 [F]</t>
  </si>
  <si>
    <t xml:space="preserve"> Staničení: 0,85257 - 0,85257: 1 (2kD$k$GE6S8W0000000XJE) = 1,000 [G]</t>
  </si>
  <si>
    <t xml:space="preserve"> Staničení: 0,85257 - 0,85257: 1 (2kD$k$GE6S8W0000000XJ2) = 1,000 [H]</t>
  </si>
  <si>
    <t xml:space="preserve"> Staničení: 0,85257 - 0,85257: 1 (2kD$k$GE6S8W0000000XIs) = 1,000 [I]</t>
  </si>
  <si>
    <t xml:space="preserve"> Staničení: 0,85257 - 0,85257: 1 (2kD$k$GE6S8W0000000XJQ) = 1,000 [J]</t>
  </si>
  <si>
    <t xml:space="preserve"> Staničení: 0,85257 - 0,85257: 1 (2kD$k$GE6S8W0000000XKw) = 1,000 [K]</t>
  </si>
  <si>
    <t xml:space="preserve"> Staničení: 0,85257 - 0,85257: 1 (2kD$k$GE6S8W0000000XIU) = 1,000 [L]</t>
  </si>
  <si>
    <t xml:space="preserve"> Staničení: 0,85257 - 0,85257: 1 (2kD$k$GE6S8W0000000XII) = 1,000 [M]</t>
  </si>
  <si>
    <t xml:space="preserve"> Staničení: 0,85257 - 0,85257: 1 (2kD$k$GE6S8W0000000XJ_) = 1,000 [N]</t>
  </si>
  <si>
    <t xml:space="preserve"> Staničení: 0,85257 - 0,85257: 1 (2kD$k$GE6S8W0000000XKM) = 1,000 [O]</t>
  </si>
  <si>
    <t xml:space="preserve"> Staničení: 0,85257 - 0,85257: 1 (2kD$k$GE6S8W0000000XI6) = 1,000 [P]</t>
  </si>
  <si>
    <t xml:space="preserve"> Staničení: 0,85257 - 0,85257: 1 (2kD$k$GE6S8W0000000XGa) = 1,000 [Q]</t>
  </si>
  <si>
    <t xml:space="preserve"> Staničení: 0,85257 - 0,85257: 1 (2kD$k$GE6S8W0000000XL6) = 1,000 [R]</t>
  </si>
  <si>
    <t xml:space="preserve"> Celkové množství 18.000000 = 18,000 [S]</t>
  </si>
  <si>
    <t>184B15</t>
  </si>
  <si>
    <t>VYSAZOVÁNÍ STROMŮ LISTNATÝCH S BALEM OBVOD KMENE DO 16CM, PODCHOZÍ VÝŠ MIN 2,4M</t>
  </si>
  <si>
    <t>Kategorie stavebního výrobku:
Klasifikace dle CCI:
Podrobná specifikace:
výsadba mezi 3 odkorněné kůly tl. 0.07m, součástí záboru stavby, kód v situaci: TIC:
Reference:
ČSN 83 9021, technická zpráva, situace NV:
Specifikace:
vysokokmen s balem, velikost sazenic 14-16, sázení do jam velikost 0.7x0.7m, hl. 0.8m:
Stavební výrobek:
tilia cordata:
Typ stavebního výrobku:
strom náhradní výsadby:
Výrobce:
Nd:</t>
  </si>
  <si>
    <t xml:space="preserve"> Staničení: 0,07 - 0,07: 1 (2kD$k$GE6S8W0000000WEL) = 1,000 [A]</t>
  </si>
  <si>
    <t xml:space="preserve"> Staničení: 0,18286 - 0,18286: 1 (2kD$k$GE6S8W0000000WEM) = 1,000 [B]</t>
  </si>
  <si>
    <t xml:space="preserve"> Staničení: 0,03 - 0,03: 1 (2kD$k$GE6S8W0000000WEH) = 1,000 [C]</t>
  </si>
  <si>
    <t xml:space="preserve"> Staničení: 0,04 - 0,04: 1 (2kD$k$GE6S8W0000000WEI) = 1,000 [D]</t>
  </si>
  <si>
    <t xml:space="preserve"> Staničení: 0,23799 - 0,23799: 1 (2kD$k$GE6S8W0000000WEQ) = 1,000 [E]</t>
  </si>
  <si>
    <t xml:space="preserve"> Staničení: 0,05 - 0,05: 1 (2kD$k$GE6S8W0000000WEJ) = 1,000 [F]</t>
  </si>
  <si>
    <t xml:space="preserve"> Staničení: 0,86 - 0,86: 1 (2kD$k$GE6S8W0000000WE_) = 1,000 [G]</t>
  </si>
  <si>
    <t xml:space="preserve"> Staničení: 0,01 - 0,01: 1 (2kD$k$GE6S8W0000000WEF) = 1,000 [H]</t>
  </si>
  <si>
    <t xml:space="preserve"> Staničení: 0,22758 - 0,22758: 1 (2kD$k$GE6S8W0000000WEP) = 1,000 [I]</t>
  </si>
  <si>
    <t xml:space="preserve"> Staničení: 0,02 - 0,02: 1 (2kD$k$GE6S8W0000000WEG) = 1,000 [J]</t>
  </si>
  <si>
    <t xml:space="preserve"> Staničení: 0,17313 - 0,17313: 1 (2kD$k$GE6S8W0000000WEN) = 1,000 [K]</t>
  </si>
  <si>
    <t xml:space="preserve"> Staničení: 0,85257 - 0,85257: 1 (2kD$k$GE6S8W0000000WEz) = 1,000 [L]</t>
  </si>
  <si>
    <t xml:space="preserve"> Staničení: 0,21763 - 0,21763: 1 (2kD$k$GE6S8W0000000WEO) = 1,000 [M]</t>
  </si>
  <si>
    <t xml:space="preserve"> Staničení: 0,06 - 0,06: 1 (2kD$k$GE6S8W0000000WEK) = 1,000 [N]</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</si>
  <si>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</si>
  <si>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Kategorie stavebního výrobku:
Klasifikace dle CCI:
Podrobná specifikace:
výsadba mezi 3 odkorněné kůly tl. 0.07m, mimo hranice stavby v k.ú. Jamné u Jihlavy, p.p.č 1769 a 1775:
Reference:
ČSN 83 9021, technická zpráva, situace NV:
Specifikace:
vysokokmen s balem, velikost sazenic 14-16, sázení do jam velikost 0.7x0.7m, hl. 0.8m:
Stavební výrobek:
acer platanoides:
Typ stavebního výrobku:
strom náhradní výsadby:
Výrobce:
Nd:</t>
  </si>
  <si>
    <t xml:space="preserve"> Staničení: 0,52045 - 0,52045: 21 (2ROzpdHdh$EG0000000Wn1) = 21,000 [A]</t>
  </si>
  <si>
    <t xml:space="preserve"> Celkové množství 21.000000 = 21,000 [B]</t>
  </si>
  <si>
    <t>Kategorie stavebního výrobku:
Klasifikace dle CCI:
Podrobná specifikace:
výsadba mezi 3 odkorněné kůly tl. 0.07m, součástí záboru stavby, kód v situaci: APL:
Reference:
ČSN 83 9021, technická zpráva, situace NV:
Specifikace:
vysokokmen s balem, velikost sazenic 14-16, sázení do jam velikost 0.7x0.7m, hl. 0.8m:
Stavební výrobek:
acer platanoides:
Typ stavebního výrobku:
strom náhradní výsadby:
Výrobce:
Nd:</t>
  </si>
  <si>
    <t xml:space="preserve"> Staničení: 0,55019 - 0,55019: 1 (2kD$k$GE6S8W0000000WEh) = 1,000 [A]</t>
  </si>
  <si>
    <t xml:space="preserve"> Staničení: 0,51127 - 0,51127: 1 (2kD$k$GE6S8W0000000WEm) = 1,000 [B]</t>
  </si>
  <si>
    <t xml:space="preserve"> Staničení: 0,52865 - 0,52865: 1 (2kD$k$GE6S8W0000000WEb) = 1,000 [C]</t>
  </si>
  <si>
    <t xml:space="preserve"> Staničení: 0,50349 - 0,50349: 1 (2kD$k$GE6S8W0000000WEn) = 1,000 [D]</t>
  </si>
  <si>
    <t xml:space="preserve"> Staničení: 0,54241 - 0,54241: 1 (2kD$k$GE6S8W0000000WEi) = 1,000 [E]</t>
  </si>
  <si>
    <t xml:space="preserve"> Staničení: 0,53463 - 0,53463: 1 (2kD$k$GE6S8W0000000WEj) = 1,000 [F]</t>
  </si>
  <si>
    <t xml:space="preserve"> Staničení: 0,49569 - 0,49569: 1 (2kD$k$GE6S8W0000000WEo) = 1,000 [G]</t>
  </si>
  <si>
    <t xml:space="preserve"> Staničení: 0,60364 - 0,60364: 1 (2kD$k$GE6S8W0000000WEr) = 1,000 [H]</t>
  </si>
  <si>
    <t xml:space="preserve"> Staničení: 0,52684 - 0,52684: 1 (2kD$k$GE6S8W0000000WEk) = 1,000 [I]</t>
  </si>
  <si>
    <t xml:space="preserve"> Staničení: 0,61184 - 0,61184: 1 (2kD$k$GE6S8W0000000WEs) = 1,000 [J]</t>
  </si>
  <si>
    <t xml:space="preserve"> Staničení: 0,58725 - 0,58725: 1 (2kD$k$GE6S8W0000000WEp) = 1,000 [K]</t>
  </si>
  <si>
    <t xml:space="preserve"> Staničení: 0,51226 - 0,51226: 1 (2kD$k$GE6S8W0000000WEZ) = 1,000 [L]</t>
  </si>
  <si>
    <t xml:space="preserve"> Staničení: 0,59544 - 0,59544: 1 (2kD$k$GE6S8W0000000WEq) = 1,000 [M]</t>
  </si>
  <si>
    <t xml:space="preserve"> Staničení: 0,55797 - 0,55797: 1 (2kD$k$GE6S8W0000000WEg) = 1,000 [N]</t>
  </si>
  <si>
    <t xml:space="preserve"> Staničení: 0,53685 - 0,53685: 1 (2kD$k$GE6S8W0000000WEc) = 1,000 [O]</t>
  </si>
  <si>
    <t xml:space="preserve"> Staničení: 0,54505 - 0,54505: 1 (2kD$k$GE6S8W0000000WEd) = 1,000 [P]</t>
  </si>
  <si>
    <t xml:space="preserve"> Staničení: 0,49585 - 0,49585: 1 (2kD$k$GE6S8W0000000WEX) = 1,000 [Q]</t>
  </si>
  <si>
    <t xml:space="preserve"> Staničení: 0,55325 - 0,55325: 1 (2kD$k$GE6S8W0000000WEe) = 1,000 [R]</t>
  </si>
  <si>
    <t xml:space="preserve"> Staničení: 0,50406 - 0,50406: 1 (2kD$k$GE6S8W0000000WEY) = 1,000 [S]</t>
  </si>
  <si>
    <t xml:space="preserve"> Staničení: 0,51906 - 0,51906: 1 (2kD$k$GE6S8W0000000WEl) = 1,000 [T]</t>
  </si>
  <si>
    <t xml:space="preserve"> Staničení: 0,52045 - 0,52045: 1 (2kD$k$GE6S8W0000000WEa) = 1,000 [U]</t>
  </si>
  <si>
    <t xml:space="preserve"> Staničení: 0,56146 - 0,56146: 1 (2kD$k$GE6S8W0000000WEf) = 1,000 [V]</t>
  </si>
  <si>
    <t xml:space="preserve"> Celkové množství 22.000000 = 22,000 [W]</t>
  </si>
  <si>
    <t>184D16</t>
  </si>
  <si>
    <t>VYSAZOVÁNÍ STROMŮ JEHLIČNATÝCH S BALEM VÝŠKY KMENE PŘES 1,75M</t>
  </si>
  <si>
    <t>Kategorie stavebního výrobku:
Klasifikace dle CCI:
Podrobná specifikace:
výsadba mezi 3 odkorněné kůly tl. 0.07m, součástí záboru stavby, kód v situaci: PINS:
Reference:
ČSN 83 9021, technická zpráva, situace NV:
Specifikace:
solitérní pyramida, velikost sazenic 150/200, sázení s balem do jam velikost 0.7x0.7m, hl. 0.8m:
Stavební výrobek:
pinus sylvestris:
Typ stavebního výrobku:
strom náhradní výsadby:
Výrobce:
Nd:</t>
  </si>
  <si>
    <t xml:space="preserve"> Staničení: 0,57327 - 0,57327: 1 (2kD$k$GE6S8W0000000WEU) = 1,000 [A]</t>
  </si>
  <si>
    <t xml:space="preserve"> Staničení: 0,57111 - 0,57111: 1 (2kD$k$GE6S8W0000000WEV) = 1,000 [B]</t>
  </si>
  <si>
    <t xml:space="preserve"> Staničení: 0,4877 - 0,4877: 1 (2kD$k$GE6S8W0000000WER) = 1,000 [C]</t>
  </si>
  <si>
    <t xml:space="preserve"> Staničení: 0,57727 - 0,57727: 1 (2kD$k$GE6S8W0000000WEW) = 1,000 [D]</t>
  </si>
  <si>
    <t xml:space="preserve"> Staničení: 0,47814 - 0,47814: 1 (2kD$k$GE6S8W0000000WES) = 1,000 [E]</t>
  </si>
  <si>
    <t xml:space="preserve"> Staničení: 0,48596 - 0,48596: 1 (2kD$k$GE6S8W0000000WET) = 1,000 [F]</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</si>
  <si>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</si>
  <si>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11110</t>
  </si>
  <si>
    <t>ODSTRANĚNÍ TRAVIN</t>
  </si>
  <si>
    <t>plocha stanovena odhadem
odstranění vzrostlých travin na ploše bývalého lesa.</t>
  </si>
  <si>
    <t xml:space="preserve"> 50% plochy po vykáceném lese 13000*0,50 = 6500,000 [A]</t>
  </si>
  <si>
    <t>odstranění travin bez ohledu na způsob provedení
přemístění travin s uložením na hromady</t>
  </si>
  <si>
    <t>ODSTRANĚNÍ KŘOVIN S ODVOZEM DO 16KM</t>
  </si>
  <si>
    <t>plocha stanovena odhadem
smýcení náletů na ploše bývalého lesa.
Do smýcení křovin bude zahrnuta i plocha za oplocenkou, která je součástí trvalého záboru stavby. Položka zahrnuje i úpravu oplocenky do nové pozice mimo zábor stavby. V případě dostatečného zajištění stromů za oplocenkou (myšleno odolnost stromů proti okusu zvěří) nebude obnova oplocenky po stavbě nutná. Stav zajištění mladých stromů potvrdí revírník LČR při předání staveniště).
Položka bude fakturována na základě skutečného množství odstraňovaných pařezů, kácených stromů a smýcených ploch keřů. Odvoz a likvidaci pařezů a smýcených křovin a náletů zajistí zhotovitel stavby.</t>
  </si>
  <si>
    <t xml:space="preserve"> 50% z plochy po vykáceném lese 13000*0,50 = 6500,000 [A]</t>
  </si>
  <si>
    <t>odstranění křovin a stromů do průměru 100 mm
doprava dřevin na předepsanou vzdálenost
spálení na hromadách nebo štěpkování</t>
  </si>
  <si>
    <t>112227</t>
  </si>
  <si>
    <t>ODSTRANĚNÍ PAŘEZŮ D DO 0,9M, ODVOZ DO 16KM</t>
  </si>
  <si>
    <t>Stanovení počtu proběhlo odhadem.
Položka bude fakturována na základě skutečného množství odstraňovaných pařezů, kácených stromů a smýcených ploch keřů. Odvoz a likvidaci pařezů a smýcených křovin a náletů zajistí zhotovitel stavby.</t>
  </si>
  <si>
    <t xml:space="preserve"> 450 = 450,000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</si>
  <si>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</si>
  <si>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112237</t>
  </si>
  <si>
    <t>ODSTRANĚNÍ PAŘEZŮ D PŘES 0,9M, ODVOZ DO 16KM</t>
  </si>
  <si>
    <t xml:space="preserve"> 50 = 50,000 [A]</t>
  </si>
  <si>
    <t>18600</t>
  </si>
  <si>
    <t>ZALÉVÁNÍ VODOU</t>
  </si>
  <si>
    <t>3x10l/ks - keře; 3x20l/ks - stromy; První zálivka je součástí položky výsadby.
Po dobu realizace stavby do jejího převzetí objednatelem.</t>
  </si>
  <si>
    <t xml:space="preserve"> keře z pol. č. 181A1 18*2*10/1000 = 0,360 [A]</t>
  </si>
  <si>
    <t xml:space="preserve"> stromy z pol. č.184B15.1 14*2*20/1000 = 0,560 [B]</t>
  </si>
  <si>
    <t xml:space="preserve"> stromy z pol. č.184B15.2 21*2*20/1000 = 0,840 [C]</t>
  </si>
  <si>
    <t xml:space="preserve"> stromy z pol. č.184B15.3 22*2*20/1000 = 0,880 [D]</t>
  </si>
  <si>
    <t xml:space="preserve"> stromy z pol. č.184D16 6*2*20/1000 = 0,240 [E]</t>
  </si>
  <si>
    <t xml:space="preserve"> keře podél PHS SO 601 a SO 701 (162+166)*2*10/1000 = 6,560 [F]</t>
  </si>
  <si>
    <t xml:space="preserve"> Celkové množství 9.440000 = 9,440 [G]</t>
  </si>
  <si>
    <t>položka zahrnuje veškerý materiál, výrobky a polotovary, včetně mimostaveništní a vnitrostaveništní dopravy (rovněž přesuny), včetně naložení a složení, případně s uložením</t>
  </si>
  <si>
    <t>113166</t>
  </si>
  <si>
    <t>ODSTRANĚNÍ KRYTU ZPEVNĚNÝCH PLOCH ZE SILNIČNÍCH DÍLCŮ, ODVOZ DO 12KM</t>
  </si>
  <si>
    <t>Materiál:
silniční dílce ŽB:
podrobná specifikace:
železobetonové silniční dílce CD 3000/1000/180 mm:
Reference:
ČSN 73 6131, D.18.4 vzorové řezy, D.18.1 technická zpráva:
specifikace:
železobetonové silniční dílce CD 3000/1000/180 mm, lože ŠDa fr. 4/8:</t>
  </si>
  <si>
    <t xml:space="preserve"> Staničení: 0,00569 - 0,01742: 4,23981711961481 (2xEKKN7$KKP00000000WHX) = 4,240 [A]</t>
  </si>
  <si>
    <t xml:space="preserve"> Staničení: 0,21391 - 0,24332: 10,5872146333538 (2xEKKN7$KKP00000000WJV) = 10,587 [B]</t>
  </si>
  <si>
    <t xml:space="preserve"> Staničení: 0,00569 - 0,01742: 5,28887388673969 (2xEKKN7$KKP00000000WI4) = 5,289 [C]</t>
  </si>
  <si>
    <t xml:space="preserve"> Staničení: 0,21391 - 0,24332: 33,3308254952481 (2xEKKN7$KKP00000000WJq) = 33,331 [D]</t>
  </si>
  <si>
    <t xml:space="preserve"> Staničení: 0,01742 - 0,21391: 70,6225116225665 (2xEKKN7$KKP00000000WIP) = 70,623 [E]</t>
  </si>
  <si>
    <t xml:space="preserve"> Staničení: 0,00184 - 0,00569: 0,716081240666212 (2xEKKN7$KKP00000000WG_) = 0,716 [F]</t>
  </si>
  <si>
    <t xml:space="preserve"> Staničení: 0,01742 - 0,21391: 76,2905669712126 (2xEKKN7$KKP00000000WIk) = 76,291 [G]</t>
  </si>
  <si>
    <t xml:space="preserve"> Celkové množství 201.077000 = 201,077 [H]</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</si>
  <si>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</si>
  <si>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ODSTRAN PODKL ZPEVNĚNÝCH PLOCH Z KAMENIVA NESTMEL, ODVOZ DO 2KM</t>
  </si>
  <si>
    <t>Materiál:
ŠDB:
podrobná specifikace:
GN:
Reference:
ČSN 73 6126-1, D.18.4 vzorové řezy, D.18.1 technická zpráva:
specifikace:
ŠDB fr. 0/32, tl. 200 mm:</t>
  </si>
  <si>
    <t xml:space="preserve"> Staničení: 0,01742 - 0,21391: 13,9130548847702 (2xEKKN7$KKP00000000WJA) = 13,913 [A]</t>
  </si>
  <si>
    <t xml:space="preserve"> Staničení: 0,21391 - 0,24332: 37,0260558290685 (2xEKKN7$KKP00000000WK2) = 37,026 [B]</t>
  </si>
  <si>
    <t xml:space="preserve"> Staničení: 0,01742 - 0,21391: 84,7672966346633 (2xEKKN7$KKP00000000WIy) = 84,767 [C]</t>
  </si>
  <si>
    <t xml:space="preserve"> Staničení: 0,00184 - 0,00569: 0,273041378371141 (2xEKKN7$KKP00000000WHQ) = 0,273 [D]</t>
  </si>
  <si>
    <t xml:space="preserve"> Staničení: 0,00569 - 0,01742: 0,831807879814252 (2xEKKN7$KKP00000000WHz) = 0,832 [E]</t>
  </si>
  <si>
    <t xml:space="preserve"> Staničení: 0,00569 - 0,01742: 4,71090791058596 (2xEKKN7$KKP00000000WHl) = 4,711 [F]</t>
  </si>
  <si>
    <t xml:space="preserve"> Staničení: 0,00569 - 0,01742: 5,87652654082166 (2xEKKN7$KKP00000000WII) = 5,877 [G]</t>
  </si>
  <si>
    <t xml:space="preserve"> Staničení: 0,01742 - 0,21391: 13,6190662936353 (2xEKKN7$KKP00000000WJO) = 13,619 [H]</t>
  </si>
  <si>
    <t xml:space="preserve"> Staničení: 0,01742 - 0,21391: 78,4694573583633 (2xEKKN7$KKP00000000WId) = 78,469 [I]</t>
  </si>
  <si>
    <t xml:space="preserve"> Staničení: 0,21391 - 0,24332: 11,7608985010827 (2xEKKN7$KKP00000000WJj) = 11,761 [J]</t>
  </si>
  <si>
    <t xml:space="preserve"> Staničení: 0,21391 - 0,24332: 2,08591171377823 (2xEKKN7$KKP00000000WKG) = 2,086 [K]</t>
  </si>
  <si>
    <t xml:space="preserve"> Staničení: 0,00184 - 0,00569: 0,683513558997343 (2xEKKN7$KKP00000000WHC) = 0,684 [L]</t>
  </si>
  <si>
    <t xml:space="preserve"> Celkové množství 254.018000 = 254,018 [M]</t>
  </si>
  <si>
    <t>Materiál:
lože:
podrobná specifikace:
fr.4-8 mm, tl. 50 mm:
Reference:
ČSN 73 6131, ČSN 73 6126-1, D.18.4 vzorové řezy, D.18.1 technická zpráva:
specifikace:
lože z drceného kameniva :</t>
  </si>
  <si>
    <t xml:space="preserve"> Staničení: 0,21391 - 0,24332: 0,331987403098771 (2xEKKN7$KKP00000000WK9) = 0,332 [A]</t>
  </si>
  <si>
    <t xml:space="preserve"> Staničení: 0,21391 - 0,24332: 2,94089295371452 (2xEKKN7$KKP00000000WJc) = 2,941 [B]</t>
  </si>
  <si>
    <t xml:space="preserve"> Staničení: 0,00569 - 0,01742: 0,13238802777132 (2xEKKN7$KKP00000000WHs) = 0,132 [C]</t>
  </si>
  <si>
    <t xml:space="preserve"> Staničení: 0,21391 - 0,24332: 9,25856263758411 (2xEKKN7$KKP00000000WJx) = 9,259 [D]</t>
  </si>
  <si>
    <t xml:space="preserve"> Staničení: 0,01742 - 0,21391: 2,21448111311436 (2xEKKN7$KKP00000000WJ3) = 2,214 [E]</t>
  </si>
  <si>
    <t xml:space="preserve"> Staničení: 0,01742 - 0,21391: 19,6173643395918 (2xEKKN7$KKP00000000WIW) = 19,617 [F]</t>
  </si>
  <si>
    <t xml:space="preserve"> Staničení: 0,00184 - 0,00569: 0,198911455734196 (2xEKKN7$KKP00000000WH5) = 0,199 [G]</t>
  </si>
  <si>
    <t xml:space="preserve"> Staničení: 0,01742 - 0,21391: 21,1918241586746 (2xEKKN7$KKP00000000WIr) = 21,192 [H]</t>
  </si>
  <si>
    <t xml:space="preserve"> Staničení: 0,00184 - 0,00569: 0,043456440433233 (2xEKKN7$KKP00000000WHJ) = 0,043 [I]</t>
  </si>
  <si>
    <t xml:space="preserve"> Staničení: 0,00569 - 0,01742: 1,17772697768808 (2xEKKN7$KKP00000000WHe) = 1,178 [J]</t>
  </si>
  <si>
    <t xml:space="preserve"> Staničení: 0,00569 - 0,01742: 1,46913163520788 (2xEKKN7$KKP00000000WIB) = 1,469 [K]</t>
  </si>
  <si>
    <t xml:space="preserve"> Staničení: 0,01742 - 0,21391: 2,20915972703692 (2xEKKN7$KKP00000000WJH) = 2,209 [L]</t>
  </si>
  <si>
    <t xml:space="preserve"> Celkové množství 60.785000 = 60,785 [M]</t>
  </si>
  <si>
    <t>Materiál:
zemina:
podrobná specifikace:
Nd:
Reference:
ČSN 736133, vzorové řezy, technická zpráva:
specifikace:
nesoudržný nenamrzavý materiál vhodný dle ČSN 73 6133:</t>
  </si>
  <si>
    <t xml:space="preserve"> Staničení: 0,00184 - 0,24332: 270,341839397987 (2xEKKN7$KKP00000000WL7) = 270,342 [A]</t>
  </si>
  <si>
    <t xml:space="preserve"> Celkové množství 270.342000 = 270,342 [B]</t>
  </si>
  <si>
    <t xml:space="preserve"> Staničení: 0,00266 - 0,24332: 49,5717812606089 (2xEKKN7$KKP00000000WB4) = 49,572 [A]</t>
  </si>
  <si>
    <t xml:space="preserve"> Celkové množství 49.572000 = 49,572 [B]</t>
  </si>
  <si>
    <t xml:space="preserve"> Staničení: 0,00184 - 0,24332: 176,737740115545 (2xEKKN7$KKP00000000WB3) = 176,738 [A]</t>
  </si>
  <si>
    <t xml:space="preserve"> Celkové množství 176.738000 = 176,738 [B]</t>
  </si>
  <si>
    <t>17130</t>
  </si>
  <si>
    <t>ULOŽENÍ SYPANINY DO NÁSYPŮ V AKTIVNÍ ZÓNĚ SE ZHUTNĚNÍM</t>
  </si>
  <si>
    <t>Materiál:
úprava pláně se zhutněním v zemině I.třídy:
podrobná specifikace:
zhutněná zemní pláň tvořená na zlepšené zemině upravené vápněním, Edef,2=30MPa:
Reference:
ČSN 736133, ČSN EN 72 1006, D.18.4 vzorové řezy, D.18.1 technická zpráva:
specifikace:
úprava zemní pláně se zhutněním dle ČSN 736133, sklony pláně v souladu s ČSN 736101:</t>
  </si>
  <si>
    <t xml:space="preserve"> Staničení: 0,00184 - 0,24: 1316,89804447302 (2xEKKN7$KKP00000000WKo) = 1316,898 [A]</t>
  </si>
  <si>
    <t xml:space="preserve"> Celkové množství 1316.898000 = 1316,898 [B]</t>
  </si>
  <si>
    <t>28997D</t>
  </si>
  <si>
    <t>OPLÁŠTĚNÍ (ZPEVNĚNÍ) Z GEOTEXTILIE DO 400G/M2</t>
  </si>
  <si>
    <t>Materiál:
netkaná geotextilie:
podrobná specifikace:
pevnost v podélném a příčném směru min 10 kN/m, hmotnost min 400g/m2:
Reference:
ČSN EN 13249, ČSN EN ISO 10319, ČSN EN 14227-1.10, TP 97, D.18.4 vzorové řezy, D.18.1 technická zpráva:
specifikace:
Netkaná geotextilie zajišťující separační a filtrační funkci:</t>
  </si>
  <si>
    <t xml:space="preserve"> Staničení: 0,00184 - 0,243: 1398,47131949041 (2xEKKN7$KKP00000000WKn) = 1398,471 [A]</t>
  </si>
  <si>
    <t xml:space="preserve"> Celkové množství 1398.471000 = 1398,471 [B]</t>
  </si>
  <si>
    <t>58302</t>
  </si>
  <si>
    <t>KRYT ZE SILNIČNÍCH DÍLCŮ (PANELŮ) TL 180MM</t>
  </si>
  <si>
    <t xml:space="preserve"> Staničení: 0,00569 - 0,01742: 23,554539553415611111111111111 (2xEKKN7$KKP00000000WHX) = 23,555 [A]</t>
  </si>
  <si>
    <t xml:space="preserve"> Staničení: 0,21391 - 0,24332: 58,817859074187777777777777778 (2xEKKN7$KKP00000000WJV) = 58,818 [B]</t>
  </si>
  <si>
    <t xml:space="preserve"> Staničení: 0,00569 - 0,01742: 29,382632704109388888888888889 (2xEKKN7$KKP00000000WI4) = 29,383 [C]</t>
  </si>
  <si>
    <t xml:space="preserve"> Staničení: 0,21391 - 0,24332: 185,17125275137833333333333333 (2xEKKN7$KKP00000000WJq) = 185,171 [D]</t>
  </si>
  <si>
    <t xml:space="preserve"> Staničení: 0,01742 - 0,21391: 392,34728679203611111111111111 (2xEKKN7$KKP00000000WIP) = 392,347 [E]</t>
  </si>
  <si>
    <t xml:space="preserve"> Staničení: 0,00184 - 0,00569: 3,9782291148122888888888888889 (2xEKKN7$KKP00000000WG_) = 3,978 [F]</t>
  </si>
  <si>
    <t xml:space="preserve"> Staničení: 0,01742 - 0,21391: 423,83648317340333333333333333 (2xEKKN7$KKP00000000WIk) = 423,836 [G]</t>
  </si>
  <si>
    <t xml:space="preserve"> Celkové množství 1117.088000 = 1117,088 [H]</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</si>
  <si>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</si>
  <si>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SO412</t>
  </si>
  <si>
    <t>Přeložka sděl. vedení M-Soft - ŘEŠENO SAMOSTATNOU PD</t>
  </si>
  <si>
    <t>Firma:</t>
  </si>
  <si>
    <t>Stavba: A088/23: II/353 D1 – Rytířsko - Jamné, I.stavba, PD</t>
  </si>
  <si>
    <t>SO001</t>
  </si>
  <si>
    <t>Příprava území</t>
  </si>
  <si>
    <t>SO801</t>
  </si>
  <si>
    <t>Vegetační úpravy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</si>
</sst>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6"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
      <sz val="11"/>
      <name val="Calibri"/>
      <family val="2"/>
      <scheme val="minor"/>
    </font>
    <font>
      <sz val="11"/>
      <color rgb="FFD9D9D9"/>
      <name val="Calibri"/>
      <family val="2"/>
      <charset val="238"/>
      <scheme val="minor"/>
    </font>
    <font>
      <b/>
      <sz val="10"/>
      <color rgb="FF000000"/>
      <name val="Arial"/>
      <family val="2"/>
      <charset val="238"/>
    </font>
    <font>
      <b/>
      <sz val="16"/>
      <color rgb="FF000000"/>
      <name val="Arial"/>
      <family val="2"/>
      <charset val="238"/>
    </font>
    <font>
      <sz val="10"/>
      <color rgb="FFFFFFFF"/>
      <name val="Arial"/>
      <family val="2"/>
      <charset val="238"/>
    </font>
    <font>
      <sz val="10"/>
      <color rgb="FF000000"/>
      <name val="Arial"/>
      <family val="2"/>
      <charset val="238"/>
    </font>
  </fonts>
  <fills count="4">
    <fill>
      <patternFill patternType="none"/>
    </fill>
    <fill>
      <patternFill patternType="gray125"/>
    </fill>
    <fill>
      <patternFill patternType="solid">
        <fgColor rgb="FFD9D9D9"/>
      </patternFill>
    </fill>
    <fill>
      <patternFill patternType="solid">
        <fgColor rgb="FF41A5BD"/>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0">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9" fillId="0" borderId="0">
      <alignment horizontal="left" vertical="center" wrapText="1"/>
    </xf>
    <xf numFmtId="0" fontId="4" fillId="0" borderId="0">
      <alignment horizontal="right" vertical="center" wrapText="1"/>
    </xf>
    <xf numFmtId="0" fontId="10" fillId="0" borderId="0"/>
    <xf numFmtId="0" fontId="12" fillId="0" borderId="0">
      <alignment horizontal="right" vertical="center" wrapText="1"/>
    </xf>
    <xf numFmtId="0" fontId="13" fillId="0" borderId="0">
      <alignment horizontal="left" vertical="center" wrapText="1"/>
    </xf>
    <xf numFmtId="0" fontId="12" fillId="0" borderId="0">
      <alignment horizontal="right" vertical="center" wrapText="1"/>
    </xf>
    <xf numFmtId="0" fontId="14" fillId="0" borderId="0">
      <alignment horizontal="center" vertical="center" wrapText="1"/>
    </xf>
  </cellStyleXfs>
  <cellXfs count="64">
    <xf numFmtId="0" fontId="0" fillId="0" borderId="0" xfId="0"/>
    <xf numFmtId="0" fontId="1" fillId="2" borderId="0" xfId="0" applyFont="1" applyFill="1"/>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6" xfId="0" applyFill="1" applyBorder="1"/>
    <xf numFmtId="0" fontId="6" fillId="2" borderId="5" xfId="6" applyFill="1" applyBorder="1">
      <alignment horizontal="left" vertical="center" wrapText="1"/>
    </xf>
    <xf numFmtId="0" fontId="6" fillId="2" borderId="0" xfId="6"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6" xfId="0" applyBorder="1"/>
    <xf numFmtId="0" fontId="8" fillId="0" borderId="7" xfId="0" applyFont="1"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0" fontId="3" fillId="2" borderId="0" xfId="2" applyFill="1">
      <alignment horizontal="left" vertical="center" wrapText="1"/>
    </xf>
    <xf numFmtId="0" fontId="0" fillId="2" borderId="0" xfId="0" applyFill="1"/>
    <xf numFmtId="0" fontId="6" fillId="2" borderId="0" xfId="6" applyFill="1" applyAlignment="1">
      <alignment horizontal="right" vertical="center" wrapText="1"/>
    </xf>
    <xf numFmtId="0" fontId="0" fillId="2" borderId="0" xfId="0" applyFill="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xf numFmtId="0" fontId="4" fillId="2" borderId="0" xfId="14" applyFill="1">
      <alignment horizontal="right" vertical="center" wrapText="1"/>
    </xf>
    <xf numFmtId="0" fontId="4" fillId="0" borderId="1" xfId="14" applyBorder="1">
      <alignment horizontal="right" vertical="center" wrapText="1"/>
    </xf>
    <xf numFmtId="164" fontId="4" fillId="0" borderId="1" xfId="14" applyNumberFormat="1" applyBorder="1">
      <alignment horizontal="right" vertical="center" wrapText="1"/>
    </xf>
    <xf numFmtId="0" fontId="11" fillId="2" borderId="0" xfId="15" applyFont="1" applyFill="1"/>
    <xf numFmtId="0" fontId="12" fillId="2" borderId="0" xfId="16" applyFill="1">
      <alignment horizontal="right" vertical="center" wrapText="1"/>
    </xf>
    <xf numFmtId="0" fontId="10" fillId="2" borderId="0" xfId="15" applyFill="1"/>
    <xf numFmtId="0" fontId="10" fillId="0" borderId="0" xfId="15"/>
    <xf numFmtId="0" fontId="13" fillId="2" borderId="0" xfId="17" applyFill="1">
      <alignment horizontal="left" vertical="center" wrapText="1"/>
    </xf>
    <xf numFmtId="0" fontId="10" fillId="2" borderId="0" xfId="15" applyFill="1"/>
    <xf numFmtId="0" fontId="12" fillId="2" borderId="0" xfId="18" applyFill="1">
      <alignment horizontal="right" vertical="center" wrapText="1"/>
    </xf>
    <xf numFmtId="164" fontId="12" fillId="2" borderId="0" xfId="18" applyNumberFormat="1" applyFill="1">
      <alignment horizontal="right" vertical="center" wrapText="1"/>
    </xf>
    <xf numFmtId="0" fontId="14" fillId="3" borderId="1" xfId="19" applyFill="1" applyBorder="1">
      <alignment horizontal="center" vertical="center" wrapText="1"/>
    </xf>
    <xf numFmtId="0" fontId="12" fillId="0" borderId="1" xfId="16" applyBorder="1">
      <alignment horizontal="right" vertical="center" wrapText="1"/>
    </xf>
    <xf numFmtId="164" fontId="12" fillId="0" borderId="1" xfId="16" applyNumberFormat="1" applyBorder="1">
      <alignment horizontal="right" vertical="center" wrapText="1"/>
    </xf>
    <xf numFmtId="0" fontId="15" fillId="0" borderId="1" xfId="16" applyFont="1" applyBorder="1">
      <alignment horizontal="right" vertical="center" wrapText="1"/>
    </xf>
  </cellXfs>
  <cellStyles count="20">
    <cellStyle name="NadpisRekapitulaceSoupisPraciStyle" xfId="2" xr:uid="{00000000-0005-0000-0000-000002000000}"/>
    <cellStyle name="NadpisRekapitulaceSoupisPraciStyle 2" xfId="17" xr:uid="{0F038736-87BE-4465-ABBC-EC0957BDE95C}"/>
    <cellStyle name="NadpisStrukturyStyle" xfId="7" xr:uid="{00000000-0005-0000-0000-000007000000}"/>
    <cellStyle name="NadpisySloupcuStyle" xfId="4" xr:uid="{00000000-0005-0000-0000-000004000000}"/>
    <cellStyle name="NadpisySloupcuStyle 2" xfId="19" xr:uid="{31C25CCF-F002-40B1-B521-274A80DE8884}"/>
    <cellStyle name="NormalBoldLeftStyle" xfId="9" xr:uid="{00000000-0005-0000-0000-000009000000}"/>
    <cellStyle name="NormalBoldRightStyle" xfId="10" xr:uid="{00000000-0005-0000-0000-00000A000000}"/>
    <cellStyle name="NormalBoldStyle" xfId="5" xr:uid="{00000000-0005-0000-0000-000005000000}"/>
    <cellStyle name="NormalLeftStyle" xfId="11" xr:uid="{00000000-0005-0000-0000-00000B000000}"/>
    <cellStyle name="Normální" xfId="0" builtinId="0"/>
    <cellStyle name="Normální 2" xfId="15" xr:uid="{51C05AD0-8C50-4B3D-92DC-5E8FD4CF7D88}"/>
    <cellStyle name="NormalRightStyle" xfId="12" xr:uid="{00000000-0005-0000-0000-00000C000000}"/>
    <cellStyle name="NormalStyle" xfId="1" xr:uid="{00000000-0005-0000-0000-000001000000}"/>
    <cellStyle name="NormalStyle 2" xfId="14" xr:uid="{9D7406F7-8285-4EDE-9F02-4154CA444870}"/>
    <cellStyle name="NormalStyle 2 2" xfId="16" xr:uid="{2BD4E43A-5C13-4A3A-B689-2797BF724D87}"/>
    <cellStyle name="PolDoplnInfoStyle" xfId="13" xr:uid="{00000000-0005-0000-0000-00000D000000}"/>
    <cellStyle name="RekapitulaceCenyStyle" xfId="3" xr:uid="{00000000-0005-0000-0000-000003000000}"/>
    <cellStyle name="RekapitulaceCenyStyle 2" xfId="18" xr:uid="{1A2F6C3A-17EE-42B2-A26C-8BF82CB0894D}"/>
    <cellStyle name="StavbaRozpocetHeaderStyle" xfId="6" xr:uid="{00000000-0005-0000-0000-000006000000}"/>
    <cellStyle name="StavebniDilStyle" xfId="8" xr:uid="{00000000-0005-0000-0000-000008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9560" cy="289560"/>
    <xdr:pic>
      <xdr:nvPicPr>
        <xdr:cNvPr id="2" name="Picture 1">
          <a:extLst>
            <a:ext uri="{FF2B5EF4-FFF2-40B4-BE49-F238E27FC236}">
              <a16:creationId xmlns:a16="http://schemas.microsoft.com/office/drawing/2014/main" id="{01C0400F-76E1-49F0-A775-233309D56A39}"/>
            </a:ext>
          </a:extLst>
        </xdr:cNvPr>
        <xdr:cNvPicPr>
          <a:picLocks noChangeAspect="1"/>
        </xdr:cNvPicPr>
      </xdr:nvPicPr>
      <xdr:blipFill>
        <a:blip xmlns:r="http://schemas.openxmlformats.org/officeDocument/2006/relationships" r:embed="rId1"/>
        <a:stretch>
          <a:fillRect/>
        </a:stretch>
      </xdr:blipFill>
      <xdr:spPr>
        <a:xfrm>
          <a:off x="0" y="0"/>
          <a:ext cx="289560" cy="2895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D3F6C6D1-234F-488F-86DA-3E9BCB7903F9}"/>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IK-HK\II_353_D1-Ryt&#237;&#345;sko-Jamn&#233;\PDPS\Pracovni\F_SOUVISEJICI_DOKUMENTACE\F.4_SOUPIS_PRACI\export_DJ\PDPS_F.4.1_R000_2024-06_SOUPIS_PRACI_SLOUCENY_NEOCENENY_Excel.xlsx" TargetMode="External"/><Relationship Id="rId1" Type="http://schemas.openxmlformats.org/officeDocument/2006/relationships/externalLinkPath" Target="/DIK-HK/II_353_D1-Ryt&#237;&#345;sko-Jamn&#233;/PDPS/Pracovni/F_SOUVISEJICI_DOKUMENTACE/F.4_SOUPIS_PRACI/export_DJ/PDPS_F.4.1_R000_2024-06_SOUPIS_PRACI_SLOUCENY_NEOCENENY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bez_cen"/>
      <sheetName val="Rekapitulace_bez_nazvu_SO"/>
      <sheetName val="SO 000"/>
      <sheetName val="SO001a"/>
      <sheetName val="SO001b"/>
      <sheetName val="SO002"/>
      <sheetName val="SO051"/>
      <sheetName val="SO052"/>
      <sheetName val="SO053"/>
      <sheetName val="SO101101.01"/>
      <sheetName val="SO101101.02"/>
      <sheetName val="SO101101.03"/>
      <sheetName val="SO101101.04"/>
      <sheetName val="SO101101.05"/>
      <sheetName val="SO102102.01"/>
      <sheetName val="SO102102.02"/>
      <sheetName val="SO102102.03"/>
      <sheetName val="SO102102.04"/>
      <sheetName val="SO102102.05"/>
      <sheetName val="SO103103.01"/>
      <sheetName val="SO103103.02"/>
      <sheetName val="SO104"/>
      <sheetName val="SO105"/>
      <sheetName val="SO108108.01"/>
      <sheetName val="SO108108.02"/>
      <sheetName val="SO141"/>
      <sheetName val="SO142"/>
      <sheetName val="SO301301.01"/>
      <sheetName val="SO301301.02"/>
      <sheetName val="SO402"/>
      <sheetName val="SO412"/>
      <sheetName val="SO413"/>
      <sheetName val="SO601"/>
      <sheetName val="SO701"/>
      <sheetName val="SO801a"/>
      <sheetName val="SO801b"/>
      <sheetName val="SO801c"/>
      <sheetName val="SO901"/>
    </sheetNames>
    <sheetDataSet>
      <sheetData sheetId="0"/>
      <sheetData sheetId="1"/>
      <sheetData sheetId="2">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TS</v>
          </cell>
        </row>
        <row r="13">
          <cell r="A13" t="str">
            <v>P</v>
          </cell>
          <cell r="O13">
            <v>0</v>
          </cell>
        </row>
        <row r="14">
          <cell r="A14" t="str">
            <v>PP</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TS</v>
          </cell>
        </row>
        <row r="23">
          <cell r="A23" t="str">
            <v>P</v>
          </cell>
          <cell r="O23">
            <v>0</v>
          </cell>
        </row>
        <row r="24">
          <cell r="A24" t="str">
            <v>PP</v>
          </cell>
        </row>
        <row r="25">
          <cell r="A25" t="str">
            <v>VV</v>
          </cell>
        </row>
        <row r="26">
          <cell r="A26" t="str">
            <v>TS</v>
          </cell>
        </row>
        <row r="27">
          <cell r="A27" t="str">
            <v>P</v>
          </cell>
          <cell r="O27">
            <v>0</v>
          </cell>
        </row>
        <row r="28">
          <cell r="A28" t="str">
            <v>PP</v>
          </cell>
        </row>
        <row r="29">
          <cell r="A29" t="str">
            <v>VV</v>
          </cell>
        </row>
        <row r="30">
          <cell r="A30" t="str">
            <v>TS</v>
          </cell>
        </row>
        <row r="31">
          <cell r="A31" t="str">
            <v>P</v>
          </cell>
          <cell r="O31">
            <v>0</v>
          </cell>
        </row>
        <row r="32">
          <cell r="A32" t="str">
            <v>PP</v>
          </cell>
        </row>
        <row r="33">
          <cell r="A33" t="str">
            <v>VV</v>
          </cell>
        </row>
        <row r="34">
          <cell r="A34" t="str">
            <v>TS</v>
          </cell>
        </row>
        <row r="35">
          <cell r="A35" t="str">
            <v>P</v>
          </cell>
          <cell r="O35">
            <v>0</v>
          </cell>
        </row>
        <row r="36">
          <cell r="A36" t="str">
            <v>PP</v>
          </cell>
        </row>
        <row r="37">
          <cell r="A37" t="str">
            <v>VV</v>
          </cell>
        </row>
        <row r="38">
          <cell r="A38" t="str">
            <v>TS</v>
          </cell>
        </row>
        <row r="39">
          <cell r="A39" t="str">
            <v>P</v>
          </cell>
          <cell r="O39">
            <v>0</v>
          </cell>
        </row>
        <row r="40">
          <cell r="A40" t="str">
            <v>PP</v>
          </cell>
        </row>
        <row r="41">
          <cell r="A41" t="str">
            <v>VV</v>
          </cell>
        </row>
        <row r="42">
          <cell r="A42" t="str">
            <v>TS</v>
          </cell>
        </row>
        <row r="43">
          <cell r="A43" t="str">
            <v>P</v>
          </cell>
          <cell r="O43">
            <v>0</v>
          </cell>
        </row>
        <row r="44">
          <cell r="A44" t="str">
            <v>PP</v>
          </cell>
        </row>
        <row r="45">
          <cell r="A45" t="str">
            <v>VV</v>
          </cell>
        </row>
        <row r="46">
          <cell r="A46" t="str">
            <v>TS</v>
          </cell>
        </row>
        <row r="47">
          <cell r="A47" t="str">
            <v>P</v>
          </cell>
          <cell r="O47">
            <v>0</v>
          </cell>
        </row>
        <row r="48">
          <cell r="A48" t="str">
            <v>PP</v>
          </cell>
        </row>
        <row r="49">
          <cell r="A49" t="str">
            <v>VV</v>
          </cell>
        </row>
        <row r="50">
          <cell r="A50" t="str">
            <v>TS</v>
          </cell>
        </row>
        <row r="51">
          <cell r="A51" t="str">
            <v>P</v>
          </cell>
          <cell r="O51">
            <v>0</v>
          </cell>
        </row>
        <row r="52">
          <cell r="A52" t="str">
            <v>PP</v>
          </cell>
        </row>
        <row r="53">
          <cell r="A53" t="str">
            <v>VV</v>
          </cell>
        </row>
        <row r="54">
          <cell r="A54" t="str">
            <v>TS</v>
          </cell>
        </row>
        <row r="55">
          <cell r="A55" t="str">
            <v>P</v>
          </cell>
          <cell r="O55">
            <v>0</v>
          </cell>
        </row>
        <row r="56">
          <cell r="A56" t="str">
            <v>PP</v>
          </cell>
        </row>
        <row r="57">
          <cell r="A57" t="str">
            <v>VV</v>
          </cell>
        </row>
        <row r="58">
          <cell r="A58" t="str">
            <v>TS</v>
          </cell>
        </row>
        <row r="59">
          <cell r="A59" t="str">
            <v>P</v>
          </cell>
          <cell r="O59">
            <v>0</v>
          </cell>
        </row>
        <row r="60">
          <cell r="A60" t="str">
            <v>PP</v>
          </cell>
        </row>
        <row r="61">
          <cell r="A61" t="str">
            <v>VV</v>
          </cell>
        </row>
        <row r="62">
          <cell r="A62" t="str">
            <v>TS</v>
          </cell>
        </row>
        <row r="63">
          <cell r="A63" t="str">
            <v>P</v>
          </cell>
          <cell r="O63">
            <v>0</v>
          </cell>
        </row>
        <row r="64">
          <cell r="A64" t="str">
            <v>PP</v>
          </cell>
        </row>
        <row r="65">
          <cell r="A65" t="str">
            <v>VV</v>
          </cell>
        </row>
        <row r="66">
          <cell r="A66" t="str">
            <v>TS</v>
          </cell>
        </row>
        <row r="67">
          <cell r="A67" t="str">
            <v>P</v>
          </cell>
          <cell r="O67">
            <v>0</v>
          </cell>
        </row>
        <row r="68">
          <cell r="A68" t="str">
            <v>PP</v>
          </cell>
        </row>
        <row r="69">
          <cell r="A69" t="str">
            <v>VV</v>
          </cell>
        </row>
        <row r="70">
          <cell r="A70" t="str">
            <v>TS</v>
          </cell>
        </row>
        <row r="71">
          <cell r="A71" t="str">
            <v>P</v>
          </cell>
          <cell r="O71">
            <v>0</v>
          </cell>
        </row>
        <row r="72">
          <cell r="A72" t="str">
            <v>PP</v>
          </cell>
        </row>
        <row r="73">
          <cell r="A73" t="str">
            <v>VV</v>
          </cell>
        </row>
        <row r="74">
          <cell r="A74" t="str">
            <v>TS</v>
          </cell>
        </row>
        <row r="75">
          <cell r="A75" t="str">
            <v>P</v>
          </cell>
          <cell r="O75">
            <v>0</v>
          </cell>
        </row>
        <row r="76">
          <cell r="A76" t="str">
            <v>PP</v>
          </cell>
        </row>
        <row r="77">
          <cell r="A77" t="str">
            <v>VV</v>
          </cell>
        </row>
        <row r="78">
          <cell r="A78" t="str">
            <v>TS</v>
          </cell>
        </row>
        <row r="79">
          <cell r="A79" t="str">
            <v>P</v>
          </cell>
          <cell r="O79">
            <v>0</v>
          </cell>
        </row>
        <row r="80">
          <cell r="A80" t="str">
            <v>PP</v>
          </cell>
        </row>
        <row r="81">
          <cell r="A81" t="str">
            <v>VV</v>
          </cell>
        </row>
        <row r="82">
          <cell r="A82" t="str">
            <v>TS</v>
          </cell>
        </row>
        <row r="83">
          <cell r="A83" t="str">
            <v>P</v>
          </cell>
          <cell r="O83">
            <v>0</v>
          </cell>
        </row>
        <row r="84">
          <cell r="A84" t="str">
            <v>PP</v>
          </cell>
        </row>
        <row r="85">
          <cell r="A85" t="str">
            <v>VV</v>
          </cell>
        </row>
        <row r="86">
          <cell r="A86" t="str">
            <v>TS</v>
          </cell>
        </row>
        <row r="87">
          <cell r="A87" t="str">
            <v>P</v>
          </cell>
          <cell r="O87">
            <v>0</v>
          </cell>
        </row>
        <row r="88">
          <cell r="A88" t="str">
            <v>PP</v>
          </cell>
        </row>
        <row r="89">
          <cell r="A89" t="str">
            <v>VV</v>
          </cell>
        </row>
        <row r="90">
          <cell r="A90" t="str">
            <v>TS</v>
          </cell>
        </row>
        <row r="91">
          <cell r="A91" t="str">
            <v>P</v>
          </cell>
          <cell r="O91">
            <v>0</v>
          </cell>
        </row>
        <row r="92">
          <cell r="A92" t="str">
            <v>PP</v>
          </cell>
        </row>
        <row r="93">
          <cell r="A93" t="str">
            <v>VV</v>
          </cell>
        </row>
        <row r="94">
          <cell r="A94" t="str">
            <v>TS</v>
          </cell>
        </row>
        <row r="95">
          <cell r="A95" t="str">
            <v>P</v>
          </cell>
          <cell r="O95">
            <v>0</v>
          </cell>
        </row>
        <row r="96">
          <cell r="A96" t="str">
            <v>PP</v>
          </cell>
        </row>
        <row r="97">
          <cell r="A97" t="str">
            <v>VV</v>
          </cell>
        </row>
        <row r="98">
          <cell r="A98" t="str">
            <v>TS</v>
          </cell>
        </row>
        <row r="99">
          <cell r="A99" t="str">
            <v>P</v>
          </cell>
          <cell r="O99">
            <v>0</v>
          </cell>
        </row>
        <row r="100">
          <cell r="A100" t="str">
            <v>PP</v>
          </cell>
        </row>
        <row r="101">
          <cell r="A101" t="str">
            <v>VV</v>
          </cell>
        </row>
        <row r="102">
          <cell r="A102" t="str">
            <v>TS</v>
          </cell>
        </row>
        <row r="103">
          <cell r="A103" t="str">
            <v>P</v>
          </cell>
          <cell r="O103">
            <v>0</v>
          </cell>
        </row>
        <row r="104">
          <cell r="A104" t="str">
            <v>PP</v>
          </cell>
        </row>
        <row r="105">
          <cell r="A105" t="str">
            <v>VV</v>
          </cell>
        </row>
        <row r="106">
          <cell r="A106" t="str">
            <v>TS</v>
          </cell>
        </row>
        <row r="107">
          <cell r="A107" t="str">
            <v>P</v>
          </cell>
          <cell r="O107">
            <v>0</v>
          </cell>
        </row>
        <row r="108">
          <cell r="A108" t="str">
            <v>PP</v>
          </cell>
        </row>
        <row r="109">
          <cell r="A109" t="str">
            <v>VV</v>
          </cell>
        </row>
        <row r="110">
          <cell r="A110" t="str">
            <v>TS</v>
          </cell>
        </row>
        <row r="111">
          <cell r="A111" t="str">
            <v>P</v>
          </cell>
          <cell r="O111">
            <v>0</v>
          </cell>
        </row>
        <row r="112">
          <cell r="A112" t="str">
            <v>PP</v>
          </cell>
        </row>
        <row r="113">
          <cell r="A113" t="str">
            <v>VV</v>
          </cell>
        </row>
        <row r="114">
          <cell r="A114" t="str">
            <v>TS</v>
          </cell>
        </row>
        <row r="115">
          <cell r="A115" t="str">
            <v>P</v>
          </cell>
          <cell r="O115">
            <v>0</v>
          </cell>
        </row>
        <row r="116">
          <cell r="A116" t="str">
            <v>PP</v>
          </cell>
        </row>
        <row r="117">
          <cell r="A117" t="str">
            <v>VV</v>
          </cell>
        </row>
        <row r="118">
          <cell r="A118" t="str">
            <v>TS</v>
          </cell>
        </row>
        <row r="119">
          <cell r="A119" t="str">
            <v>SD</v>
          </cell>
        </row>
        <row r="120">
          <cell r="A120" t="str">
            <v>P</v>
          </cell>
          <cell r="O120">
            <v>0</v>
          </cell>
        </row>
        <row r="121">
          <cell r="A121" t="str">
            <v>PP</v>
          </cell>
        </row>
        <row r="122">
          <cell r="A122" t="str">
            <v>VV</v>
          </cell>
        </row>
        <row r="123">
          <cell r="A123" t="str">
            <v>TS</v>
          </cell>
        </row>
        <row r="124">
          <cell r="A124" t="str">
            <v>P</v>
          </cell>
          <cell r="O124">
            <v>0</v>
          </cell>
        </row>
        <row r="125">
          <cell r="A125" t="str">
            <v>PP</v>
          </cell>
        </row>
        <row r="126">
          <cell r="A126" t="str">
            <v>VV</v>
          </cell>
        </row>
        <row r="127">
          <cell r="A127" t="str">
            <v>TS</v>
          </cell>
        </row>
        <row r="128">
          <cell r="A128" t="str">
            <v>P</v>
          </cell>
          <cell r="O128">
            <v>0</v>
          </cell>
        </row>
        <row r="129">
          <cell r="A129" t="str">
            <v>PP</v>
          </cell>
        </row>
        <row r="130">
          <cell r="A130" t="str">
            <v>VV</v>
          </cell>
        </row>
        <row r="131">
          <cell r="A131" t="str">
            <v>TS</v>
          </cell>
        </row>
        <row r="132">
          <cell r="A132" t="str">
            <v>P</v>
          </cell>
          <cell r="O132">
            <v>0</v>
          </cell>
        </row>
        <row r="133">
          <cell r="A133" t="str">
            <v>PP</v>
          </cell>
        </row>
        <row r="134">
          <cell r="A134" t="str">
            <v>VV</v>
          </cell>
        </row>
        <row r="135">
          <cell r="A135" t="str">
            <v>TS</v>
          </cell>
        </row>
        <row r="136">
          <cell r="A136" t="str">
            <v>SD</v>
          </cell>
        </row>
        <row r="137">
          <cell r="A137" t="str">
            <v>P</v>
          </cell>
          <cell r="O137">
            <v>0</v>
          </cell>
        </row>
        <row r="138">
          <cell r="A138" t="str">
            <v>PP</v>
          </cell>
        </row>
        <row r="139">
          <cell r="A139" t="str">
            <v>VV</v>
          </cell>
        </row>
        <row r="140">
          <cell r="A140" t="str">
            <v>TS</v>
          </cell>
        </row>
        <row r="141">
          <cell r="A141" t="str">
            <v>SD</v>
          </cell>
        </row>
        <row r="142">
          <cell r="A142" t="str">
            <v>P</v>
          </cell>
          <cell r="O142">
            <v>0</v>
          </cell>
        </row>
        <row r="143">
          <cell r="A143" t="str">
            <v>PP</v>
          </cell>
        </row>
        <row r="144">
          <cell r="A144" t="str">
            <v>VV</v>
          </cell>
        </row>
        <row r="145">
          <cell r="A145" t="str">
            <v>TS</v>
          </cell>
        </row>
        <row r="146">
          <cell r="A146" t="str">
            <v>P</v>
          </cell>
          <cell r="O146">
            <v>0</v>
          </cell>
        </row>
        <row r="147">
          <cell r="A147" t="str">
            <v>PP</v>
          </cell>
        </row>
        <row r="148">
          <cell r="A148" t="str">
            <v>VV</v>
          </cell>
        </row>
        <row r="149">
          <cell r="A149" t="str">
            <v>VV</v>
          </cell>
        </row>
        <row r="150">
          <cell r="A150" t="str">
            <v>TS</v>
          </cell>
        </row>
        <row r="151">
          <cell r="A151" t="str">
            <v>P</v>
          </cell>
          <cell r="O151">
            <v>0</v>
          </cell>
        </row>
        <row r="152">
          <cell r="A152" t="str">
            <v>PP</v>
          </cell>
        </row>
        <row r="153">
          <cell r="A153" t="str">
            <v>VV</v>
          </cell>
        </row>
        <row r="154">
          <cell r="A154" t="str">
            <v>TS</v>
          </cell>
        </row>
        <row r="155">
          <cell r="A155" t="str">
            <v>SD</v>
          </cell>
        </row>
        <row r="156">
          <cell r="A156" t="str">
            <v>P</v>
          </cell>
          <cell r="O156">
            <v>0</v>
          </cell>
        </row>
        <row r="157">
          <cell r="A157" t="str">
            <v>PP</v>
          </cell>
        </row>
        <row r="158">
          <cell r="A158" t="str">
            <v>VV</v>
          </cell>
        </row>
        <row r="159">
          <cell r="A159" t="str">
            <v>VV</v>
          </cell>
        </row>
        <row r="160">
          <cell r="A160" t="str">
            <v>VV</v>
          </cell>
        </row>
        <row r="161">
          <cell r="A161" t="str">
            <v>VV</v>
          </cell>
        </row>
        <row r="162">
          <cell r="A162" t="str">
            <v>VV</v>
          </cell>
        </row>
        <row r="163">
          <cell r="A163" t="str">
            <v>VV</v>
          </cell>
        </row>
        <row r="164">
          <cell r="A164" t="str">
            <v>VV</v>
          </cell>
        </row>
        <row r="165">
          <cell r="A165" t="str">
            <v>TS</v>
          </cell>
        </row>
        <row r="166">
          <cell r="A166" t="str">
            <v>P</v>
          </cell>
          <cell r="O166">
            <v>0</v>
          </cell>
        </row>
        <row r="167">
          <cell r="A167" t="str">
            <v>PP</v>
          </cell>
        </row>
        <row r="168">
          <cell r="A168" t="str">
            <v>VV</v>
          </cell>
        </row>
        <row r="169">
          <cell r="A169" t="str">
            <v>VV</v>
          </cell>
        </row>
        <row r="170">
          <cell r="A170" t="str">
            <v>VV</v>
          </cell>
        </row>
        <row r="171">
          <cell r="A171" t="str">
            <v>TS</v>
          </cell>
        </row>
        <row r="172">
          <cell r="A172" t="str">
            <v>P</v>
          </cell>
          <cell r="O172">
            <v>0</v>
          </cell>
        </row>
        <row r="173">
          <cell r="A173" t="str">
            <v>PP</v>
          </cell>
        </row>
        <row r="174">
          <cell r="A174" t="str">
            <v>VV</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TS</v>
          </cell>
        </row>
      </sheetData>
      <sheetData sheetId="3">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TS</v>
          </cell>
        </row>
        <row r="15">
          <cell r="A15" t="str">
            <v>P</v>
          </cell>
          <cell r="O15">
            <v>0</v>
          </cell>
        </row>
        <row r="16">
          <cell r="A16" t="str">
            <v>PP</v>
          </cell>
        </row>
        <row r="17">
          <cell r="A17" t="str">
            <v>VV</v>
          </cell>
        </row>
        <row r="18">
          <cell r="A18" t="str">
            <v>VV</v>
          </cell>
        </row>
        <row r="19">
          <cell r="A19" t="str">
            <v>TS</v>
          </cell>
        </row>
        <row r="20">
          <cell r="A20" t="str">
            <v>P</v>
          </cell>
          <cell r="O20">
            <v>0</v>
          </cell>
        </row>
        <row r="21">
          <cell r="A21" t="str">
            <v>PP</v>
          </cell>
        </row>
        <row r="22">
          <cell r="A22" t="str">
            <v>VV</v>
          </cell>
        </row>
        <row r="23">
          <cell r="A23" t="str">
            <v>VV</v>
          </cell>
        </row>
        <row r="24">
          <cell r="A24" t="str">
            <v>VV</v>
          </cell>
        </row>
        <row r="25">
          <cell r="A25" t="str">
            <v>TS</v>
          </cell>
        </row>
        <row r="26">
          <cell r="A26" t="str">
            <v>P</v>
          </cell>
          <cell r="O26">
            <v>0</v>
          </cell>
        </row>
        <row r="27">
          <cell r="A27" t="str">
            <v>PP</v>
          </cell>
        </row>
        <row r="28">
          <cell r="A28" t="str">
            <v>VV</v>
          </cell>
        </row>
        <row r="29">
          <cell r="A29" t="str">
            <v>VV</v>
          </cell>
        </row>
        <row r="30">
          <cell r="A30" t="str">
            <v>TS</v>
          </cell>
        </row>
        <row r="31">
          <cell r="A31" t="str">
            <v>P</v>
          </cell>
          <cell r="O31">
            <v>0</v>
          </cell>
        </row>
        <row r="32">
          <cell r="A32" t="str">
            <v>PP</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TS</v>
          </cell>
        </row>
        <row r="47">
          <cell r="A47" t="str">
            <v>P</v>
          </cell>
          <cell r="O47">
            <v>0</v>
          </cell>
        </row>
        <row r="48">
          <cell r="A48" t="str">
            <v>PP</v>
          </cell>
        </row>
        <row r="49">
          <cell r="A49" t="str">
            <v>VV</v>
          </cell>
        </row>
        <row r="50">
          <cell r="A50" t="str">
            <v>VV</v>
          </cell>
        </row>
        <row r="51">
          <cell r="A51" t="str">
            <v>TS</v>
          </cell>
        </row>
        <row r="52">
          <cell r="A52" t="str">
            <v>P</v>
          </cell>
          <cell r="O52">
            <v>0</v>
          </cell>
        </row>
        <row r="53">
          <cell r="A53" t="str">
            <v>PP</v>
          </cell>
        </row>
        <row r="54">
          <cell r="A54" t="str">
            <v>VV</v>
          </cell>
        </row>
        <row r="55">
          <cell r="A55" t="str">
            <v>VV</v>
          </cell>
        </row>
        <row r="56">
          <cell r="A56" t="str">
            <v>VV</v>
          </cell>
        </row>
        <row r="57">
          <cell r="A57" t="str">
            <v>VV</v>
          </cell>
        </row>
        <row r="58">
          <cell r="A58" t="str">
            <v>VV</v>
          </cell>
        </row>
        <row r="59">
          <cell r="A59" t="str">
            <v>VV</v>
          </cell>
        </row>
        <row r="60">
          <cell r="A60" t="str">
            <v>TS</v>
          </cell>
        </row>
        <row r="61">
          <cell r="A61" t="str">
            <v>P</v>
          </cell>
          <cell r="O61">
            <v>0</v>
          </cell>
        </row>
        <row r="62">
          <cell r="A62" t="str">
            <v>PP</v>
          </cell>
        </row>
        <row r="63">
          <cell r="A63" t="str">
            <v>VV</v>
          </cell>
        </row>
        <row r="64">
          <cell r="A64" t="str">
            <v>VV</v>
          </cell>
        </row>
        <row r="65">
          <cell r="A65" t="str">
            <v>VV</v>
          </cell>
        </row>
        <row r="66">
          <cell r="A66" t="str">
            <v>TS</v>
          </cell>
        </row>
        <row r="67">
          <cell r="A67" t="str">
            <v>SD</v>
          </cell>
        </row>
        <row r="68">
          <cell r="A68" t="str">
            <v>P</v>
          </cell>
          <cell r="O68">
            <v>0</v>
          </cell>
        </row>
        <row r="69">
          <cell r="A69" t="str">
            <v>PP</v>
          </cell>
        </row>
        <row r="70">
          <cell r="A70" t="str">
            <v>VV</v>
          </cell>
        </row>
        <row r="71">
          <cell r="A71" t="str">
            <v>VV</v>
          </cell>
        </row>
        <row r="72">
          <cell r="A72" t="str">
            <v>TS</v>
          </cell>
        </row>
        <row r="73">
          <cell r="A73" t="str">
            <v>P</v>
          </cell>
          <cell r="O73">
            <v>0</v>
          </cell>
        </row>
        <row r="74">
          <cell r="A74" t="str">
            <v>PP</v>
          </cell>
        </row>
        <row r="75">
          <cell r="A75" t="str">
            <v>VV</v>
          </cell>
        </row>
        <row r="76">
          <cell r="A76" t="str">
            <v>VV</v>
          </cell>
        </row>
        <row r="77">
          <cell r="A77" t="str">
            <v>VV</v>
          </cell>
        </row>
        <row r="78">
          <cell r="A78" t="str">
            <v>TS</v>
          </cell>
        </row>
        <row r="79">
          <cell r="A79" t="str">
            <v>P</v>
          </cell>
          <cell r="O79">
            <v>0</v>
          </cell>
        </row>
        <row r="80">
          <cell r="A80" t="str">
            <v>PP</v>
          </cell>
        </row>
        <row r="81">
          <cell r="A81" t="str">
            <v>VV</v>
          </cell>
        </row>
        <row r="82">
          <cell r="A82" t="str">
            <v>VV</v>
          </cell>
        </row>
        <row r="83">
          <cell r="A83" t="str">
            <v>TS</v>
          </cell>
        </row>
        <row r="84">
          <cell r="A84" t="str">
            <v>P</v>
          </cell>
          <cell r="O84">
            <v>0</v>
          </cell>
        </row>
        <row r="85">
          <cell r="A85" t="str">
            <v>PP</v>
          </cell>
        </row>
        <row r="86">
          <cell r="A86" t="str">
            <v>VV</v>
          </cell>
        </row>
        <row r="87">
          <cell r="A87" t="str">
            <v>VV</v>
          </cell>
        </row>
        <row r="88">
          <cell r="A88" t="str">
            <v>VV</v>
          </cell>
        </row>
        <row r="89">
          <cell r="A89" t="str">
            <v>TS</v>
          </cell>
        </row>
        <row r="90">
          <cell r="A90" t="str">
            <v>P</v>
          </cell>
          <cell r="O90">
            <v>0</v>
          </cell>
        </row>
        <row r="91">
          <cell r="A91" t="str">
            <v>PP</v>
          </cell>
        </row>
        <row r="92">
          <cell r="A92" t="str">
            <v>VV</v>
          </cell>
        </row>
        <row r="93">
          <cell r="A93" t="str">
            <v>TS</v>
          </cell>
        </row>
      </sheetData>
      <sheetData sheetId="4">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TS</v>
          </cell>
        </row>
        <row r="27">
          <cell r="A27" t="str">
            <v>P</v>
          </cell>
          <cell r="O27">
            <v>0</v>
          </cell>
        </row>
        <row r="28">
          <cell r="A28" t="str">
            <v>PP</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TS</v>
          </cell>
        </row>
        <row r="37">
          <cell r="A37" t="str">
            <v>P</v>
          </cell>
          <cell r="O37">
            <v>0</v>
          </cell>
        </row>
        <row r="38">
          <cell r="A38" t="str">
            <v>PP</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TS</v>
          </cell>
        </row>
        <row r="49">
          <cell r="A49" t="str">
            <v>SD</v>
          </cell>
        </row>
        <row r="50">
          <cell r="A50" t="str">
            <v>P</v>
          </cell>
          <cell r="O50">
            <v>0</v>
          </cell>
        </row>
        <row r="51">
          <cell r="A51" t="str">
            <v>PP</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TS</v>
          </cell>
        </row>
      </sheetData>
      <sheetData sheetId="5">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TS</v>
          </cell>
        </row>
        <row r="17">
          <cell r="A17" t="str">
            <v>P</v>
          </cell>
          <cell r="O17">
            <v>0</v>
          </cell>
        </row>
        <row r="18">
          <cell r="A18" t="str">
            <v>PP</v>
          </cell>
        </row>
        <row r="19">
          <cell r="A19" t="str">
            <v>VV</v>
          </cell>
        </row>
        <row r="20">
          <cell r="A20" t="str">
            <v>VV</v>
          </cell>
        </row>
        <row r="21">
          <cell r="A21" t="str">
            <v>VV</v>
          </cell>
        </row>
        <row r="22">
          <cell r="A22" t="str">
            <v>VV</v>
          </cell>
        </row>
        <row r="23">
          <cell r="A23" t="str">
            <v>VV</v>
          </cell>
        </row>
        <row r="24">
          <cell r="A24" t="str">
            <v>TS</v>
          </cell>
        </row>
        <row r="25">
          <cell r="A25" t="str">
            <v>P</v>
          </cell>
          <cell r="O25">
            <v>0</v>
          </cell>
        </row>
        <row r="26">
          <cell r="A26" t="str">
            <v>PP</v>
          </cell>
        </row>
        <row r="27">
          <cell r="A27" t="str">
            <v>VV</v>
          </cell>
        </row>
        <row r="28">
          <cell r="A28" t="str">
            <v>VV</v>
          </cell>
        </row>
        <row r="29">
          <cell r="A29" t="str">
            <v>VV</v>
          </cell>
        </row>
        <row r="30">
          <cell r="A30" t="str">
            <v>VV</v>
          </cell>
        </row>
        <row r="31">
          <cell r="A31" t="str">
            <v>VV</v>
          </cell>
        </row>
        <row r="32">
          <cell r="A32" t="str">
            <v>TS</v>
          </cell>
        </row>
        <row r="33">
          <cell r="A33" t="str">
            <v>P</v>
          </cell>
          <cell r="O33">
            <v>0</v>
          </cell>
        </row>
        <row r="34">
          <cell r="A34" t="str">
            <v>PP</v>
          </cell>
        </row>
        <row r="35">
          <cell r="A35" t="str">
            <v>VV</v>
          </cell>
        </row>
        <row r="36">
          <cell r="A36" t="str">
            <v>VV</v>
          </cell>
        </row>
        <row r="37">
          <cell r="A37" t="str">
            <v>VV</v>
          </cell>
        </row>
        <row r="38">
          <cell r="A38" t="str">
            <v>VV</v>
          </cell>
        </row>
        <row r="39">
          <cell r="A39" t="str">
            <v>VV</v>
          </cell>
        </row>
        <row r="40">
          <cell r="A40" t="str">
            <v>TS</v>
          </cell>
        </row>
      </sheetData>
      <sheetData sheetId="6">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TS</v>
          </cell>
        </row>
        <row r="29">
          <cell r="A29" t="str">
            <v>P</v>
          </cell>
          <cell r="O29">
            <v>0</v>
          </cell>
        </row>
        <row r="30">
          <cell r="A30" t="str">
            <v>PP</v>
          </cell>
        </row>
        <row r="31">
          <cell r="A31" t="str">
            <v>VV</v>
          </cell>
        </row>
        <row r="32">
          <cell r="A32" t="str">
            <v>VV</v>
          </cell>
        </row>
        <row r="33">
          <cell r="A33" t="str">
            <v>TS</v>
          </cell>
        </row>
        <row r="34">
          <cell r="A34" t="str">
            <v>P</v>
          </cell>
          <cell r="O34">
            <v>0</v>
          </cell>
        </row>
        <row r="35">
          <cell r="A35" t="str">
            <v>PP</v>
          </cell>
        </row>
        <row r="36">
          <cell r="A36" t="str">
            <v>VV</v>
          </cell>
        </row>
        <row r="37">
          <cell r="A37" t="str">
            <v>VV</v>
          </cell>
        </row>
        <row r="38">
          <cell r="A38" t="str">
            <v>TS</v>
          </cell>
        </row>
        <row r="39">
          <cell r="A39" t="str">
            <v>P</v>
          </cell>
          <cell r="O39">
            <v>0</v>
          </cell>
        </row>
        <row r="40">
          <cell r="A40" t="str">
            <v>PP</v>
          </cell>
        </row>
        <row r="41">
          <cell r="A41" t="str">
            <v>VV</v>
          </cell>
        </row>
        <row r="42">
          <cell r="A42" t="str">
            <v>VV</v>
          </cell>
        </row>
        <row r="43">
          <cell r="A43" t="str">
            <v>TS</v>
          </cell>
        </row>
        <row r="44">
          <cell r="A44" t="str">
            <v>P</v>
          </cell>
          <cell r="O44">
            <v>0</v>
          </cell>
        </row>
        <row r="45">
          <cell r="A45" t="str">
            <v>PP</v>
          </cell>
        </row>
        <row r="46">
          <cell r="A46" t="str">
            <v>VV</v>
          </cell>
        </row>
        <row r="47">
          <cell r="A47" t="str">
            <v>VV</v>
          </cell>
        </row>
        <row r="48">
          <cell r="A48" t="str">
            <v>TS</v>
          </cell>
        </row>
        <row r="49">
          <cell r="A49" t="str">
            <v>P</v>
          </cell>
          <cell r="O49">
            <v>0</v>
          </cell>
        </row>
        <row r="50">
          <cell r="A50" t="str">
            <v>PP</v>
          </cell>
        </row>
        <row r="51">
          <cell r="A51" t="str">
            <v>VV</v>
          </cell>
        </row>
        <row r="52">
          <cell r="A52" t="str">
            <v>VV</v>
          </cell>
        </row>
        <row r="53">
          <cell r="A53" t="str">
            <v>TS</v>
          </cell>
        </row>
      </sheetData>
      <sheetData sheetId="7">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TS</v>
          </cell>
        </row>
        <row r="14">
          <cell r="A14" t="str">
            <v>P</v>
          </cell>
          <cell r="O14">
            <v>0</v>
          </cell>
        </row>
        <row r="15">
          <cell r="A15" t="str">
            <v>PP</v>
          </cell>
        </row>
        <row r="16">
          <cell r="A16" t="str">
            <v>VV</v>
          </cell>
        </row>
        <row r="17">
          <cell r="A17" t="str">
            <v>VV</v>
          </cell>
        </row>
        <row r="18">
          <cell r="A18" t="str">
            <v>TS</v>
          </cell>
        </row>
        <row r="19">
          <cell r="A19" t="str">
            <v>P</v>
          </cell>
          <cell r="O19">
            <v>0</v>
          </cell>
        </row>
        <row r="20">
          <cell r="A20" t="str">
            <v>PP</v>
          </cell>
        </row>
        <row r="21">
          <cell r="A21" t="str">
            <v>VV</v>
          </cell>
        </row>
        <row r="22">
          <cell r="A22" t="str">
            <v>VV</v>
          </cell>
        </row>
        <row r="23">
          <cell r="A23" t="str">
            <v>TS</v>
          </cell>
        </row>
        <row r="24">
          <cell r="A24" t="str">
            <v>P</v>
          </cell>
          <cell r="O24">
            <v>0</v>
          </cell>
        </row>
        <row r="25">
          <cell r="A25" t="str">
            <v>PP</v>
          </cell>
        </row>
        <row r="26">
          <cell r="A26" t="str">
            <v>VV</v>
          </cell>
        </row>
        <row r="27">
          <cell r="A27" t="str">
            <v>VV</v>
          </cell>
        </row>
        <row r="28">
          <cell r="A28" t="str">
            <v>TS</v>
          </cell>
        </row>
      </sheetData>
      <sheetData sheetId="8">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TS</v>
          </cell>
        </row>
        <row r="14">
          <cell r="A14" t="str">
            <v>P</v>
          </cell>
          <cell r="O14">
            <v>0</v>
          </cell>
        </row>
        <row r="15">
          <cell r="A15" t="str">
            <v>PP</v>
          </cell>
        </row>
        <row r="16">
          <cell r="A16" t="str">
            <v>VV</v>
          </cell>
        </row>
        <row r="17">
          <cell r="A17" t="str">
            <v>VV</v>
          </cell>
        </row>
        <row r="18">
          <cell r="A18" t="str">
            <v>TS</v>
          </cell>
        </row>
        <row r="19">
          <cell r="A19" t="str">
            <v>P</v>
          </cell>
          <cell r="O19">
            <v>0</v>
          </cell>
        </row>
        <row r="20">
          <cell r="A20" t="str">
            <v>PP</v>
          </cell>
        </row>
        <row r="21">
          <cell r="A21" t="str">
            <v>VV</v>
          </cell>
        </row>
        <row r="22">
          <cell r="A22" t="str">
            <v>VV</v>
          </cell>
        </row>
        <row r="23">
          <cell r="A23" t="str">
            <v>TS</v>
          </cell>
        </row>
        <row r="24">
          <cell r="A24" t="str">
            <v>P</v>
          </cell>
          <cell r="O24">
            <v>0</v>
          </cell>
        </row>
        <row r="25">
          <cell r="A25" t="str">
            <v>PP</v>
          </cell>
        </row>
        <row r="26">
          <cell r="A26" t="str">
            <v>VV</v>
          </cell>
        </row>
        <row r="27">
          <cell r="A27" t="str">
            <v>VV</v>
          </cell>
        </row>
        <row r="28">
          <cell r="A28" t="str">
            <v>TS</v>
          </cell>
        </row>
      </sheetData>
      <sheetData sheetId="9">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TS</v>
          </cell>
        </row>
        <row r="89">
          <cell r="A89" t="str">
            <v>P</v>
          </cell>
          <cell r="O89">
            <v>0</v>
          </cell>
        </row>
        <row r="90">
          <cell r="A90" t="str">
            <v>PP</v>
          </cell>
        </row>
        <row r="91">
          <cell r="A91" t="str">
            <v>VV</v>
          </cell>
        </row>
        <row r="92">
          <cell r="A92" t="str">
            <v>VV</v>
          </cell>
        </row>
        <row r="93">
          <cell r="A93" t="str">
            <v>VV</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TS</v>
          </cell>
        </row>
        <row r="104">
          <cell r="A104" t="str">
            <v>P</v>
          </cell>
          <cell r="O104">
            <v>0</v>
          </cell>
        </row>
        <row r="105">
          <cell r="A105" t="str">
            <v>PP</v>
          </cell>
        </row>
        <row r="106">
          <cell r="A106" t="str">
            <v>VV</v>
          </cell>
        </row>
        <row r="107">
          <cell r="A107" t="str">
            <v>VV</v>
          </cell>
        </row>
        <row r="108">
          <cell r="A108" t="str">
            <v>VV</v>
          </cell>
        </row>
        <row r="109">
          <cell r="A109" t="str">
            <v>VV</v>
          </cell>
        </row>
        <row r="110">
          <cell r="A110" t="str">
            <v>VV</v>
          </cell>
        </row>
        <row r="111">
          <cell r="A111" t="str">
            <v>VV</v>
          </cell>
        </row>
        <row r="112">
          <cell r="A112" t="str">
            <v>VV</v>
          </cell>
        </row>
        <row r="113">
          <cell r="A113" t="str">
            <v>VV</v>
          </cell>
        </row>
        <row r="114">
          <cell r="A114" t="str">
            <v>VV</v>
          </cell>
        </row>
        <row r="115">
          <cell r="A115" t="str">
            <v>VV</v>
          </cell>
        </row>
        <row r="116">
          <cell r="A116" t="str">
            <v>VV</v>
          </cell>
        </row>
        <row r="117">
          <cell r="A117" t="str">
            <v>VV</v>
          </cell>
        </row>
        <row r="118">
          <cell r="A118" t="str">
            <v>TS</v>
          </cell>
        </row>
        <row r="119">
          <cell r="A119" t="str">
            <v>P</v>
          </cell>
          <cell r="O119">
            <v>0</v>
          </cell>
        </row>
        <row r="120">
          <cell r="A120" t="str">
            <v>PP</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VV</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VV</v>
          </cell>
        </row>
        <row r="147">
          <cell r="A147" t="str">
            <v>VV</v>
          </cell>
        </row>
        <row r="148">
          <cell r="A148" t="str">
            <v>VV</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VV</v>
          </cell>
        </row>
        <row r="164">
          <cell r="A164" t="str">
            <v>VV</v>
          </cell>
        </row>
        <row r="165">
          <cell r="A165" t="str">
            <v>VV</v>
          </cell>
        </row>
        <row r="166">
          <cell r="A166" t="str">
            <v>VV</v>
          </cell>
        </row>
        <row r="167">
          <cell r="A167" t="str">
            <v>VV</v>
          </cell>
        </row>
        <row r="168">
          <cell r="A168" t="str">
            <v>VV</v>
          </cell>
        </row>
        <row r="169">
          <cell r="A169" t="str">
            <v>VV</v>
          </cell>
        </row>
        <row r="170">
          <cell r="A170" t="str">
            <v>VV</v>
          </cell>
        </row>
        <row r="171">
          <cell r="A171" t="str">
            <v>VV</v>
          </cell>
        </row>
        <row r="172">
          <cell r="A172" t="str">
            <v>VV</v>
          </cell>
        </row>
        <row r="173">
          <cell r="A173" t="str">
            <v>VV</v>
          </cell>
        </row>
        <row r="174">
          <cell r="A174" t="str">
            <v>VV</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VV</v>
          </cell>
        </row>
        <row r="185">
          <cell r="A185" t="str">
            <v>VV</v>
          </cell>
        </row>
        <row r="186">
          <cell r="A186" t="str">
            <v>VV</v>
          </cell>
        </row>
        <row r="187">
          <cell r="A187" t="str">
            <v>VV</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TS</v>
          </cell>
        </row>
        <row r="198">
          <cell r="A198" t="str">
            <v>P</v>
          </cell>
          <cell r="O198">
            <v>0</v>
          </cell>
        </row>
        <row r="199">
          <cell r="A199" t="str">
            <v>PP</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VV</v>
          </cell>
        </row>
        <row r="208">
          <cell r="A208" t="str">
            <v>VV</v>
          </cell>
        </row>
        <row r="209">
          <cell r="A209" t="str">
            <v>VV</v>
          </cell>
        </row>
        <row r="210">
          <cell r="A210" t="str">
            <v>VV</v>
          </cell>
        </row>
        <row r="211">
          <cell r="A211" t="str">
            <v>VV</v>
          </cell>
        </row>
        <row r="212">
          <cell r="A212" t="str">
            <v>TS</v>
          </cell>
        </row>
        <row r="213">
          <cell r="A213" t="str">
            <v>P</v>
          </cell>
          <cell r="O213">
            <v>0</v>
          </cell>
        </row>
        <row r="214">
          <cell r="A214" t="str">
            <v>PP</v>
          </cell>
        </row>
        <row r="215">
          <cell r="A215" t="str">
            <v>VV</v>
          </cell>
        </row>
        <row r="216">
          <cell r="A216" t="str">
            <v>VV</v>
          </cell>
        </row>
        <row r="217">
          <cell r="A217" t="str">
            <v>VV</v>
          </cell>
        </row>
        <row r="218">
          <cell r="A218" t="str">
            <v>VV</v>
          </cell>
        </row>
        <row r="219">
          <cell r="A219" t="str">
            <v>TS</v>
          </cell>
        </row>
        <row r="220">
          <cell r="A220" t="str">
            <v>SD</v>
          </cell>
        </row>
        <row r="221">
          <cell r="A221" t="str">
            <v>P</v>
          </cell>
          <cell r="O221">
            <v>0</v>
          </cell>
        </row>
        <row r="222">
          <cell r="A222" t="str">
            <v>PP</v>
          </cell>
        </row>
        <row r="223">
          <cell r="A223" t="str">
            <v>VV</v>
          </cell>
        </row>
        <row r="224">
          <cell r="A224" t="str">
            <v>VV</v>
          </cell>
        </row>
        <row r="225">
          <cell r="A225" t="str">
            <v>VV</v>
          </cell>
        </row>
        <row r="226">
          <cell r="A226" t="str">
            <v>VV</v>
          </cell>
        </row>
        <row r="227">
          <cell r="A227" t="str">
            <v>VV</v>
          </cell>
        </row>
        <row r="228">
          <cell r="A228" t="str">
            <v>VV</v>
          </cell>
        </row>
        <row r="229">
          <cell r="A229" t="str">
            <v>TS</v>
          </cell>
        </row>
        <row r="230">
          <cell r="A230" t="str">
            <v>P</v>
          </cell>
          <cell r="O230">
            <v>0</v>
          </cell>
        </row>
        <row r="231">
          <cell r="A231" t="str">
            <v>PP</v>
          </cell>
        </row>
        <row r="232">
          <cell r="A232" t="str">
            <v>VV</v>
          </cell>
        </row>
        <row r="233">
          <cell r="A233" t="str">
            <v>VV</v>
          </cell>
        </row>
        <row r="234">
          <cell r="A234" t="str">
            <v>VV</v>
          </cell>
        </row>
        <row r="235">
          <cell r="A235" t="str">
            <v>VV</v>
          </cell>
        </row>
        <row r="236">
          <cell r="A236" t="str">
            <v>VV</v>
          </cell>
        </row>
        <row r="237">
          <cell r="A237" t="str">
            <v>VV</v>
          </cell>
        </row>
        <row r="238">
          <cell r="A238" t="str">
            <v>VV</v>
          </cell>
        </row>
        <row r="239">
          <cell r="A239" t="str">
            <v>VV</v>
          </cell>
        </row>
        <row r="240">
          <cell r="A240" t="str">
            <v>VV</v>
          </cell>
        </row>
        <row r="241">
          <cell r="A241" t="str">
            <v>VV</v>
          </cell>
        </row>
        <row r="242">
          <cell r="A242" t="str">
            <v>VV</v>
          </cell>
        </row>
        <row r="243">
          <cell r="A243" t="str">
            <v>VV</v>
          </cell>
        </row>
        <row r="244">
          <cell r="A244" t="str">
            <v>VV</v>
          </cell>
        </row>
        <row r="245">
          <cell r="A245" t="str">
            <v>VV</v>
          </cell>
        </row>
        <row r="246">
          <cell r="A246" t="str">
            <v>VV</v>
          </cell>
        </row>
        <row r="247">
          <cell r="A247" t="str">
            <v>VV</v>
          </cell>
        </row>
        <row r="248">
          <cell r="A248" t="str">
            <v>VV</v>
          </cell>
        </row>
        <row r="249">
          <cell r="A249" t="str">
            <v>VV</v>
          </cell>
        </row>
        <row r="250">
          <cell r="A250" t="str">
            <v>VV</v>
          </cell>
        </row>
        <row r="251">
          <cell r="A251" t="str">
            <v>VV</v>
          </cell>
        </row>
        <row r="252">
          <cell r="A252" t="str">
            <v>VV</v>
          </cell>
        </row>
        <row r="253">
          <cell r="A253" t="str">
            <v>VV</v>
          </cell>
        </row>
        <row r="254">
          <cell r="A254" t="str">
            <v>VV</v>
          </cell>
        </row>
        <row r="255">
          <cell r="A255" t="str">
            <v>VV</v>
          </cell>
        </row>
        <row r="256">
          <cell r="A256" t="str">
            <v>VV</v>
          </cell>
        </row>
        <row r="257">
          <cell r="A257" t="str">
            <v>VV</v>
          </cell>
        </row>
        <row r="258">
          <cell r="A258" t="str">
            <v>VV</v>
          </cell>
        </row>
        <row r="259">
          <cell r="A259" t="str">
            <v>VV</v>
          </cell>
        </row>
        <row r="260">
          <cell r="A260" t="str">
            <v>VV</v>
          </cell>
        </row>
        <row r="261">
          <cell r="A261" t="str">
            <v>VV</v>
          </cell>
        </row>
        <row r="262">
          <cell r="A262" t="str">
            <v>VV</v>
          </cell>
        </row>
        <row r="263">
          <cell r="A263" t="str">
            <v>VV</v>
          </cell>
        </row>
        <row r="264">
          <cell r="A264" t="str">
            <v>VV</v>
          </cell>
        </row>
        <row r="265">
          <cell r="A265" t="str">
            <v>VV</v>
          </cell>
        </row>
        <row r="266">
          <cell r="A266" t="str">
            <v>VV</v>
          </cell>
        </row>
        <row r="267">
          <cell r="A267" t="str">
            <v>VV</v>
          </cell>
        </row>
        <row r="268">
          <cell r="A268" t="str">
            <v>VV</v>
          </cell>
        </row>
        <row r="269">
          <cell r="A269" t="str">
            <v>TS</v>
          </cell>
        </row>
        <row r="270">
          <cell r="A270" t="str">
            <v>SD</v>
          </cell>
        </row>
        <row r="271">
          <cell r="A271" t="str">
            <v>P</v>
          </cell>
          <cell r="O271">
            <v>0</v>
          </cell>
        </row>
        <row r="272">
          <cell r="A272" t="str">
            <v>PP</v>
          </cell>
        </row>
        <row r="273">
          <cell r="A273" t="str">
            <v>VV</v>
          </cell>
        </row>
        <row r="274">
          <cell r="A274" t="str">
            <v>VV</v>
          </cell>
        </row>
        <row r="275">
          <cell r="A275" t="str">
            <v>VV</v>
          </cell>
        </row>
        <row r="276">
          <cell r="A276" t="str">
            <v>VV</v>
          </cell>
        </row>
        <row r="277">
          <cell r="A277" t="str">
            <v>VV</v>
          </cell>
        </row>
        <row r="278">
          <cell r="A278" t="str">
            <v>VV</v>
          </cell>
        </row>
        <row r="279">
          <cell r="A279" t="str">
            <v>VV</v>
          </cell>
        </row>
        <row r="280">
          <cell r="A280" t="str">
            <v>TS</v>
          </cell>
        </row>
        <row r="281">
          <cell r="A281" t="str">
            <v>P</v>
          </cell>
          <cell r="O281">
            <v>0</v>
          </cell>
        </row>
        <row r="282">
          <cell r="A282" t="str">
            <v>PP</v>
          </cell>
        </row>
        <row r="283">
          <cell r="A283" t="str">
            <v>VV</v>
          </cell>
        </row>
        <row r="284">
          <cell r="A284" t="str">
            <v>VV</v>
          </cell>
        </row>
        <row r="285">
          <cell r="A285" t="str">
            <v>VV</v>
          </cell>
        </row>
        <row r="286">
          <cell r="A286" t="str">
            <v>VV</v>
          </cell>
        </row>
        <row r="287">
          <cell r="A287" t="str">
            <v>VV</v>
          </cell>
        </row>
        <row r="288">
          <cell r="A288" t="str">
            <v>VV</v>
          </cell>
        </row>
        <row r="289">
          <cell r="A289" t="str">
            <v>VV</v>
          </cell>
        </row>
        <row r="290">
          <cell r="A290" t="str">
            <v>VV</v>
          </cell>
        </row>
        <row r="291">
          <cell r="A291" t="str">
            <v>VV</v>
          </cell>
        </row>
        <row r="292">
          <cell r="A292" t="str">
            <v>VV</v>
          </cell>
        </row>
        <row r="293">
          <cell r="A293" t="str">
            <v>VV</v>
          </cell>
        </row>
        <row r="294">
          <cell r="A294" t="str">
            <v>VV</v>
          </cell>
        </row>
        <row r="295">
          <cell r="A295" t="str">
            <v>TS</v>
          </cell>
        </row>
        <row r="296">
          <cell r="A296" t="str">
            <v>SD</v>
          </cell>
        </row>
        <row r="297">
          <cell r="A297" t="str">
            <v>P</v>
          </cell>
          <cell r="O297">
            <v>0</v>
          </cell>
        </row>
        <row r="298">
          <cell r="A298" t="str">
            <v>PP</v>
          </cell>
        </row>
        <row r="299">
          <cell r="A299" t="str">
            <v>VV</v>
          </cell>
        </row>
        <row r="300">
          <cell r="A300" t="str">
            <v>VV</v>
          </cell>
        </row>
        <row r="301">
          <cell r="A301" t="str">
            <v>VV</v>
          </cell>
        </row>
        <row r="302">
          <cell r="A302" t="str">
            <v>VV</v>
          </cell>
        </row>
        <row r="303">
          <cell r="A303" t="str">
            <v>VV</v>
          </cell>
        </row>
        <row r="304">
          <cell r="A304" t="str">
            <v>VV</v>
          </cell>
        </row>
        <row r="305">
          <cell r="A305" t="str">
            <v>VV</v>
          </cell>
        </row>
        <row r="306">
          <cell r="A306" t="str">
            <v>VV</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VV</v>
          </cell>
        </row>
        <row r="320">
          <cell r="A320" t="str">
            <v>VV</v>
          </cell>
        </row>
        <row r="321">
          <cell r="A321" t="str">
            <v>VV</v>
          </cell>
        </row>
        <row r="322">
          <cell r="A322" t="str">
            <v>VV</v>
          </cell>
        </row>
        <row r="323">
          <cell r="A323" t="str">
            <v>VV</v>
          </cell>
        </row>
        <row r="324">
          <cell r="A324" t="str">
            <v>VV</v>
          </cell>
        </row>
        <row r="325">
          <cell r="A325" t="str">
            <v>VV</v>
          </cell>
        </row>
        <row r="326">
          <cell r="A326" t="str">
            <v>VV</v>
          </cell>
        </row>
        <row r="327">
          <cell r="A327" t="str">
            <v>VV</v>
          </cell>
        </row>
        <row r="328">
          <cell r="A328" t="str">
            <v>VV</v>
          </cell>
        </row>
        <row r="329">
          <cell r="A329" t="str">
            <v>VV</v>
          </cell>
        </row>
        <row r="330">
          <cell r="A330" t="str">
            <v>VV</v>
          </cell>
        </row>
        <row r="331">
          <cell r="A331" t="str">
            <v>VV</v>
          </cell>
        </row>
        <row r="332">
          <cell r="A332" t="str">
            <v>VV</v>
          </cell>
        </row>
        <row r="333">
          <cell r="A333" t="str">
            <v>VV</v>
          </cell>
        </row>
        <row r="334">
          <cell r="A334" t="str">
            <v>VV</v>
          </cell>
        </row>
        <row r="335">
          <cell r="A335" t="str">
            <v>VV</v>
          </cell>
        </row>
        <row r="336">
          <cell r="A336" t="str">
            <v>VV</v>
          </cell>
        </row>
        <row r="337">
          <cell r="A337" t="str">
            <v>VV</v>
          </cell>
        </row>
        <row r="338">
          <cell r="A338" t="str">
            <v>VV</v>
          </cell>
        </row>
        <row r="339">
          <cell r="A339" t="str">
            <v>VV</v>
          </cell>
        </row>
        <row r="340">
          <cell r="A340" t="str">
            <v>VV</v>
          </cell>
        </row>
        <row r="341">
          <cell r="A341" t="str">
            <v>VV</v>
          </cell>
        </row>
        <row r="342">
          <cell r="A342" t="str">
            <v>VV</v>
          </cell>
        </row>
        <row r="343">
          <cell r="A343" t="str">
            <v>VV</v>
          </cell>
        </row>
        <row r="344">
          <cell r="A344" t="str">
            <v>VV</v>
          </cell>
        </row>
        <row r="345">
          <cell r="A345" t="str">
            <v>VV</v>
          </cell>
        </row>
        <row r="346">
          <cell r="A346" t="str">
            <v>VV</v>
          </cell>
        </row>
        <row r="347">
          <cell r="A347" t="str">
            <v>VV</v>
          </cell>
        </row>
        <row r="348">
          <cell r="A348" t="str">
            <v>VV</v>
          </cell>
        </row>
        <row r="349">
          <cell r="A349" t="str">
            <v>VV</v>
          </cell>
        </row>
        <row r="350">
          <cell r="A350" t="str">
            <v>VV</v>
          </cell>
        </row>
        <row r="351">
          <cell r="A351" t="str">
            <v>VV</v>
          </cell>
        </row>
        <row r="352">
          <cell r="A352" t="str">
            <v>VV</v>
          </cell>
        </row>
        <row r="353">
          <cell r="A353" t="str">
            <v>VV</v>
          </cell>
        </row>
        <row r="354">
          <cell r="A354" t="str">
            <v>VV</v>
          </cell>
        </row>
        <row r="355">
          <cell r="A355" t="str">
            <v>VV</v>
          </cell>
        </row>
        <row r="356">
          <cell r="A356" t="str">
            <v>VV</v>
          </cell>
        </row>
        <row r="357">
          <cell r="A357" t="str">
            <v>VV</v>
          </cell>
        </row>
        <row r="358">
          <cell r="A358" t="str">
            <v>VV</v>
          </cell>
        </row>
        <row r="359">
          <cell r="A359" t="str">
            <v>VV</v>
          </cell>
        </row>
        <row r="360">
          <cell r="A360" t="str">
            <v>VV</v>
          </cell>
        </row>
        <row r="361">
          <cell r="A361" t="str">
            <v>VV</v>
          </cell>
        </row>
        <row r="362">
          <cell r="A362" t="str">
            <v>VV</v>
          </cell>
        </row>
        <row r="363">
          <cell r="A363" t="str">
            <v>VV</v>
          </cell>
        </row>
        <row r="364">
          <cell r="A364" t="str">
            <v>TS</v>
          </cell>
        </row>
        <row r="365">
          <cell r="A365" t="str">
            <v>P</v>
          </cell>
          <cell r="O365">
            <v>0</v>
          </cell>
        </row>
        <row r="366">
          <cell r="A366" t="str">
            <v>PP</v>
          </cell>
        </row>
        <row r="367">
          <cell r="A367" t="str">
            <v>VV</v>
          </cell>
        </row>
        <row r="368">
          <cell r="A368" t="str">
            <v>VV</v>
          </cell>
        </row>
        <row r="369">
          <cell r="A369" t="str">
            <v>VV</v>
          </cell>
        </row>
        <row r="370">
          <cell r="A370" t="str">
            <v>VV</v>
          </cell>
        </row>
        <row r="371">
          <cell r="A371" t="str">
            <v>VV</v>
          </cell>
        </row>
        <row r="372">
          <cell r="A372" t="str">
            <v>VV</v>
          </cell>
        </row>
        <row r="373">
          <cell r="A373" t="str">
            <v>VV</v>
          </cell>
        </row>
        <row r="374">
          <cell r="A374" t="str">
            <v>VV</v>
          </cell>
        </row>
        <row r="375">
          <cell r="A375" t="str">
            <v>VV</v>
          </cell>
        </row>
        <row r="376">
          <cell r="A376" t="str">
            <v>VV</v>
          </cell>
        </row>
        <row r="377">
          <cell r="A377" t="str">
            <v>VV</v>
          </cell>
        </row>
        <row r="378">
          <cell r="A378" t="str">
            <v>VV</v>
          </cell>
        </row>
        <row r="379">
          <cell r="A379" t="str">
            <v>VV</v>
          </cell>
        </row>
        <row r="380">
          <cell r="A380" t="str">
            <v>VV</v>
          </cell>
        </row>
        <row r="381">
          <cell r="A381" t="str">
            <v>VV</v>
          </cell>
        </row>
        <row r="382">
          <cell r="A382" t="str">
            <v>VV</v>
          </cell>
        </row>
        <row r="383">
          <cell r="A383" t="str">
            <v>VV</v>
          </cell>
        </row>
        <row r="384">
          <cell r="A384" t="str">
            <v>VV</v>
          </cell>
        </row>
        <row r="385">
          <cell r="A385" t="str">
            <v>VV</v>
          </cell>
        </row>
        <row r="386">
          <cell r="A386" t="str">
            <v>VV</v>
          </cell>
        </row>
        <row r="387">
          <cell r="A387" t="str">
            <v>VV</v>
          </cell>
        </row>
        <row r="388">
          <cell r="A388" t="str">
            <v>VV</v>
          </cell>
        </row>
        <row r="389">
          <cell r="A389" t="str">
            <v>VV</v>
          </cell>
        </row>
        <row r="390">
          <cell r="A390" t="str">
            <v>VV</v>
          </cell>
        </row>
        <row r="391">
          <cell r="A391" t="str">
            <v>VV</v>
          </cell>
        </row>
        <row r="392">
          <cell r="A392" t="str">
            <v>VV</v>
          </cell>
        </row>
        <row r="393">
          <cell r="A393" t="str">
            <v>VV</v>
          </cell>
        </row>
        <row r="394">
          <cell r="A394" t="str">
            <v>VV</v>
          </cell>
        </row>
        <row r="395">
          <cell r="A395" t="str">
            <v>VV</v>
          </cell>
        </row>
        <row r="396">
          <cell r="A396" t="str">
            <v>VV</v>
          </cell>
        </row>
        <row r="397">
          <cell r="A397" t="str">
            <v>VV</v>
          </cell>
        </row>
        <row r="398">
          <cell r="A398" t="str">
            <v>VV</v>
          </cell>
        </row>
        <row r="399">
          <cell r="A399" t="str">
            <v>VV</v>
          </cell>
        </row>
        <row r="400">
          <cell r="A400" t="str">
            <v>VV</v>
          </cell>
        </row>
        <row r="401">
          <cell r="A401" t="str">
            <v>VV</v>
          </cell>
        </row>
        <row r="402">
          <cell r="A402" t="str">
            <v>VV</v>
          </cell>
        </row>
        <row r="403">
          <cell r="A403" t="str">
            <v>VV</v>
          </cell>
        </row>
        <row r="404">
          <cell r="A404" t="str">
            <v>VV</v>
          </cell>
        </row>
        <row r="405">
          <cell r="A405" t="str">
            <v>VV</v>
          </cell>
        </row>
        <row r="406">
          <cell r="A406" t="str">
            <v>VV</v>
          </cell>
        </row>
        <row r="407">
          <cell r="A407" t="str">
            <v>VV</v>
          </cell>
        </row>
        <row r="408">
          <cell r="A408" t="str">
            <v>VV</v>
          </cell>
        </row>
        <row r="409">
          <cell r="A409" t="str">
            <v>VV</v>
          </cell>
        </row>
        <row r="410">
          <cell r="A410" t="str">
            <v>VV</v>
          </cell>
        </row>
        <row r="411">
          <cell r="A411" t="str">
            <v>VV</v>
          </cell>
        </row>
        <row r="412">
          <cell r="A412" t="str">
            <v>VV</v>
          </cell>
        </row>
        <row r="413">
          <cell r="A413" t="str">
            <v>VV</v>
          </cell>
        </row>
        <row r="414">
          <cell r="A414" t="str">
            <v>VV</v>
          </cell>
        </row>
        <row r="415">
          <cell r="A415" t="str">
            <v>VV</v>
          </cell>
        </row>
        <row r="416">
          <cell r="A416" t="str">
            <v>VV</v>
          </cell>
        </row>
        <row r="417">
          <cell r="A417" t="str">
            <v>VV</v>
          </cell>
        </row>
        <row r="418">
          <cell r="A418" t="str">
            <v>VV</v>
          </cell>
        </row>
        <row r="419">
          <cell r="A419" t="str">
            <v>VV</v>
          </cell>
        </row>
        <row r="420">
          <cell r="A420" t="str">
            <v>VV</v>
          </cell>
        </row>
        <row r="421">
          <cell r="A421" t="str">
            <v>VV</v>
          </cell>
        </row>
        <row r="422">
          <cell r="A422" t="str">
            <v>VV</v>
          </cell>
        </row>
        <row r="423">
          <cell r="A423" t="str">
            <v>VV</v>
          </cell>
        </row>
        <row r="424">
          <cell r="A424" t="str">
            <v>VV</v>
          </cell>
        </row>
        <row r="425">
          <cell r="A425" t="str">
            <v>VV</v>
          </cell>
        </row>
        <row r="426">
          <cell r="A426" t="str">
            <v>VV</v>
          </cell>
        </row>
        <row r="427">
          <cell r="A427" t="str">
            <v>VV</v>
          </cell>
        </row>
        <row r="428">
          <cell r="A428" t="str">
            <v>VV</v>
          </cell>
        </row>
        <row r="429">
          <cell r="A429" t="str">
            <v>VV</v>
          </cell>
        </row>
        <row r="430">
          <cell r="A430" t="str">
            <v>VV</v>
          </cell>
        </row>
        <row r="431">
          <cell r="A431" t="str">
            <v>VV</v>
          </cell>
        </row>
        <row r="432">
          <cell r="A432" t="str">
            <v>VV</v>
          </cell>
        </row>
        <row r="433">
          <cell r="A433" t="str">
            <v>VV</v>
          </cell>
        </row>
        <row r="434">
          <cell r="A434" t="str">
            <v>VV</v>
          </cell>
        </row>
        <row r="435">
          <cell r="A435" t="str">
            <v>VV</v>
          </cell>
        </row>
        <row r="436">
          <cell r="A436" t="str">
            <v>VV</v>
          </cell>
        </row>
        <row r="437">
          <cell r="A437" t="str">
            <v>VV</v>
          </cell>
        </row>
        <row r="438">
          <cell r="A438" t="str">
            <v>VV</v>
          </cell>
        </row>
        <row r="439">
          <cell r="A439" t="str">
            <v>VV</v>
          </cell>
        </row>
        <row r="440">
          <cell r="A440" t="str">
            <v>VV</v>
          </cell>
        </row>
        <row r="441">
          <cell r="A441" t="str">
            <v>VV</v>
          </cell>
        </row>
        <row r="442">
          <cell r="A442" t="str">
            <v>VV</v>
          </cell>
        </row>
        <row r="443">
          <cell r="A443" t="str">
            <v>VV</v>
          </cell>
        </row>
        <row r="444">
          <cell r="A444" t="str">
            <v>VV</v>
          </cell>
        </row>
        <row r="445">
          <cell r="A445" t="str">
            <v>VV</v>
          </cell>
        </row>
        <row r="446">
          <cell r="A446" t="str">
            <v>VV</v>
          </cell>
        </row>
        <row r="447">
          <cell r="A447" t="str">
            <v>VV</v>
          </cell>
        </row>
        <row r="448">
          <cell r="A448" t="str">
            <v>VV</v>
          </cell>
        </row>
        <row r="449">
          <cell r="A449" t="str">
            <v>VV</v>
          </cell>
        </row>
        <row r="450">
          <cell r="A450" t="str">
            <v>VV</v>
          </cell>
        </row>
        <row r="451">
          <cell r="A451" t="str">
            <v>VV</v>
          </cell>
        </row>
        <row r="452">
          <cell r="A452" t="str">
            <v>VV</v>
          </cell>
        </row>
        <row r="453">
          <cell r="A453" t="str">
            <v>VV</v>
          </cell>
        </row>
        <row r="454">
          <cell r="A454" t="str">
            <v>VV</v>
          </cell>
        </row>
        <row r="455">
          <cell r="A455" t="str">
            <v>VV</v>
          </cell>
        </row>
        <row r="456">
          <cell r="A456" t="str">
            <v>VV</v>
          </cell>
        </row>
        <row r="457">
          <cell r="A457" t="str">
            <v>VV</v>
          </cell>
        </row>
        <row r="458">
          <cell r="A458" t="str">
            <v>VV</v>
          </cell>
        </row>
        <row r="459">
          <cell r="A459" t="str">
            <v>VV</v>
          </cell>
        </row>
        <row r="460">
          <cell r="A460" t="str">
            <v>VV</v>
          </cell>
        </row>
        <row r="461">
          <cell r="A461" t="str">
            <v>VV</v>
          </cell>
        </row>
        <row r="462">
          <cell r="A462" t="str">
            <v>VV</v>
          </cell>
        </row>
        <row r="463">
          <cell r="A463" t="str">
            <v>VV</v>
          </cell>
        </row>
        <row r="464">
          <cell r="A464" t="str">
            <v>VV</v>
          </cell>
        </row>
        <row r="465">
          <cell r="A465" t="str">
            <v>VV</v>
          </cell>
        </row>
        <row r="466">
          <cell r="A466" t="str">
            <v>VV</v>
          </cell>
        </row>
        <row r="467">
          <cell r="A467" t="str">
            <v>VV</v>
          </cell>
        </row>
        <row r="468">
          <cell r="A468" t="str">
            <v>VV</v>
          </cell>
        </row>
        <row r="469">
          <cell r="A469" t="str">
            <v>VV</v>
          </cell>
        </row>
        <row r="470">
          <cell r="A470" t="str">
            <v>VV</v>
          </cell>
        </row>
        <row r="471">
          <cell r="A471" t="str">
            <v>VV</v>
          </cell>
        </row>
        <row r="472">
          <cell r="A472" t="str">
            <v>VV</v>
          </cell>
        </row>
        <row r="473">
          <cell r="A473" t="str">
            <v>VV</v>
          </cell>
        </row>
        <row r="474">
          <cell r="A474" t="str">
            <v>VV</v>
          </cell>
        </row>
        <row r="475">
          <cell r="A475" t="str">
            <v>VV</v>
          </cell>
        </row>
        <row r="476">
          <cell r="A476" t="str">
            <v>VV</v>
          </cell>
        </row>
        <row r="477">
          <cell r="A477" t="str">
            <v>VV</v>
          </cell>
        </row>
        <row r="478">
          <cell r="A478" t="str">
            <v>VV</v>
          </cell>
        </row>
        <row r="479">
          <cell r="A479" t="str">
            <v>VV</v>
          </cell>
        </row>
        <row r="480">
          <cell r="A480" t="str">
            <v>VV</v>
          </cell>
        </row>
        <row r="481">
          <cell r="A481" t="str">
            <v>VV</v>
          </cell>
        </row>
        <row r="482">
          <cell r="A482" t="str">
            <v>VV</v>
          </cell>
        </row>
        <row r="483">
          <cell r="A483" t="str">
            <v>VV</v>
          </cell>
        </row>
        <row r="484">
          <cell r="A484" t="str">
            <v>VV</v>
          </cell>
        </row>
        <row r="485">
          <cell r="A485" t="str">
            <v>VV</v>
          </cell>
        </row>
        <row r="486">
          <cell r="A486" t="str">
            <v>VV</v>
          </cell>
        </row>
        <row r="487">
          <cell r="A487" t="str">
            <v>VV</v>
          </cell>
        </row>
        <row r="488">
          <cell r="A488" t="str">
            <v>VV</v>
          </cell>
        </row>
        <row r="489">
          <cell r="A489" t="str">
            <v>VV</v>
          </cell>
        </row>
        <row r="490">
          <cell r="A490" t="str">
            <v>VV</v>
          </cell>
        </row>
        <row r="491">
          <cell r="A491" t="str">
            <v>VV</v>
          </cell>
        </row>
        <row r="492">
          <cell r="A492" t="str">
            <v>VV</v>
          </cell>
        </row>
        <row r="493">
          <cell r="A493" t="str">
            <v>VV</v>
          </cell>
        </row>
        <row r="494">
          <cell r="A494" t="str">
            <v>VV</v>
          </cell>
        </row>
        <row r="495">
          <cell r="A495" t="str">
            <v>VV</v>
          </cell>
        </row>
        <row r="496">
          <cell r="A496" t="str">
            <v>VV</v>
          </cell>
        </row>
        <row r="497">
          <cell r="A497" t="str">
            <v>VV</v>
          </cell>
        </row>
        <row r="498">
          <cell r="A498" t="str">
            <v>VV</v>
          </cell>
        </row>
        <row r="499">
          <cell r="A499" t="str">
            <v>VV</v>
          </cell>
        </row>
        <row r="500">
          <cell r="A500" t="str">
            <v>VV</v>
          </cell>
        </row>
        <row r="501">
          <cell r="A501" t="str">
            <v>VV</v>
          </cell>
        </row>
        <row r="502">
          <cell r="A502" t="str">
            <v>VV</v>
          </cell>
        </row>
        <row r="503">
          <cell r="A503" t="str">
            <v>VV</v>
          </cell>
        </row>
        <row r="504">
          <cell r="A504" t="str">
            <v>VV</v>
          </cell>
        </row>
        <row r="505">
          <cell r="A505" t="str">
            <v>VV</v>
          </cell>
        </row>
        <row r="506">
          <cell r="A506" t="str">
            <v>VV</v>
          </cell>
        </row>
        <row r="507">
          <cell r="A507" t="str">
            <v>VV</v>
          </cell>
        </row>
        <row r="508">
          <cell r="A508" t="str">
            <v>VV</v>
          </cell>
        </row>
        <row r="509">
          <cell r="A509" t="str">
            <v>VV</v>
          </cell>
        </row>
        <row r="510">
          <cell r="A510" t="str">
            <v>VV</v>
          </cell>
        </row>
        <row r="511">
          <cell r="A511" t="str">
            <v>VV</v>
          </cell>
        </row>
        <row r="512">
          <cell r="A512" t="str">
            <v>VV</v>
          </cell>
        </row>
        <row r="513">
          <cell r="A513" t="str">
            <v>VV</v>
          </cell>
        </row>
        <row r="514">
          <cell r="A514" t="str">
            <v>VV</v>
          </cell>
        </row>
        <row r="515">
          <cell r="A515" t="str">
            <v>VV</v>
          </cell>
        </row>
        <row r="516">
          <cell r="A516" t="str">
            <v>TS</v>
          </cell>
        </row>
        <row r="517">
          <cell r="A517" t="str">
            <v>P</v>
          </cell>
          <cell r="O517">
            <v>0</v>
          </cell>
        </row>
        <row r="518">
          <cell r="A518" t="str">
            <v>PP</v>
          </cell>
        </row>
        <row r="519">
          <cell r="A519" t="str">
            <v>VV</v>
          </cell>
        </row>
        <row r="520">
          <cell r="A520" t="str">
            <v>VV</v>
          </cell>
        </row>
        <row r="521">
          <cell r="A521" t="str">
            <v>VV</v>
          </cell>
        </row>
        <row r="522">
          <cell r="A522" t="str">
            <v>VV</v>
          </cell>
        </row>
        <row r="523">
          <cell r="A523" t="str">
            <v>VV</v>
          </cell>
        </row>
        <row r="524">
          <cell r="A524" t="str">
            <v>VV</v>
          </cell>
        </row>
        <row r="525">
          <cell r="A525" t="str">
            <v>VV</v>
          </cell>
        </row>
        <row r="526">
          <cell r="A526" t="str">
            <v>VV</v>
          </cell>
        </row>
        <row r="527">
          <cell r="A527" t="str">
            <v>VV</v>
          </cell>
        </row>
        <row r="528">
          <cell r="A528" t="str">
            <v>VV</v>
          </cell>
        </row>
        <row r="529">
          <cell r="A529" t="str">
            <v>VV</v>
          </cell>
        </row>
        <row r="530">
          <cell r="A530" t="str">
            <v>VV</v>
          </cell>
        </row>
        <row r="531">
          <cell r="A531" t="str">
            <v>VV</v>
          </cell>
        </row>
        <row r="532">
          <cell r="A532" t="str">
            <v>VV</v>
          </cell>
        </row>
        <row r="533">
          <cell r="A533" t="str">
            <v>VV</v>
          </cell>
        </row>
        <row r="534">
          <cell r="A534" t="str">
            <v>VV</v>
          </cell>
        </row>
        <row r="535">
          <cell r="A535" t="str">
            <v>VV</v>
          </cell>
        </row>
        <row r="536">
          <cell r="A536" t="str">
            <v>VV</v>
          </cell>
        </row>
        <row r="537">
          <cell r="A537" t="str">
            <v>VV</v>
          </cell>
        </row>
        <row r="538">
          <cell r="A538" t="str">
            <v>VV</v>
          </cell>
        </row>
        <row r="539">
          <cell r="A539" t="str">
            <v>VV</v>
          </cell>
        </row>
        <row r="540">
          <cell r="A540" t="str">
            <v>VV</v>
          </cell>
        </row>
        <row r="541">
          <cell r="A541" t="str">
            <v>VV</v>
          </cell>
        </row>
        <row r="542">
          <cell r="A542" t="str">
            <v>VV</v>
          </cell>
        </row>
        <row r="543">
          <cell r="A543" t="str">
            <v>VV</v>
          </cell>
        </row>
        <row r="544">
          <cell r="A544" t="str">
            <v>VV</v>
          </cell>
        </row>
        <row r="545">
          <cell r="A545" t="str">
            <v>VV</v>
          </cell>
        </row>
        <row r="546">
          <cell r="A546" t="str">
            <v>VV</v>
          </cell>
        </row>
        <row r="547">
          <cell r="A547" t="str">
            <v>VV</v>
          </cell>
        </row>
        <row r="548">
          <cell r="A548" t="str">
            <v>VV</v>
          </cell>
        </row>
        <row r="549">
          <cell r="A549" t="str">
            <v>VV</v>
          </cell>
        </row>
        <row r="550">
          <cell r="A550" t="str">
            <v>VV</v>
          </cell>
        </row>
        <row r="551">
          <cell r="A551" t="str">
            <v>VV</v>
          </cell>
        </row>
        <row r="552">
          <cell r="A552" t="str">
            <v>VV</v>
          </cell>
        </row>
        <row r="553">
          <cell r="A553" t="str">
            <v>VV</v>
          </cell>
        </row>
        <row r="554">
          <cell r="A554" t="str">
            <v>VV</v>
          </cell>
        </row>
        <row r="555">
          <cell r="A555" t="str">
            <v>VV</v>
          </cell>
        </row>
        <row r="556">
          <cell r="A556" t="str">
            <v>VV</v>
          </cell>
        </row>
        <row r="557">
          <cell r="A557" t="str">
            <v>VV</v>
          </cell>
        </row>
        <row r="558">
          <cell r="A558" t="str">
            <v>VV</v>
          </cell>
        </row>
        <row r="559">
          <cell r="A559" t="str">
            <v>VV</v>
          </cell>
        </row>
        <row r="560">
          <cell r="A560" t="str">
            <v>VV</v>
          </cell>
        </row>
        <row r="561">
          <cell r="A561" t="str">
            <v>VV</v>
          </cell>
        </row>
        <row r="562">
          <cell r="A562" t="str">
            <v>VV</v>
          </cell>
        </row>
        <row r="563">
          <cell r="A563" t="str">
            <v>VV</v>
          </cell>
        </row>
        <row r="564">
          <cell r="A564" t="str">
            <v>VV</v>
          </cell>
        </row>
        <row r="565">
          <cell r="A565" t="str">
            <v>VV</v>
          </cell>
        </row>
        <row r="566">
          <cell r="A566" t="str">
            <v>VV</v>
          </cell>
        </row>
        <row r="567">
          <cell r="A567" t="str">
            <v>VV</v>
          </cell>
        </row>
        <row r="568">
          <cell r="A568" t="str">
            <v>VV</v>
          </cell>
        </row>
        <row r="569">
          <cell r="A569" t="str">
            <v>VV</v>
          </cell>
        </row>
        <row r="570">
          <cell r="A570" t="str">
            <v>VV</v>
          </cell>
        </row>
        <row r="571">
          <cell r="A571" t="str">
            <v>VV</v>
          </cell>
        </row>
        <row r="572">
          <cell r="A572" t="str">
            <v>VV</v>
          </cell>
        </row>
        <row r="573">
          <cell r="A573" t="str">
            <v>VV</v>
          </cell>
        </row>
        <row r="574">
          <cell r="A574" t="str">
            <v>VV</v>
          </cell>
        </row>
        <row r="575">
          <cell r="A575" t="str">
            <v>VV</v>
          </cell>
        </row>
        <row r="576">
          <cell r="A576" t="str">
            <v>VV</v>
          </cell>
        </row>
        <row r="577">
          <cell r="A577" t="str">
            <v>VV</v>
          </cell>
        </row>
        <row r="578">
          <cell r="A578" t="str">
            <v>VV</v>
          </cell>
        </row>
        <row r="579">
          <cell r="A579" t="str">
            <v>VV</v>
          </cell>
        </row>
        <row r="580">
          <cell r="A580" t="str">
            <v>VV</v>
          </cell>
        </row>
        <row r="581">
          <cell r="A581" t="str">
            <v>VV</v>
          </cell>
        </row>
        <row r="582">
          <cell r="A582" t="str">
            <v>VV</v>
          </cell>
        </row>
        <row r="583">
          <cell r="A583" t="str">
            <v>VV</v>
          </cell>
        </row>
        <row r="584">
          <cell r="A584" t="str">
            <v>VV</v>
          </cell>
        </row>
        <row r="585">
          <cell r="A585" t="str">
            <v>VV</v>
          </cell>
        </row>
        <row r="586">
          <cell r="A586" t="str">
            <v>VV</v>
          </cell>
        </row>
        <row r="587">
          <cell r="A587" t="str">
            <v>VV</v>
          </cell>
        </row>
        <row r="588">
          <cell r="A588" t="str">
            <v>VV</v>
          </cell>
        </row>
        <row r="589">
          <cell r="A589" t="str">
            <v>TS</v>
          </cell>
        </row>
        <row r="590">
          <cell r="A590" t="str">
            <v>P</v>
          </cell>
          <cell r="O590">
            <v>0</v>
          </cell>
        </row>
        <row r="591">
          <cell r="A591" t="str">
            <v>PP</v>
          </cell>
        </row>
        <row r="592">
          <cell r="A592" t="str">
            <v>VV</v>
          </cell>
        </row>
        <row r="593">
          <cell r="A593" t="str">
            <v>VV</v>
          </cell>
        </row>
        <row r="594">
          <cell r="A594" t="str">
            <v>VV</v>
          </cell>
        </row>
        <row r="595">
          <cell r="A595" t="str">
            <v>VV</v>
          </cell>
        </row>
        <row r="596">
          <cell r="A596" t="str">
            <v>TS</v>
          </cell>
        </row>
        <row r="597">
          <cell r="A597" t="str">
            <v>P</v>
          </cell>
          <cell r="O597">
            <v>0</v>
          </cell>
        </row>
        <row r="598">
          <cell r="A598" t="str">
            <v>PP</v>
          </cell>
        </row>
        <row r="599">
          <cell r="A599" t="str">
            <v>VV</v>
          </cell>
        </row>
        <row r="600">
          <cell r="A600" t="str">
            <v>VV</v>
          </cell>
        </row>
        <row r="601">
          <cell r="A601" t="str">
            <v>VV</v>
          </cell>
        </row>
        <row r="602">
          <cell r="A602" t="str">
            <v>VV</v>
          </cell>
        </row>
        <row r="603">
          <cell r="A603" t="str">
            <v>TS</v>
          </cell>
        </row>
        <row r="604">
          <cell r="A604" t="str">
            <v>P</v>
          </cell>
          <cell r="O604">
            <v>0</v>
          </cell>
        </row>
        <row r="605">
          <cell r="A605" t="str">
            <v>PP</v>
          </cell>
        </row>
        <row r="606">
          <cell r="A606" t="str">
            <v>VV</v>
          </cell>
        </row>
        <row r="607">
          <cell r="A607" t="str">
            <v>VV</v>
          </cell>
        </row>
        <row r="608">
          <cell r="A608" t="str">
            <v>VV</v>
          </cell>
        </row>
        <row r="609">
          <cell r="A609" t="str">
            <v>TS</v>
          </cell>
        </row>
        <row r="610">
          <cell r="A610" t="str">
            <v>P</v>
          </cell>
          <cell r="O610">
            <v>0</v>
          </cell>
        </row>
        <row r="611">
          <cell r="A611" t="str">
            <v>PP</v>
          </cell>
        </row>
        <row r="612">
          <cell r="A612" t="str">
            <v>VV</v>
          </cell>
        </row>
        <row r="613">
          <cell r="A613" t="str">
            <v>VV</v>
          </cell>
        </row>
        <row r="614">
          <cell r="A614" t="str">
            <v>VV</v>
          </cell>
        </row>
        <row r="615">
          <cell r="A615" t="str">
            <v>VV</v>
          </cell>
        </row>
        <row r="616">
          <cell r="A616" t="str">
            <v>VV</v>
          </cell>
        </row>
        <row r="617">
          <cell r="A617" t="str">
            <v>VV</v>
          </cell>
        </row>
        <row r="618">
          <cell r="A618" t="str">
            <v>VV</v>
          </cell>
        </row>
        <row r="619">
          <cell r="A619" t="str">
            <v>VV</v>
          </cell>
        </row>
        <row r="620">
          <cell r="A620" t="str">
            <v>VV</v>
          </cell>
        </row>
        <row r="621">
          <cell r="A621" t="str">
            <v>VV</v>
          </cell>
        </row>
        <row r="622">
          <cell r="A622" t="str">
            <v>VV</v>
          </cell>
        </row>
        <row r="623">
          <cell r="A623" t="str">
            <v>VV</v>
          </cell>
        </row>
        <row r="624">
          <cell r="A624" t="str">
            <v>VV</v>
          </cell>
        </row>
        <row r="625">
          <cell r="A625" t="str">
            <v>VV</v>
          </cell>
        </row>
        <row r="626">
          <cell r="A626" t="str">
            <v>VV</v>
          </cell>
        </row>
        <row r="627">
          <cell r="A627" t="str">
            <v>VV</v>
          </cell>
        </row>
        <row r="628">
          <cell r="A628" t="str">
            <v>VV</v>
          </cell>
        </row>
        <row r="629">
          <cell r="A629" t="str">
            <v>VV</v>
          </cell>
        </row>
        <row r="630">
          <cell r="A630" t="str">
            <v>VV</v>
          </cell>
        </row>
        <row r="631">
          <cell r="A631" t="str">
            <v>VV</v>
          </cell>
        </row>
        <row r="632">
          <cell r="A632" t="str">
            <v>VV</v>
          </cell>
        </row>
        <row r="633">
          <cell r="A633" t="str">
            <v>VV</v>
          </cell>
        </row>
        <row r="634">
          <cell r="A634" t="str">
            <v>VV</v>
          </cell>
        </row>
        <row r="635">
          <cell r="A635" t="str">
            <v>VV</v>
          </cell>
        </row>
        <row r="636">
          <cell r="A636" t="str">
            <v>VV</v>
          </cell>
        </row>
        <row r="637">
          <cell r="A637" t="str">
            <v>VV</v>
          </cell>
        </row>
        <row r="638">
          <cell r="A638" t="str">
            <v>VV</v>
          </cell>
        </row>
        <row r="639">
          <cell r="A639" t="str">
            <v>VV</v>
          </cell>
        </row>
        <row r="640">
          <cell r="A640" t="str">
            <v>VV</v>
          </cell>
        </row>
        <row r="641">
          <cell r="A641" t="str">
            <v>VV</v>
          </cell>
        </row>
        <row r="642">
          <cell r="A642" t="str">
            <v>VV</v>
          </cell>
        </row>
        <row r="643">
          <cell r="A643" t="str">
            <v>VV</v>
          </cell>
        </row>
        <row r="644">
          <cell r="A644" t="str">
            <v>VV</v>
          </cell>
        </row>
        <row r="645">
          <cell r="A645" t="str">
            <v>VV</v>
          </cell>
        </row>
        <row r="646">
          <cell r="A646" t="str">
            <v>VV</v>
          </cell>
        </row>
        <row r="647">
          <cell r="A647" t="str">
            <v>VV</v>
          </cell>
        </row>
        <row r="648">
          <cell r="A648" t="str">
            <v>VV</v>
          </cell>
        </row>
        <row r="649">
          <cell r="A649" t="str">
            <v>VV</v>
          </cell>
        </row>
        <row r="650">
          <cell r="A650" t="str">
            <v>VV</v>
          </cell>
        </row>
        <row r="651">
          <cell r="A651" t="str">
            <v>VV</v>
          </cell>
        </row>
        <row r="652">
          <cell r="A652" t="str">
            <v>VV</v>
          </cell>
        </row>
        <row r="653">
          <cell r="A653" t="str">
            <v>VV</v>
          </cell>
        </row>
        <row r="654">
          <cell r="A654" t="str">
            <v>VV</v>
          </cell>
        </row>
        <row r="655">
          <cell r="A655" t="str">
            <v>VV</v>
          </cell>
        </row>
        <row r="656">
          <cell r="A656" t="str">
            <v>VV</v>
          </cell>
        </row>
        <row r="657">
          <cell r="A657" t="str">
            <v>VV</v>
          </cell>
        </row>
        <row r="658">
          <cell r="A658" t="str">
            <v>VV</v>
          </cell>
        </row>
        <row r="659">
          <cell r="A659" t="str">
            <v>VV</v>
          </cell>
        </row>
        <row r="660">
          <cell r="A660" t="str">
            <v>VV</v>
          </cell>
        </row>
        <row r="661">
          <cell r="A661" t="str">
            <v>VV</v>
          </cell>
        </row>
        <row r="662">
          <cell r="A662" t="str">
            <v>VV</v>
          </cell>
        </row>
        <row r="663">
          <cell r="A663" t="str">
            <v>TS</v>
          </cell>
        </row>
        <row r="664">
          <cell r="A664" t="str">
            <v>P</v>
          </cell>
          <cell r="O664">
            <v>0</v>
          </cell>
        </row>
        <row r="665">
          <cell r="A665" t="str">
            <v>PP</v>
          </cell>
        </row>
        <row r="666">
          <cell r="A666" t="str">
            <v>VV</v>
          </cell>
        </row>
        <row r="667">
          <cell r="A667" t="str">
            <v>VV</v>
          </cell>
        </row>
        <row r="668">
          <cell r="A668" t="str">
            <v>VV</v>
          </cell>
        </row>
        <row r="669">
          <cell r="A669" t="str">
            <v>VV</v>
          </cell>
        </row>
        <row r="670">
          <cell r="A670" t="str">
            <v>VV</v>
          </cell>
        </row>
        <row r="671">
          <cell r="A671" t="str">
            <v>VV</v>
          </cell>
        </row>
        <row r="672">
          <cell r="A672" t="str">
            <v>VV</v>
          </cell>
        </row>
        <row r="673">
          <cell r="A673" t="str">
            <v>VV</v>
          </cell>
        </row>
        <row r="674">
          <cell r="A674" t="str">
            <v>VV</v>
          </cell>
        </row>
        <row r="675">
          <cell r="A675" t="str">
            <v>VV</v>
          </cell>
        </row>
        <row r="676">
          <cell r="A676" t="str">
            <v>VV</v>
          </cell>
        </row>
        <row r="677">
          <cell r="A677" t="str">
            <v>VV</v>
          </cell>
        </row>
        <row r="678">
          <cell r="A678" t="str">
            <v>VV</v>
          </cell>
        </row>
        <row r="679">
          <cell r="A679" t="str">
            <v>VV</v>
          </cell>
        </row>
        <row r="680">
          <cell r="A680" t="str">
            <v>VV</v>
          </cell>
        </row>
        <row r="681">
          <cell r="A681" t="str">
            <v>VV</v>
          </cell>
        </row>
        <row r="682">
          <cell r="A682" t="str">
            <v>VV</v>
          </cell>
        </row>
        <row r="683">
          <cell r="A683" t="str">
            <v>VV</v>
          </cell>
        </row>
        <row r="684">
          <cell r="A684" t="str">
            <v>VV</v>
          </cell>
        </row>
        <row r="685">
          <cell r="A685" t="str">
            <v>VV</v>
          </cell>
        </row>
        <row r="686">
          <cell r="A686" t="str">
            <v>VV</v>
          </cell>
        </row>
        <row r="687">
          <cell r="A687" t="str">
            <v>VV</v>
          </cell>
        </row>
        <row r="688">
          <cell r="A688" t="str">
            <v>VV</v>
          </cell>
        </row>
        <row r="689">
          <cell r="A689" t="str">
            <v>VV</v>
          </cell>
        </row>
        <row r="690">
          <cell r="A690" t="str">
            <v>VV</v>
          </cell>
        </row>
        <row r="691">
          <cell r="A691" t="str">
            <v>VV</v>
          </cell>
        </row>
        <row r="692">
          <cell r="A692" t="str">
            <v>VV</v>
          </cell>
        </row>
        <row r="693">
          <cell r="A693" t="str">
            <v>VV</v>
          </cell>
        </row>
        <row r="694">
          <cell r="A694" t="str">
            <v>VV</v>
          </cell>
        </row>
        <row r="695">
          <cell r="A695" t="str">
            <v>VV</v>
          </cell>
        </row>
        <row r="696">
          <cell r="A696" t="str">
            <v>VV</v>
          </cell>
        </row>
        <row r="697">
          <cell r="A697" t="str">
            <v>VV</v>
          </cell>
        </row>
        <row r="698">
          <cell r="A698" t="str">
            <v>VV</v>
          </cell>
        </row>
        <row r="699">
          <cell r="A699" t="str">
            <v>VV</v>
          </cell>
        </row>
        <row r="700">
          <cell r="A700" t="str">
            <v>VV</v>
          </cell>
        </row>
        <row r="701">
          <cell r="A701" t="str">
            <v>VV</v>
          </cell>
        </row>
        <row r="702">
          <cell r="A702" t="str">
            <v>VV</v>
          </cell>
        </row>
        <row r="703">
          <cell r="A703" t="str">
            <v>VV</v>
          </cell>
        </row>
        <row r="704">
          <cell r="A704" t="str">
            <v>VV</v>
          </cell>
        </row>
        <row r="705">
          <cell r="A705" t="str">
            <v>VV</v>
          </cell>
        </row>
        <row r="706">
          <cell r="A706" t="str">
            <v>VV</v>
          </cell>
        </row>
        <row r="707">
          <cell r="A707" t="str">
            <v>VV</v>
          </cell>
        </row>
        <row r="708">
          <cell r="A708" t="str">
            <v>VV</v>
          </cell>
        </row>
        <row r="709">
          <cell r="A709" t="str">
            <v>VV</v>
          </cell>
        </row>
        <row r="710">
          <cell r="A710" t="str">
            <v>VV</v>
          </cell>
        </row>
        <row r="711">
          <cell r="A711" t="str">
            <v>VV</v>
          </cell>
        </row>
        <row r="712">
          <cell r="A712" t="str">
            <v>VV</v>
          </cell>
        </row>
        <row r="713">
          <cell r="A713" t="str">
            <v>VV</v>
          </cell>
        </row>
        <row r="714">
          <cell r="A714" t="str">
            <v>VV</v>
          </cell>
        </row>
        <row r="715">
          <cell r="A715" t="str">
            <v>VV</v>
          </cell>
        </row>
        <row r="716">
          <cell r="A716" t="str">
            <v>TS</v>
          </cell>
        </row>
        <row r="717">
          <cell r="A717" t="str">
            <v>P</v>
          </cell>
          <cell r="O717">
            <v>0</v>
          </cell>
        </row>
        <row r="718">
          <cell r="A718" t="str">
            <v>PP</v>
          </cell>
        </row>
        <row r="719">
          <cell r="A719" t="str">
            <v>VV</v>
          </cell>
        </row>
        <row r="720">
          <cell r="A720" t="str">
            <v>VV</v>
          </cell>
        </row>
        <row r="721">
          <cell r="A721" t="str">
            <v>VV</v>
          </cell>
        </row>
        <row r="722">
          <cell r="A722" t="str">
            <v>VV</v>
          </cell>
        </row>
        <row r="723">
          <cell r="A723" t="str">
            <v>VV</v>
          </cell>
        </row>
        <row r="724">
          <cell r="A724" t="str">
            <v>VV</v>
          </cell>
        </row>
        <row r="725">
          <cell r="A725" t="str">
            <v>VV</v>
          </cell>
        </row>
        <row r="726">
          <cell r="A726" t="str">
            <v>VV</v>
          </cell>
        </row>
        <row r="727">
          <cell r="A727" t="str">
            <v>VV</v>
          </cell>
        </row>
        <row r="728">
          <cell r="A728" t="str">
            <v>VV</v>
          </cell>
        </row>
        <row r="729">
          <cell r="A729" t="str">
            <v>VV</v>
          </cell>
        </row>
        <row r="730">
          <cell r="A730" t="str">
            <v>VV</v>
          </cell>
        </row>
        <row r="731">
          <cell r="A731" t="str">
            <v>VV</v>
          </cell>
        </row>
        <row r="732">
          <cell r="A732" t="str">
            <v>VV</v>
          </cell>
        </row>
        <row r="733">
          <cell r="A733" t="str">
            <v>VV</v>
          </cell>
        </row>
        <row r="734">
          <cell r="A734" t="str">
            <v>VV</v>
          </cell>
        </row>
        <row r="735">
          <cell r="A735" t="str">
            <v>VV</v>
          </cell>
        </row>
        <row r="736">
          <cell r="A736" t="str">
            <v>VV</v>
          </cell>
        </row>
        <row r="737">
          <cell r="A737" t="str">
            <v>VV</v>
          </cell>
        </row>
        <row r="738">
          <cell r="A738" t="str">
            <v>VV</v>
          </cell>
        </row>
        <row r="739">
          <cell r="A739" t="str">
            <v>VV</v>
          </cell>
        </row>
        <row r="740">
          <cell r="A740" t="str">
            <v>VV</v>
          </cell>
        </row>
        <row r="741">
          <cell r="A741" t="str">
            <v>VV</v>
          </cell>
        </row>
        <row r="742">
          <cell r="A742" t="str">
            <v>VV</v>
          </cell>
        </row>
        <row r="743">
          <cell r="A743" t="str">
            <v>VV</v>
          </cell>
        </row>
        <row r="744">
          <cell r="A744" t="str">
            <v>VV</v>
          </cell>
        </row>
        <row r="745">
          <cell r="A745" t="str">
            <v>VV</v>
          </cell>
        </row>
        <row r="746">
          <cell r="A746" t="str">
            <v>VV</v>
          </cell>
        </row>
        <row r="747">
          <cell r="A747" t="str">
            <v>VV</v>
          </cell>
        </row>
        <row r="748">
          <cell r="A748" t="str">
            <v>VV</v>
          </cell>
        </row>
        <row r="749">
          <cell r="A749" t="str">
            <v>VV</v>
          </cell>
        </row>
        <row r="750">
          <cell r="A750" t="str">
            <v>VV</v>
          </cell>
        </row>
        <row r="751">
          <cell r="A751" t="str">
            <v>VV</v>
          </cell>
        </row>
        <row r="752">
          <cell r="A752" t="str">
            <v>VV</v>
          </cell>
        </row>
        <row r="753">
          <cell r="A753" t="str">
            <v>VV</v>
          </cell>
        </row>
        <row r="754">
          <cell r="A754" t="str">
            <v>VV</v>
          </cell>
        </row>
        <row r="755">
          <cell r="A755" t="str">
            <v>VV</v>
          </cell>
        </row>
        <row r="756">
          <cell r="A756" t="str">
            <v>VV</v>
          </cell>
        </row>
        <row r="757">
          <cell r="A757" t="str">
            <v>VV</v>
          </cell>
        </row>
        <row r="758">
          <cell r="A758" t="str">
            <v>VV</v>
          </cell>
        </row>
        <row r="759">
          <cell r="A759" t="str">
            <v>VV</v>
          </cell>
        </row>
        <row r="760">
          <cell r="A760" t="str">
            <v>VV</v>
          </cell>
        </row>
        <row r="761">
          <cell r="A761" t="str">
            <v>VV</v>
          </cell>
        </row>
        <row r="762">
          <cell r="A762" t="str">
            <v>TS</v>
          </cell>
        </row>
        <row r="763">
          <cell r="A763" t="str">
            <v>P</v>
          </cell>
          <cell r="O763">
            <v>0</v>
          </cell>
        </row>
        <row r="764">
          <cell r="A764" t="str">
            <v>PP</v>
          </cell>
        </row>
        <row r="765">
          <cell r="A765" t="str">
            <v>VV</v>
          </cell>
        </row>
        <row r="766">
          <cell r="A766" t="str">
            <v>VV</v>
          </cell>
        </row>
        <row r="767">
          <cell r="A767" t="str">
            <v>VV</v>
          </cell>
        </row>
        <row r="768">
          <cell r="A768" t="str">
            <v>TS</v>
          </cell>
        </row>
        <row r="769">
          <cell r="A769" t="str">
            <v>SD</v>
          </cell>
        </row>
        <row r="770">
          <cell r="A770" t="str">
            <v>P</v>
          </cell>
          <cell r="O770">
            <v>0</v>
          </cell>
        </row>
        <row r="771">
          <cell r="A771" t="str">
            <v>PP</v>
          </cell>
        </row>
        <row r="772">
          <cell r="A772" t="str">
            <v>VV</v>
          </cell>
        </row>
        <row r="773">
          <cell r="A773" t="str">
            <v>VV</v>
          </cell>
        </row>
        <row r="774">
          <cell r="A774" t="str">
            <v>TS</v>
          </cell>
        </row>
        <row r="775">
          <cell r="A775" t="str">
            <v>SD</v>
          </cell>
        </row>
        <row r="776">
          <cell r="A776" t="str">
            <v>P</v>
          </cell>
          <cell r="O776">
            <v>0</v>
          </cell>
        </row>
        <row r="777">
          <cell r="A777" t="str">
            <v>PP</v>
          </cell>
        </row>
        <row r="778">
          <cell r="A778" t="str">
            <v>VV</v>
          </cell>
        </row>
        <row r="779">
          <cell r="A779" t="str">
            <v>VV</v>
          </cell>
        </row>
        <row r="780">
          <cell r="A780" t="str">
            <v>VV</v>
          </cell>
        </row>
        <row r="781">
          <cell r="A781" t="str">
            <v>VV</v>
          </cell>
        </row>
        <row r="782">
          <cell r="A782" t="str">
            <v>VV</v>
          </cell>
        </row>
        <row r="783">
          <cell r="A783" t="str">
            <v>VV</v>
          </cell>
        </row>
        <row r="784">
          <cell r="A784" t="str">
            <v>VV</v>
          </cell>
        </row>
        <row r="785">
          <cell r="A785" t="str">
            <v>VV</v>
          </cell>
        </row>
        <row r="786">
          <cell r="A786" t="str">
            <v>VV</v>
          </cell>
        </row>
        <row r="787">
          <cell r="A787" t="str">
            <v>VV</v>
          </cell>
        </row>
        <row r="788">
          <cell r="A788" t="str">
            <v>VV</v>
          </cell>
        </row>
        <row r="789">
          <cell r="A789" t="str">
            <v>VV</v>
          </cell>
        </row>
        <row r="790">
          <cell r="A790" t="str">
            <v>TS</v>
          </cell>
        </row>
        <row r="791">
          <cell r="A791" t="str">
            <v>SD</v>
          </cell>
        </row>
        <row r="792">
          <cell r="A792" t="str">
            <v>P</v>
          </cell>
          <cell r="O792">
            <v>0</v>
          </cell>
        </row>
        <row r="793">
          <cell r="A793" t="str">
            <v>PP</v>
          </cell>
        </row>
        <row r="794">
          <cell r="A794" t="str">
            <v>VV</v>
          </cell>
        </row>
        <row r="795">
          <cell r="A795" t="str">
            <v>VV</v>
          </cell>
        </row>
        <row r="796">
          <cell r="A796" t="str">
            <v>VV</v>
          </cell>
        </row>
        <row r="797">
          <cell r="A797" t="str">
            <v>VV</v>
          </cell>
        </row>
        <row r="798">
          <cell r="A798" t="str">
            <v>TS</v>
          </cell>
        </row>
        <row r="799">
          <cell r="A799" t="str">
            <v>P</v>
          </cell>
          <cell r="O799">
            <v>0</v>
          </cell>
        </row>
        <row r="800">
          <cell r="A800" t="str">
            <v>PP</v>
          </cell>
        </row>
        <row r="801">
          <cell r="A801" t="str">
            <v>VV</v>
          </cell>
        </row>
        <row r="802">
          <cell r="A802" t="str">
            <v>VV</v>
          </cell>
        </row>
        <row r="803">
          <cell r="A803" t="str">
            <v>VV</v>
          </cell>
        </row>
        <row r="804">
          <cell r="A804" t="str">
            <v>VV</v>
          </cell>
        </row>
        <row r="805">
          <cell r="A805" t="str">
            <v>VV</v>
          </cell>
        </row>
        <row r="806">
          <cell r="A806" t="str">
            <v>VV</v>
          </cell>
        </row>
        <row r="807">
          <cell r="A807" t="str">
            <v>VV</v>
          </cell>
        </row>
        <row r="808">
          <cell r="A808" t="str">
            <v>TS</v>
          </cell>
        </row>
        <row r="809">
          <cell r="A809" t="str">
            <v>P</v>
          </cell>
          <cell r="O809">
            <v>0</v>
          </cell>
        </row>
        <row r="810">
          <cell r="A810" t="str">
            <v>PP</v>
          </cell>
        </row>
        <row r="811">
          <cell r="A811" t="str">
            <v>VV</v>
          </cell>
        </row>
        <row r="812">
          <cell r="A812" t="str">
            <v>VV</v>
          </cell>
        </row>
        <row r="813">
          <cell r="A813" t="str">
            <v>VV</v>
          </cell>
        </row>
        <row r="814">
          <cell r="A814" t="str">
            <v>VV</v>
          </cell>
        </row>
        <row r="815">
          <cell r="A815" t="str">
            <v>VV</v>
          </cell>
        </row>
        <row r="816">
          <cell r="A816" t="str">
            <v>VV</v>
          </cell>
        </row>
        <row r="817">
          <cell r="A817" t="str">
            <v>VV</v>
          </cell>
        </row>
        <row r="818">
          <cell r="A818" t="str">
            <v>VV</v>
          </cell>
        </row>
        <row r="819">
          <cell r="A819" t="str">
            <v>VV</v>
          </cell>
        </row>
        <row r="820">
          <cell r="A820" t="str">
            <v>VV</v>
          </cell>
        </row>
        <row r="821">
          <cell r="A821" t="str">
            <v>VV</v>
          </cell>
        </row>
        <row r="822">
          <cell r="A822" t="str">
            <v>VV</v>
          </cell>
        </row>
        <row r="823">
          <cell r="A823" t="str">
            <v>VV</v>
          </cell>
        </row>
        <row r="824">
          <cell r="A824" t="str">
            <v>VV</v>
          </cell>
        </row>
        <row r="825">
          <cell r="A825" t="str">
            <v>VV</v>
          </cell>
        </row>
        <row r="826">
          <cell r="A826" t="str">
            <v>VV</v>
          </cell>
        </row>
        <row r="827">
          <cell r="A827" t="str">
            <v>VV</v>
          </cell>
        </row>
        <row r="828">
          <cell r="A828" t="str">
            <v>VV</v>
          </cell>
        </row>
        <row r="829">
          <cell r="A829" t="str">
            <v>VV</v>
          </cell>
        </row>
        <row r="830">
          <cell r="A830" t="str">
            <v>VV</v>
          </cell>
        </row>
        <row r="831">
          <cell r="A831" t="str">
            <v>VV</v>
          </cell>
        </row>
        <row r="832">
          <cell r="A832" t="str">
            <v>TS</v>
          </cell>
        </row>
        <row r="833">
          <cell r="A833" t="str">
            <v>P</v>
          </cell>
          <cell r="O833">
            <v>0</v>
          </cell>
        </row>
        <row r="834">
          <cell r="A834" t="str">
            <v>PP</v>
          </cell>
        </row>
        <row r="835">
          <cell r="A835" t="str">
            <v>VV</v>
          </cell>
        </row>
        <row r="836">
          <cell r="A836" t="str">
            <v>VV</v>
          </cell>
        </row>
        <row r="837">
          <cell r="A837" t="str">
            <v>VV</v>
          </cell>
        </row>
        <row r="838">
          <cell r="A838" t="str">
            <v>VV</v>
          </cell>
        </row>
        <row r="839">
          <cell r="A839" t="str">
            <v>VV</v>
          </cell>
        </row>
        <row r="840">
          <cell r="A840" t="str">
            <v>VV</v>
          </cell>
        </row>
        <row r="841">
          <cell r="A841" t="str">
            <v>VV</v>
          </cell>
        </row>
        <row r="842">
          <cell r="A842" t="str">
            <v>VV</v>
          </cell>
        </row>
        <row r="843">
          <cell r="A843" t="str">
            <v>VV</v>
          </cell>
        </row>
        <row r="844">
          <cell r="A844" t="str">
            <v>VV</v>
          </cell>
        </row>
        <row r="845">
          <cell r="A845" t="str">
            <v>VV</v>
          </cell>
        </row>
        <row r="846">
          <cell r="A846" t="str">
            <v>VV</v>
          </cell>
        </row>
        <row r="847">
          <cell r="A847" t="str">
            <v>VV</v>
          </cell>
        </row>
        <row r="848">
          <cell r="A848" t="str">
            <v>VV</v>
          </cell>
        </row>
        <row r="849">
          <cell r="A849" t="str">
            <v>VV</v>
          </cell>
        </row>
        <row r="850">
          <cell r="A850" t="str">
            <v>VV</v>
          </cell>
        </row>
        <row r="851">
          <cell r="A851" t="str">
            <v>VV</v>
          </cell>
        </row>
        <row r="852">
          <cell r="A852" t="str">
            <v>VV</v>
          </cell>
        </row>
        <row r="853">
          <cell r="A853" t="str">
            <v>VV</v>
          </cell>
        </row>
        <row r="854">
          <cell r="A854" t="str">
            <v>VV</v>
          </cell>
        </row>
        <row r="855">
          <cell r="A855" t="str">
            <v>VV</v>
          </cell>
        </row>
        <row r="856">
          <cell r="A856" t="str">
            <v>TS</v>
          </cell>
        </row>
        <row r="857">
          <cell r="A857" t="str">
            <v>P</v>
          </cell>
          <cell r="O857">
            <v>0</v>
          </cell>
        </row>
        <row r="858">
          <cell r="A858" t="str">
            <v>PP</v>
          </cell>
        </row>
        <row r="859">
          <cell r="A859" t="str">
            <v>VV</v>
          </cell>
        </row>
        <row r="860">
          <cell r="A860" t="str">
            <v>VV</v>
          </cell>
        </row>
        <row r="861">
          <cell r="A861" t="str">
            <v>VV</v>
          </cell>
        </row>
        <row r="862">
          <cell r="A862" t="str">
            <v>VV</v>
          </cell>
        </row>
        <row r="863">
          <cell r="A863" t="str">
            <v>VV</v>
          </cell>
        </row>
        <row r="864">
          <cell r="A864" t="str">
            <v>VV</v>
          </cell>
        </row>
        <row r="865">
          <cell r="A865" t="str">
            <v>VV</v>
          </cell>
        </row>
        <row r="866">
          <cell r="A866" t="str">
            <v>VV</v>
          </cell>
        </row>
        <row r="867">
          <cell r="A867" t="str">
            <v>VV</v>
          </cell>
        </row>
        <row r="868">
          <cell r="A868" t="str">
            <v>VV</v>
          </cell>
        </row>
        <row r="869">
          <cell r="A869" t="str">
            <v>VV</v>
          </cell>
        </row>
        <row r="870">
          <cell r="A870" t="str">
            <v>VV</v>
          </cell>
        </row>
        <row r="871">
          <cell r="A871" t="str">
            <v>VV</v>
          </cell>
        </row>
        <row r="872">
          <cell r="A872" t="str">
            <v>VV</v>
          </cell>
        </row>
        <row r="873">
          <cell r="A873" t="str">
            <v>VV</v>
          </cell>
        </row>
        <row r="874">
          <cell r="A874" t="str">
            <v>VV</v>
          </cell>
        </row>
        <row r="875">
          <cell r="A875" t="str">
            <v>VV</v>
          </cell>
        </row>
        <row r="876">
          <cell r="A876" t="str">
            <v>VV</v>
          </cell>
        </row>
        <row r="877">
          <cell r="A877" t="str">
            <v>VV</v>
          </cell>
        </row>
        <row r="878">
          <cell r="A878" t="str">
            <v>VV</v>
          </cell>
        </row>
        <row r="879">
          <cell r="A879" t="str">
            <v>VV</v>
          </cell>
        </row>
        <row r="880">
          <cell r="A880" t="str">
            <v>VV</v>
          </cell>
        </row>
        <row r="881">
          <cell r="A881" t="str">
            <v>TS</v>
          </cell>
        </row>
        <row r="882">
          <cell r="A882" t="str">
            <v>P</v>
          </cell>
          <cell r="O882">
            <v>0</v>
          </cell>
        </row>
        <row r="883">
          <cell r="A883" t="str">
            <v>PP</v>
          </cell>
        </row>
        <row r="884">
          <cell r="A884" t="str">
            <v>VV</v>
          </cell>
        </row>
        <row r="885">
          <cell r="A885" t="str">
            <v>VV</v>
          </cell>
        </row>
        <row r="886">
          <cell r="A886" t="str">
            <v>VV</v>
          </cell>
        </row>
        <row r="887">
          <cell r="A887" t="str">
            <v>VV</v>
          </cell>
        </row>
        <row r="888">
          <cell r="A888" t="str">
            <v>VV</v>
          </cell>
        </row>
        <row r="889">
          <cell r="A889" t="str">
            <v>VV</v>
          </cell>
        </row>
        <row r="890">
          <cell r="A890" t="str">
            <v>VV</v>
          </cell>
        </row>
        <row r="891">
          <cell r="A891" t="str">
            <v>VV</v>
          </cell>
        </row>
        <row r="892">
          <cell r="A892" t="str">
            <v>VV</v>
          </cell>
        </row>
        <row r="893">
          <cell r="A893" t="str">
            <v>VV</v>
          </cell>
        </row>
        <row r="894">
          <cell r="A894" t="str">
            <v>VV</v>
          </cell>
        </row>
        <row r="895">
          <cell r="A895" t="str">
            <v>VV</v>
          </cell>
        </row>
        <row r="896">
          <cell r="A896" t="str">
            <v>VV</v>
          </cell>
        </row>
        <row r="897">
          <cell r="A897" t="str">
            <v>VV</v>
          </cell>
        </row>
        <row r="898">
          <cell r="A898" t="str">
            <v>VV</v>
          </cell>
        </row>
        <row r="899">
          <cell r="A899" t="str">
            <v>VV</v>
          </cell>
        </row>
        <row r="900">
          <cell r="A900" t="str">
            <v>VV</v>
          </cell>
        </row>
        <row r="901">
          <cell r="A901" t="str">
            <v>VV</v>
          </cell>
        </row>
        <row r="902">
          <cell r="A902" t="str">
            <v>VV</v>
          </cell>
        </row>
        <row r="903">
          <cell r="A903" t="str">
            <v>VV</v>
          </cell>
        </row>
        <row r="904">
          <cell r="A904" t="str">
            <v>TS</v>
          </cell>
        </row>
        <row r="905">
          <cell r="A905" t="str">
            <v>P</v>
          </cell>
          <cell r="O905">
            <v>0</v>
          </cell>
        </row>
        <row r="906">
          <cell r="A906" t="str">
            <v>PP</v>
          </cell>
        </row>
        <row r="907">
          <cell r="A907" t="str">
            <v>VV</v>
          </cell>
        </row>
        <row r="908">
          <cell r="A908" t="str">
            <v>VV</v>
          </cell>
        </row>
        <row r="909">
          <cell r="A909" t="str">
            <v>TS</v>
          </cell>
        </row>
      </sheetData>
      <sheetData sheetId="10">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TS</v>
          </cell>
        </row>
        <row r="40">
          <cell r="A40" t="str">
            <v>P</v>
          </cell>
          <cell r="O40">
            <v>0</v>
          </cell>
        </row>
        <row r="41">
          <cell r="A41" t="str">
            <v>PP</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VV</v>
          </cell>
        </row>
        <row r="108">
          <cell r="A108" t="str">
            <v>VV</v>
          </cell>
        </row>
        <row r="109">
          <cell r="A109" t="str">
            <v>VV</v>
          </cell>
        </row>
        <row r="110">
          <cell r="A110" t="str">
            <v>VV</v>
          </cell>
        </row>
        <row r="111">
          <cell r="A111" t="str">
            <v>VV</v>
          </cell>
        </row>
        <row r="112">
          <cell r="A112" t="str">
            <v>VV</v>
          </cell>
        </row>
        <row r="113">
          <cell r="A113" t="str">
            <v>VV</v>
          </cell>
        </row>
        <row r="114">
          <cell r="A114" t="str">
            <v>VV</v>
          </cell>
        </row>
        <row r="115">
          <cell r="A115" t="str">
            <v>VV</v>
          </cell>
        </row>
        <row r="116">
          <cell r="A116" t="str">
            <v>VV</v>
          </cell>
        </row>
        <row r="117">
          <cell r="A117" t="str">
            <v>VV</v>
          </cell>
        </row>
        <row r="118">
          <cell r="A118" t="str">
            <v>VV</v>
          </cell>
        </row>
        <row r="119">
          <cell r="A119" t="str">
            <v>VV</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VV</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VV</v>
          </cell>
        </row>
        <row r="147">
          <cell r="A147" t="str">
            <v>VV</v>
          </cell>
        </row>
        <row r="148">
          <cell r="A148" t="str">
            <v>VV</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VV</v>
          </cell>
        </row>
        <row r="164">
          <cell r="A164" t="str">
            <v>VV</v>
          </cell>
        </row>
        <row r="165">
          <cell r="A165" t="str">
            <v>TS</v>
          </cell>
        </row>
        <row r="166">
          <cell r="A166" t="str">
            <v>P</v>
          </cell>
          <cell r="O166">
            <v>0</v>
          </cell>
        </row>
        <row r="167">
          <cell r="A167" t="str">
            <v>PP</v>
          </cell>
        </row>
        <row r="168">
          <cell r="A168" t="str">
            <v>VV</v>
          </cell>
        </row>
        <row r="169">
          <cell r="A169" t="str">
            <v>VV</v>
          </cell>
        </row>
        <row r="170">
          <cell r="A170" t="str">
            <v>VV</v>
          </cell>
        </row>
        <row r="171">
          <cell r="A171" t="str">
            <v>VV</v>
          </cell>
        </row>
        <row r="172">
          <cell r="A172" t="str">
            <v>VV</v>
          </cell>
        </row>
        <row r="173">
          <cell r="A173" t="str">
            <v>VV</v>
          </cell>
        </row>
        <row r="174">
          <cell r="A174" t="str">
            <v>VV</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VV</v>
          </cell>
        </row>
        <row r="185">
          <cell r="A185" t="str">
            <v>VV</v>
          </cell>
        </row>
        <row r="186">
          <cell r="A186" t="str">
            <v>VV</v>
          </cell>
        </row>
        <row r="187">
          <cell r="A187" t="str">
            <v>VV</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VV</v>
          </cell>
        </row>
        <row r="198">
          <cell r="A198" t="str">
            <v>VV</v>
          </cell>
        </row>
        <row r="199">
          <cell r="A199" t="str">
            <v>VV</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VV</v>
          </cell>
        </row>
        <row r="208">
          <cell r="A208" t="str">
            <v>VV</v>
          </cell>
        </row>
        <row r="209">
          <cell r="A209" t="str">
            <v>VV</v>
          </cell>
        </row>
        <row r="210">
          <cell r="A210" t="str">
            <v>VV</v>
          </cell>
        </row>
        <row r="211">
          <cell r="A211" t="str">
            <v>VV</v>
          </cell>
        </row>
        <row r="212">
          <cell r="A212" t="str">
            <v>VV</v>
          </cell>
        </row>
        <row r="213">
          <cell r="A213" t="str">
            <v>VV</v>
          </cell>
        </row>
        <row r="214">
          <cell r="A214" t="str">
            <v>VV</v>
          </cell>
        </row>
        <row r="215">
          <cell r="A215" t="str">
            <v>VV</v>
          </cell>
        </row>
        <row r="216">
          <cell r="A216" t="str">
            <v>VV</v>
          </cell>
        </row>
        <row r="217">
          <cell r="A217" t="str">
            <v>VV</v>
          </cell>
        </row>
        <row r="218">
          <cell r="A218" t="str">
            <v>VV</v>
          </cell>
        </row>
        <row r="219">
          <cell r="A219" t="str">
            <v>VV</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VV</v>
          </cell>
        </row>
        <row r="232">
          <cell r="A232" t="str">
            <v>VV</v>
          </cell>
        </row>
        <row r="233">
          <cell r="A233" t="str">
            <v>VV</v>
          </cell>
        </row>
        <row r="234">
          <cell r="A234" t="str">
            <v>VV</v>
          </cell>
        </row>
        <row r="235">
          <cell r="A235" t="str">
            <v>VV</v>
          </cell>
        </row>
        <row r="236">
          <cell r="A236" t="str">
            <v>VV</v>
          </cell>
        </row>
        <row r="237">
          <cell r="A237" t="str">
            <v>VV</v>
          </cell>
        </row>
        <row r="238">
          <cell r="A238" t="str">
            <v>VV</v>
          </cell>
        </row>
        <row r="239">
          <cell r="A239" t="str">
            <v>VV</v>
          </cell>
        </row>
        <row r="240">
          <cell r="A240" t="str">
            <v>VV</v>
          </cell>
        </row>
        <row r="241">
          <cell r="A241" t="str">
            <v>VV</v>
          </cell>
        </row>
        <row r="242">
          <cell r="A242" t="str">
            <v>VV</v>
          </cell>
        </row>
        <row r="243">
          <cell r="A243" t="str">
            <v>VV</v>
          </cell>
        </row>
        <row r="244">
          <cell r="A244" t="str">
            <v>VV</v>
          </cell>
        </row>
        <row r="245">
          <cell r="A245" t="str">
            <v>VV</v>
          </cell>
        </row>
        <row r="246">
          <cell r="A246" t="str">
            <v>VV</v>
          </cell>
        </row>
        <row r="247">
          <cell r="A247" t="str">
            <v>VV</v>
          </cell>
        </row>
        <row r="248">
          <cell r="A248" t="str">
            <v>VV</v>
          </cell>
        </row>
        <row r="249">
          <cell r="A249" t="str">
            <v>VV</v>
          </cell>
        </row>
        <row r="250">
          <cell r="A250" t="str">
            <v>VV</v>
          </cell>
        </row>
        <row r="251">
          <cell r="A251" t="str">
            <v>VV</v>
          </cell>
        </row>
        <row r="252">
          <cell r="A252" t="str">
            <v>VV</v>
          </cell>
        </row>
        <row r="253">
          <cell r="A253" t="str">
            <v>VV</v>
          </cell>
        </row>
        <row r="254">
          <cell r="A254" t="str">
            <v>VV</v>
          </cell>
        </row>
        <row r="255">
          <cell r="A255" t="str">
            <v>VV</v>
          </cell>
        </row>
        <row r="256">
          <cell r="A256" t="str">
            <v>VV</v>
          </cell>
        </row>
        <row r="257">
          <cell r="A257" t="str">
            <v>VV</v>
          </cell>
        </row>
        <row r="258">
          <cell r="A258" t="str">
            <v>VV</v>
          </cell>
        </row>
        <row r="259">
          <cell r="A259" t="str">
            <v>VV</v>
          </cell>
        </row>
        <row r="260">
          <cell r="A260" t="str">
            <v>VV</v>
          </cell>
        </row>
        <row r="261">
          <cell r="A261" t="str">
            <v>VV</v>
          </cell>
        </row>
        <row r="262">
          <cell r="A262" t="str">
            <v>VV</v>
          </cell>
        </row>
        <row r="263">
          <cell r="A263" t="str">
            <v>VV</v>
          </cell>
        </row>
        <row r="264">
          <cell r="A264" t="str">
            <v>VV</v>
          </cell>
        </row>
        <row r="265">
          <cell r="A265" t="str">
            <v>VV</v>
          </cell>
        </row>
        <row r="266">
          <cell r="A266" t="str">
            <v>VV</v>
          </cell>
        </row>
        <row r="267">
          <cell r="A267" t="str">
            <v>VV</v>
          </cell>
        </row>
        <row r="268">
          <cell r="A268" t="str">
            <v>VV</v>
          </cell>
        </row>
        <row r="269">
          <cell r="A269" t="str">
            <v>VV</v>
          </cell>
        </row>
        <row r="270">
          <cell r="A270" t="str">
            <v>VV</v>
          </cell>
        </row>
        <row r="271">
          <cell r="A271" t="str">
            <v>VV</v>
          </cell>
        </row>
        <row r="272">
          <cell r="A272" t="str">
            <v>VV</v>
          </cell>
        </row>
        <row r="273">
          <cell r="A273" t="str">
            <v>VV</v>
          </cell>
        </row>
        <row r="274">
          <cell r="A274" t="str">
            <v>VV</v>
          </cell>
        </row>
        <row r="275">
          <cell r="A275" t="str">
            <v>VV</v>
          </cell>
        </row>
        <row r="276">
          <cell r="A276" t="str">
            <v>VV</v>
          </cell>
        </row>
        <row r="277">
          <cell r="A277" t="str">
            <v>VV</v>
          </cell>
        </row>
        <row r="278">
          <cell r="A278" t="str">
            <v>VV</v>
          </cell>
        </row>
        <row r="279">
          <cell r="A279" t="str">
            <v>VV</v>
          </cell>
        </row>
        <row r="280">
          <cell r="A280" t="str">
            <v>VV</v>
          </cell>
        </row>
        <row r="281">
          <cell r="A281" t="str">
            <v>VV</v>
          </cell>
        </row>
        <row r="282">
          <cell r="A282" t="str">
            <v>VV</v>
          </cell>
        </row>
        <row r="283">
          <cell r="A283" t="str">
            <v>VV</v>
          </cell>
        </row>
        <row r="284">
          <cell r="A284" t="str">
            <v>VV</v>
          </cell>
        </row>
        <row r="285">
          <cell r="A285" t="str">
            <v>VV</v>
          </cell>
        </row>
        <row r="286">
          <cell r="A286" t="str">
            <v>VV</v>
          </cell>
        </row>
        <row r="287">
          <cell r="A287" t="str">
            <v>VV</v>
          </cell>
        </row>
        <row r="288">
          <cell r="A288" t="str">
            <v>VV</v>
          </cell>
        </row>
        <row r="289">
          <cell r="A289" t="str">
            <v>VV</v>
          </cell>
        </row>
        <row r="290">
          <cell r="A290" t="str">
            <v>VV</v>
          </cell>
        </row>
        <row r="291">
          <cell r="A291" t="str">
            <v>VV</v>
          </cell>
        </row>
        <row r="292">
          <cell r="A292" t="str">
            <v>VV</v>
          </cell>
        </row>
        <row r="293">
          <cell r="A293" t="str">
            <v>VV</v>
          </cell>
        </row>
        <row r="294">
          <cell r="A294" t="str">
            <v>VV</v>
          </cell>
        </row>
        <row r="295">
          <cell r="A295" t="str">
            <v>VV</v>
          </cell>
        </row>
        <row r="296">
          <cell r="A296" t="str">
            <v>VV</v>
          </cell>
        </row>
        <row r="297">
          <cell r="A297" t="str">
            <v>VV</v>
          </cell>
        </row>
        <row r="298">
          <cell r="A298" t="str">
            <v>VV</v>
          </cell>
        </row>
        <row r="299">
          <cell r="A299" t="str">
            <v>VV</v>
          </cell>
        </row>
        <row r="300">
          <cell r="A300" t="str">
            <v>VV</v>
          </cell>
        </row>
        <row r="301">
          <cell r="A301" t="str">
            <v>VV</v>
          </cell>
        </row>
        <row r="302">
          <cell r="A302" t="str">
            <v>VV</v>
          </cell>
        </row>
        <row r="303">
          <cell r="A303" t="str">
            <v>VV</v>
          </cell>
        </row>
        <row r="304">
          <cell r="A304" t="str">
            <v>TS</v>
          </cell>
        </row>
        <row r="305">
          <cell r="A305" t="str">
            <v>P</v>
          </cell>
          <cell r="O305">
            <v>0</v>
          </cell>
        </row>
        <row r="306">
          <cell r="A306" t="str">
            <v>PP</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VV</v>
          </cell>
        </row>
        <row r="320">
          <cell r="A320" t="str">
            <v>VV</v>
          </cell>
        </row>
        <row r="321">
          <cell r="A321" t="str">
            <v>VV</v>
          </cell>
        </row>
        <row r="322">
          <cell r="A322" t="str">
            <v>VV</v>
          </cell>
        </row>
        <row r="323">
          <cell r="A323" t="str">
            <v>VV</v>
          </cell>
        </row>
        <row r="324">
          <cell r="A324" t="str">
            <v>VV</v>
          </cell>
        </row>
        <row r="325">
          <cell r="A325" t="str">
            <v>VV</v>
          </cell>
        </row>
        <row r="326">
          <cell r="A326" t="str">
            <v>VV</v>
          </cell>
        </row>
        <row r="327">
          <cell r="A327" t="str">
            <v>VV</v>
          </cell>
        </row>
        <row r="328">
          <cell r="A328" t="str">
            <v>VV</v>
          </cell>
        </row>
        <row r="329">
          <cell r="A329" t="str">
            <v>VV</v>
          </cell>
        </row>
        <row r="330">
          <cell r="A330" t="str">
            <v>VV</v>
          </cell>
        </row>
        <row r="331">
          <cell r="A331" t="str">
            <v>VV</v>
          </cell>
        </row>
        <row r="332">
          <cell r="A332" t="str">
            <v>VV</v>
          </cell>
        </row>
        <row r="333">
          <cell r="A333" t="str">
            <v>VV</v>
          </cell>
        </row>
        <row r="334">
          <cell r="A334" t="str">
            <v>VV</v>
          </cell>
        </row>
        <row r="335">
          <cell r="A335" t="str">
            <v>VV</v>
          </cell>
        </row>
        <row r="336">
          <cell r="A336" t="str">
            <v>VV</v>
          </cell>
        </row>
        <row r="337">
          <cell r="A337" t="str">
            <v>VV</v>
          </cell>
        </row>
        <row r="338">
          <cell r="A338" t="str">
            <v>VV</v>
          </cell>
        </row>
        <row r="339">
          <cell r="A339" t="str">
            <v>VV</v>
          </cell>
        </row>
        <row r="340">
          <cell r="A340" t="str">
            <v>VV</v>
          </cell>
        </row>
        <row r="341">
          <cell r="A341" t="str">
            <v>VV</v>
          </cell>
        </row>
        <row r="342">
          <cell r="A342" t="str">
            <v>VV</v>
          </cell>
        </row>
        <row r="343">
          <cell r="A343" t="str">
            <v>VV</v>
          </cell>
        </row>
        <row r="344">
          <cell r="A344" t="str">
            <v>VV</v>
          </cell>
        </row>
        <row r="345">
          <cell r="A345" t="str">
            <v>VV</v>
          </cell>
        </row>
        <row r="346">
          <cell r="A346" t="str">
            <v>VV</v>
          </cell>
        </row>
        <row r="347">
          <cell r="A347" t="str">
            <v>VV</v>
          </cell>
        </row>
        <row r="348">
          <cell r="A348" t="str">
            <v>VV</v>
          </cell>
        </row>
        <row r="349">
          <cell r="A349" t="str">
            <v>VV</v>
          </cell>
        </row>
        <row r="350">
          <cell r="A350" t="str">
            <v>VV</v>
          </cell>
        </row>
        <row r="351">
          <cell r="A351" t="str">
            <v>VV</v>
          </cell>
        </row>
        <row r="352">
          <cell r="A352" t="str">
            <v>VV</v>
          </cell>
        </row>
        <row r="353">
          <cell r="A353" t="str">
            <v>VV</v>
          </cell>
        </row>
        <row r="354">
          <cell r="A354" t="str">
            <v>VV</v>
          </cell>
        </row>
        <row r="355">
          <cell r="A355" t="str">
            <v>VV</v>
          </cell>
        </row>
        <row r="356">
          <cell r="A356" t="str">
            <v>VV</v>
          </cell>
        </row>
        <row r="357">
          <cell r="A357" t="str">
            <v>VV</v>
          </cell>
        </row>
        <row r="358">
          <cell r="A358" t="str">
            <v>VV</v>
          </cell>
        </row>
        <row r="359">
          <cell r="A359" t="str">
            <v>VV</v>
          </cell>
        </row>
        <row r="360">
          <cell r="A360" t="str">
            <v>VV</v>
          </cell>
        </row>
        <row r="361">
          <cell r="A361" t="str">
            <v>VV</v>
          </cell>
        </row>
        <row r="362">
          <cell r="A362" t="str">
            <v>VV</v>
          </cell>
        </row>
        <row r="363">
          <cell r="A363" t="str">
            <v>VV</v>
          </cell>
        </row>
        <row r="364">
          <cell r="A364" t="str">
            <v>VV</v>
          </cell>
        </row>
        <row r="365">
          <cell r="A365" t="str">
            <v>VV</v>
          </cell>
        </row>
        <row r="366">
          <cell r="A366" t="str">
            <v>VV</v>
          </cell>
        </row>
        <row r="367">
          <cell r="A367" t="str">
            <v>VV</v>
          </cell>
        </row>
        <row r="368">
          <cell r="A368" t="str">
            <v>VV</v>
          </cell>
        </row>
        <row r="369">
          <cell r="A369" t="str">
            <v>VV</v>
          </cell>
        </row>
        <row r="370">
          <cell r="A370" t="str">
            <v>VV</v>
          </cell>
        </row>
        <row r="371">
          <cell r="A371" t="str">
            <v>VV</v>
          </cell>
        </row>
        <row r="372">
          <cell r="A372" t="str">
            <v>VV</v>
          </cell>
        </row>
        <row r="373">
          <cell r="A373" t="str">
            <v>VV</v>
          </cell>
        </row>
        <row r="374">
          <cell r="A374" t="str">
            <v>VV</v>
          </cell>
        </row>
        <row r="375">
          <cell r="A375" t="str">
            <v>VV</v>
          </cell>
        </row>
        <row r="376">
          <cell r="A376" t="str">
            <v>VV</v>
          </cell>
        </row>
        <row r="377">
          <cell r="A377" t="str">
            <v>VV</v>
          </cell>
        </row>
        <row r="378">
          <cell r="A378" t="str">
            <v>VV</v>
          </cell>
        </row>
        <row r="379">
          <cell r="A379" t="str">
            <v>VV</v>
          </cell>
        </row>
        <row r="380">
          <cell r="A380" t="str">
            <v>VV</v>
          </cell>
        </row>
        <row r="381">
          <cell r="A381" t="str">
            <v>VV</v>
          </cell>
        </row>
        <row r="382">
          <cell r="A382" t="str">
            <v>VV</v>
          </cell>
        </row>
        <row r="383">
          <cell r="A383" t="str">
            <v>VV</v>
          </cell>
        </row>
        <row r="384">
          <cell r="A384" t="str">
            <v>VV</v>
          </cell>
        </row>
        <row r="385">
          <cell r="A385" t="str">
            <v>VV</v>
          </cell>
        </row>
        <row r="386">
          <cell r="A386" t="str">
            <v>VV</v>
          </cell>
        </row>
        <row r="387">
          <cell r="A387" t="str">
            <v>VV</v>
          </cell>
        </row>
        <row r="388">
          <cell r="A388" t="str">
            <v>VV</v>
          </cell>
        </row>
        <row r="389">
          <cell r="A389" t="str">
            <v>VV</v>
          </cell>
        </row>
        <row r="390">
          <cell r="A390" t="str">
            <v>VV</v>
          </cell>
        </row>
        <row r="391">
          <cell r="A391" t="str">
            <v>VV</v>
          </cell>
        </row>
        <row r="392">
          <cell r="A392" t="str">
            <v>VV</v>
          </cell>
        </row>
        <row r="393">
          <cell r="A393" t="str">
            <v>VV</v>
          </cell>
        </row>
        <row r="394">
          <cell r="A394" t="str">
            <v>VV</v>
          </cell>
        </row>
        <row r="395">
          <cell r="A395" t="str">
            <v>VV</v>
          </cell>
        </row>
        <row r="396">
          <cell r="A396" t="str">
            <v>VV</v>
          </cell>
        </row>
        <row r="397">
          <cell r="A397" t="str">
            <v>VV</v>
          </cell>
        </row>
        <row r="398">
          <cell r="A398" t="str">
            <v>VV</v>
          </cell>
        </row>
        <row r="399">
          <cell r="A399" t="str">
            <v>VV</v>
          </cell>
        </row>
        <row r="400">
          <cell r="A400" t="str">
            <v>VV</v>
          </cell>
        </row>
        <row r="401">
          <cell r="A401" t="str">
            <v>VV</v>
          </cell>
        </row>
        <row r="402">
          <cell r="A402" t="str">
            <v>VV</v>
          </cell>
        </row>
        <row r="403">
          <cell r="A403" t="str">
            <v>VV</v>
          </cell>
        </row>
        <row r="404">
          <cell r="A404" t="str">
            <v>VV</v>
          </cell>
        </row>
        <row r="405">
          <cell r="A405" t="str">
            <v>VV</v>
          </cell>
        </row>
        <row r="406">
          <cell r="A406" t="str">
            <v>VV</v>
          </cell>
        </row>
        <row r="407">
          <cell r="A407" t="str">
            <v>VV</v>
          </cell>
        </row>
        <row r="408">
          <cell r="A408" t="str">
            <v>VV</v>
          </cell>
        </row>
        <row r="409">
          <cell r="A409" t="str">
            <v>VV</v>
          </cell>
        </row>
        <row r="410">
          <cell r="A410" t="str">
            <v>VV</v>
          </cell>
        </row>
        <row r="411">
          <cell r="A411" t="str">
            <v>VV</v>
          </cell>
        </row>
        <row r="412">
          <cell r="A412" t="str">
            <v>VV</v>
          </cell>
        </row>
        <row r="413">
          <cell r="A413" t="str">
            <v>VV</v>
          </cell>
        </row>
        <row r="414">
          <cell r="A414" t="str">
            <v>VV</v>
          </cell>
        </row>
        <row r="415">
          <cell r="A415" t="str">
            <v>VV</v>
          </cell>
        </row>
        <row r="416">
          <cell r="A416" t="str">
            <v>VV</v>
          </cell>
        </row>
        <row r="417">
          <cell r="A417" t="str">
            <v>VV</v>
          </cell>
        </row>
        <row r="418">
          <cell r="A418" t="str">
            <v>VV</v>
          </cell>
        </row>
        <row r="419">
          <cell r="A419" t="str">
            <v>VV</v>
          </cell>
        </row>
        <row r="420">
          <cell r="A420" t="str">
            <v>VV</v>
          </cell>
        </row>
        <row r="421">
          <cell r="A421" t="str">
            <v>VV</v>
          </cell>
        </row>
        <row r="422">
          <cell r="A422" t="str">
            <v>VV</v>
          </cell>
        </row>
        <row r="423">
          <cell r="A423" t="str">
            <v>VV</v>
          </cell>
        </row>
        <row r="424">
          <cell r="A424" t="str">
            <v>VV</v>
          </cell>
        </row>
        <row r="425">
          <cell r="A425" t="str">
            <v>VV</v>
          </cell>
        </row>
        <row r="426">
          <cell r="A426" t="str">
            <v>VV</v>
          </cell>
        </row>
        <row r="427">
          <cell r="A427" t="str">
            <v>VV</v>
          </cell>
        </row>
        <row r="428">
          <cell r="A428" t="str">
            <v>VV</v>
          </cell>
        </row>
        <row r="429">
          <cell r="A429" t="str">
            <v>VV</v>
          </cell>
        </row>
        <row r="430">
          <cell r="A430" t="str">
            <v>TS</v>
          </cell>
        </row>
        <row r="431">
          <cell r="A431" t="str">
            <v>P</v>
          </cell>
          <cell r="O431">
            <v>0</v>
          </cell>
        </row>
        <row r="432">
          <cell r="A432" t="str">
            <v>PP</v>
          </cell>
        </row>
        <row r="433">
          <cell r="A433" t="str">
            <v>VV</v>
          </cell>
        </row>
        <row r="434">
          <cell r="A434" t="str">
            <v>VV</v>
          </cell>
        </row>
        <row r="435">
          <cell r="A435" t="str">
            <v>VV</v>
          </cell>
        </row>
        <row r="436">
          <cell r="A436" t="str">
            <v>VV</v>
          </cell>
        </row>
        <row r="437">
          <cell r="A437" t="str">
            <v>VV</v>
          </cell>
        </row>
        <row r="438">
          <cell r="A438" t="str">
            <v>VV</v>
          </cell>
        </row>
        <row r="439">
          <cell r="A439" t="str">
            <v>VV</v>
          </cell>
        </row>
        <row r="440">
          <cell r="A440" t="str">
            <v>VV</v>
          </cell>
        </row>
        <row r="441">
          <cell r="A441" t="str">
            <v>VV</v>
          </cell>
        </row>
        <row r="442">
          <cell r="A442" t="str">
            <v>VV</v>
          </cell>
        </row>
        <row r="443">
          <cell r="A443" t="str">
            <v>VV</v>
          </cell>
        </row>
        <row r="444">
          <cell r="A444" t="str">
            <v>VV</v>
          </cell>
        </row>
        <row r="445">
          <cell r="A445" t="str">
            <v>VV</v>
          </cell>
        </row>
        <row r="446">
          <cell r="A446" t="str">
            <v>VV</v>
          </cell>
        </row>
        <row r="447">
          <cell r="A447" t="str">
            <v>VV</v>
          </cell>
        </row>
        <row r="448">
          <cell r="A448" t="str">
            <v>VV</v>
          </cell>
        </row>
        <row r="449">
          <cell r="A449" t="str">
            <v>VV</v>
          </cell>
        </row>
        <row r="450">
          <cell r="A450" t="str">
            <v>VV</v>
          </cell>
        </row>
        <row r="451">
          <cell r="A451" t="str">
            <v>VV</v>
          </cell>
        </row>
        <row r="452">
          <cell r="A452" t="str">
            <v>VV</v>
          </cell>
        </row>
        <row r="453">
          <cell r="A453" t="str">
            <v>VV</v>
          </cell>
        </row>
        <row r="454">
          <cell r="A454" t="str">
            <v>VV</v>
          </cell>
        </row>
        <row r="455">
          <cell r="A455" t="str">
            <v>VV</v>
          </cell>
        </row>
        <row r="456">
          <cell r="A456" t="str">
            <v>VV</v>
          </cell>
        </row>
        <row r="457">
          <cell r="A457" t="str">
            <v>VV</v>
          </cell>
        </row>
        <row r="458">
          <cell r="A458" t="str">
            <v>VV</v>
          </cell>
        </row>
        <row r="459">
          <cell r="A459" t="str">
            <v>VV</v>
          </cell>
        </row>
        <row r="460">
          <cell r="A460" t="str">
            <v>VV</v>
          </cell>
        </row>
        <row r="461">
          <cell r="A461" t="str">
            <v>VV</v>
          </cell>
        </row>
        <row r="462">
          <cell r="A462" t="str">
            <v>VV</v>
          </cell>
        </row>
        <row r="463">
          <cell r="A463" t="str">
            <v>VV</v>
          </cell>
        </row>
        <row r="464">
          <cell r="A464" t="str">
            <v>VV</v>
          </cell>
        </row>
        <row r="465">
          <cell r="A465" t="str">
            <v>VV</v>
          </cell>
        </row>
        <row r="466">
          <cell r="A466" t="str">
            <v>VV</v>
          </cell>
        </row>
        <row r="467">
          <cell r="A467" t="str">
            <v>VV</v>
          </cell>
        </row>
        <row r="468">
          <cell r="A468" t="str">
            <v>VV</v>
          </cell>
        </row>
        <row r="469">
          <cell r="A469" t="str">
            <v>VV</v>
          </cell>
        </row>
        <row r="470">
          <cell r="A470" t="str">
            <v>VV</v>
          </cell>
        </row>
        <row r="471">
          <cell r="A471" t="str">
            <v>VV</v>
          </cell>
        </row>
        <row r="472">
          <cell r="A472" t="str">
            <v>TS</v>
          </cell>
        </row>
        <row r="473">
          <cell r="A473" t="str">
            <v>P</v>
          </cell>
          <cell r="O473">
            <v>0</v>
          </cell>
        </row>
        <row r="474">
          <cell r="A474" t="str">
            <v>PP</v>
          </cell>
        </row>
        <row r="475">
          <cell r="A475" t="str">
            <v>VV</v>
          </cell>
        </row>
        <row r="476">
          <cell r="A476" t="str">
            <v>VV</v>
          </cell>
        </row>
        <row r="477">
          <cell r="A477" t="str">
            <v>VV</v>
          </cell>
        </row>
        <row r="478">
          <cell r="A478" t="str">
            <v>VV</v>
          </cell>
        </row>
        <row r="479">
          <cell r="A479" t="str">
            <v>VV</v>
          </cell>
        </row>
        <row r="480">
          <cell r="A480" t="str">
            <v>VV</v>
          </cell>
        </row>
        <row r="481">
          <cell r="A481" t="str">
            <v>VV</v>
          </cell>
        </row>
        <row r="482">
          <cell r="A482" t="str">
            <v>VV</v>
          </cell>
        </row>
        <row r="483">
          <cell r="A483" t="str">
            <v>VV</v>
          </cell>
        </row>
        <row r="484">
          <cell r="A484" t="str">
            <v>VV</v>
          </cell>
        </row>
        <row r="485">
          <cell r="A485" t="str">
            <v>VV</v>
          </cell>
        </row>
        <row r="486">
          <cell r="A486" t="str">
            <v>VV</v>
          </cell>
        </row>
        <row r="487">
          <cell r="A487" t="str">
            <v>VV</v>
          </cell>
        </row>
        <row r="488">
          <cell r="A488" t="str">
            <v>VV</v>
          </cell>
        </row>
        <row r="489">
          <cell r="A489" t="str">
            <v>VV</v>
          </cell>
        </row>
        <row r="490">
          <cell r="A490" t="str">
            <v>VV</v>
          </cell>
        </row>
        <row r="491">
          <cell r="A491" t="str">
            <v>VV</v>
          </cell>
        </row>
        <row r="492">
          <cell r="A492" t="str">
            <v>VV</v>
          </cell>
        </row>
        <row r="493">
          <cell r="A493" t="str">
            <v>VV</v>
          </cell>
        </row>
        <row r="494">
          <cell r="A494" t="str">
            <v>VV</v>
          </cell>
        </row>
        <row r="495">
          <cell r="A495" t="str">
            <v>VV</v>
          </cell>
        </row>
        <row r="496">
          <cell r="A496" t="str">
            <v>VV</v>
          </cell>
        </row>
        <row r="497">
          <cell r="A497" t="str">
            <v>VV</v>
          </cell>
        </row>
        <row r="498">
          <cell r="A498" t="str">
            <v>VV</v>
          </cell>
        </row>
        <row r="499">
          <cell r="A499" t="str">
            <v>VV</v>
          </cell>
        </row>
        <row r="500">
          <cell r="A500" t="str">
            <v>VV</v>
          </cell>
        </row>
        <row r="501">
          <cell r="A501" t="str">
            <v>VV</v>
          </cell>
        </row>
        <row r="502">
          <cell r="A502" t="str">
            <v>TS</v>
          </cell>
        </row>
        <row r="503">
          <cell r="A503" t="str">
            <v>P</v>
          </cell>
          <cell r="O503">
            <v>0</v>
          </cell>
        </row>
        <row r="504">
          <cell r="A504" t="str">
            <v>PP</v>
          </cell>
        </row>
        <row r="505">
          <cell r="A505" t="str">
            <v>VV</v>
          </cell>
        </row>
        <row r="506">
          <cell r="A506" t="str">
            <v>VV</v>
          </cell>
        </row>
        <row r="507">
          <cell r="A507" t="str">
            <v>VV</v>
          </cell>
        </row>
        <row r="508">
          <cell r="A508" t="str">
            <v>VV</v>
          </cell>
        </row>
        <row r="509">
          <cell r="A509" t="str">
            <v>VV</v>
          </cell>
        </row>
        <row r="510">
          <cell r="A510" t="str">
            <v>VV</v>
          </cell>
        </row>
        <row r="511">
          <cell r="A511" t="str">
            <v>VV</v>
          </cell>
        </row>
        <row r="512">
          <cell r="A512" t="str">
            <v>VV</v>
          </cell>
        </row>
        <row r="513">
          <cell r="A513" t="str">
            <v>VV</v>
          </cell>
        </row>
        <row r="514">
          <cell r="A514" t="str">
            <v>VV</v>
          </cell>
        </row>
        <row r="515">
          <cell r="A515" t="str">
            <v>VV</v>
          </cell>
        </row>
        <row r="516">
          <cell r="A516" t="str">
            <v>VV</v>
          </cell>
        </row>
        <row r="517">
          <cell r="A517" t="str">
            <v>VV</v>
          </cell>
        </row>
        <row r="518">
          <cell r="A518" t="str">
            <v>VV</v>
          </cell>
        </row>
        <row r="519">
          <cell r="A519" t="str">
            <v>VV</v>
          </cell>
        </row>
        <row r="520">
          <cell r="A520" t="str">
            <v>VV</v>
          </cell>
        </row>
        <row r="521">
          <cell r="A521" t="str">
            <v>VV</v>
          </cell>
        </row>
        <row r="522">
          <cell r="A522" t="str">
            <v>VV</v>
          </cell>
        </row>
        <row r="523">
          <cell r="A523" t="str">
            <v>VV</v>
          </cell>
        </row>
        <row r="524">
          <cell r="A524" t="str">
            <v>VV</v>
          </cell>
        </row>
        <row r="525">
          <cell r="A525" t="str">
            <v>VV</v>
          </cell>
        </row>
        <row r="526">
          <cell r="A526" t="str">
            <v>VV</v>
          </cell>
        </row>
        <row r="527">
          <cell r="A527" t="str">
            <v>VV</v>
          </cell>
        </row>
        <row r="528">
          <cell r="A528" t="str">
            <v>VV</v>
          </cell>
        </row>
        <row r="529">
          <cell r="A529" t="str">
            <v>VV</v>
          </cell>
        </row>
        <row r="530">
          <cell r="A530" t="str">
            <v>VV</v>
          </cell>
        </row>
        <row r="531">
          <cell r="A531" t="str">
            <v>VV</v>
          </cell>
        </row>
        <row r="532">
          <cell r="A532" t="str">
            <v>VV</v>
          </cell>
        </row>
        <row r="533">
          <cell r="A533" t="str">
            <v>VV</v>
          </cell>
        </row>
        <row r="534">
          <cell r="A534" t="str">
            <v>VV</v>
          </cell>
        </row>
        <row r="535">
          <cell r="A535" t="str">
            <v>VV</v>
          </cell>
        </row>
        <row r="536">
          <cell r="A536" t="str">
            <v>VV</v>
          </cell>
        </row>
        <row r="537">
          <cell r="A537" t="str">
            <v>VV</v>
          </cell>
        </row>
        <row r="538">
          <cell r="A538" t="str">
            <v>VV</v>
          </cell>
        </row>
        <row r="539">
          <cell r="A539" t="str">
            <v>VV</v>
          </cell>
        </row>
        <row r="540">
          <cell r="A540" t="str">
            <v>VV</v>
          </cell>
        </row>
        <row r="541">
          <cell r="A541" t="str">
            <v>VV</v>
          </cell>
        </row>
        <row r="542">
          <cell r="A542" t="str">
            <v>VV</v>
          </cell>
        </row>
        <row r="543">
          <cell r="A543" t="str">
            <v>VV</v>
          </cell>
        </row>
        <row r="544">
          <cell r="A544" t="str">
            <v>VV</v>
          </cell>
        </row>
        <row r="545">
          <cell r="A545" t="str">
            <v>VV</v>
          </cell>
        </row>
        <row r="546">
          <cell r="A546" t="str">
            <v>VV</v>
          </cell>
        </row>
        <row r="547">
          <cell r="A547" t="str">
            <v>VV</v>
          </cell>
        </row>
        <row r="548">
          <cell r="A548" t="str">
            <v>VV</v>
          </cell>
        </row>
        <row r="549">
          <cell r="A549" t="str">
            <v>VV</v>
          </cell>
        </row>
        <row r="550">
          <cell r="A550" t="str">
            <v>VV</v>
          </cell>
        </row>
        <row r="551">
          <cell r="A551" t="str">
            <v>VV</v>
          </cell>
        </row>
        <row r="552">
          <cell r="A552" t="str">
            <v>VV</v>
          </cell>
        </row>
        <row r="553">
          <cell r="A553" t="str">
            <v>VV</v>
          </cell>
        </row>
        <row r="554">
          <cell r="A554" t="str">
            <v>VV</v>
          </cell>
        </row>
        <row r="555">
          <cell r="A555" t="str">
            <v>VV</v>
          </cell>
        </row>
        <row r="556">
          <cell r="A556" t="str">
            <v>VV</v>
          </cell>
        </row>
        <row r="557">
          <cell r="A557" t="str">
            <v>VV</v>
          </cell>
        </row>
        <row r="558">
          <cell r="A558" t="str">
            <v>VV</v>
          </cell>
        </row>
        <row r="559">
          <cell r="A559" t="str">
            <v>VV</v>
          </cell>
        </row>
        <row r="560">
          <cell r="A560" t="str">
            <v>VV</v>
          </cell>
        </row>
        <row r="561">
          <cell r="A561" t="str">
            <v>VV</v>
          </cell>
        </row>
        <row r="562">
          <cell r="A562" t="str">
            <v>VV</v>
          </cell>
        </row>
        <row r="563">
          <cell r="A563" t="str">
            <v>VV</v>
          </cell>
        </row>
        <row r="564">
          <cell r="A564" t="str">
            <v>VV</v>
          </cell>
        </row>
        <row r="565">
          <cell r="A565" t="str">
            <v>VV</v>
          </cell>
        </row>
        <row r="566">
          <cell r="A566" t="str">
            <v>VV</v>
          </cell>
        </row>
        <row r="567">
          <cell r="A567" t="str">
            <v>VV</v>
          </cell>
        </row>
        <row r="568">
          <cell r="A568" t="str">
            <v>VV</v>
          </cell>
        </row>
        <row r="569">
          <cell r="A569" t="str">
            <v>VV</v>
          </cell>
        </row>
        <row r="570">
          <cell r="A570" t="str">
            <v>VV</v>
          </cell>
        </row>
        <row r="571">
          <cell r="A571" t="str">
            <v>VV</v>
          </cell>
        </row>
        <row r="572">
          <cell r="A572" t="str">
            <v>VV</v>
          </cell>
        </row>
        <row r="573">
          <cell r="A573" t="str">
            <v>VV</v>
          </cell>
        </row>
        <row r="574">
          <cell r="A574" t="str">
            <v>VV</v>
          </cell>
        </row>
        <row r="575">
          <cell r="A575" t="str">
            <v>VV</v>
          </cell>
        </row>
        <row r="576">
          <cell r="A576" t="str">
            <v>VV</v>
          </cell>
        </row>
        <row r="577">
          <cell r="A577" t="str">
            <v>VV</v>
          </cell>
        </row>
        <row r="578">
          <cell r="A578" t="str">
            <v>VV</v>
          </cell>
        </row>
        <row r="579">
          <cell r="A579" t="str">
            <v>VV</v>
          </cell>
        </row>
        <row r="580">
          <cell r="A580" t="str">
            <v>VV</v>
          </cell>
        </row>
        <row r="581">
          <cell r="A581" t="str">
            <v>VV</v>
          </cell>
        </row>
        <row r="582">
          <cell r="A582" t="str">
            <v>VV</v>
          </cell>
        </row>
        <row r="583">
          <cell r="A583" t="str">
            <v>VV</v>
          </cell>
        </row>
        <row r="584">
          <cell r="A584" t="str">
            <v>VV</v>
          </cell>
        </row>
        <row r="585">
          <cell r="A585" t="str">
            <v>VV</v>
          </cell>
        </row>
        <row r="586">
          <cell r="A586" t="str">
            <v>VV</v>
          </cell>
        </row>
        <row r="587">
          <cell r="A587" t="str">
            <v>VV</v>
          </cell>
        </row>
        <row r="588">
          <cell r="A588" t="str">
            <v>VV</v>
          </cell>
        </row>
        <row r="589">
          <cell r="A589" t="str">
            <v>VV</v>
          </cell>
        </row>
        <row r="590">
          <cell r="A590" t="str">
            <v>VV</v>
          </cell>
        </row>
        <row r="591">
          <cell r="A591" t="str">
            <v>VV</v>
          </cell>
        </row>
        <row r="592">
          <cell r="A592" t="str">
            <v>VV</v>
          </cell>
        </row>
        <row r="593">
          <cell r="A593" t="str">
            <v>VV</v>
          </cell>
        </row>
        <row r="594">
          <cell r="A594" t="str">
            <v>VV</v>
          </cell>
        </row>
        <row r="595">
          <cell r="A595" t="str">
            <v>VV</v>
          </cell>
        </row>
        <row r="596">
          <cell r="A596" t="str">
            <v>VV</v>
          </cell>
        </row>
        <row r="597">
          <cell r="A597" t="str">
            <v>VV</v>
          </cell>
        </row>
        <row r="598">
          <cell r="A598" t="str">
            <v>VV</v>
          </cell>
        </row>
        <row r="599">
          <cell r="A599" t="str">
            <v>VV</v>
          </cell>
        </row>
        <row r="600">
          <cell r="A600" t="str">
            <v>VV</v>
          </cell>
        </row>
        <row r="601">
          <cell r="A601" t="str">
            <v>VV</v>
          </cell>
        </row>
        <row r="602">
          <cell r="A602" t="str">
            <v>VV</v>
          </cell>
        </row>
        <row r="603">
          <cell r="A603" t="str">
            <v>VV</v>
          </cell>
        </row>
        <row r="604">
          <cell r="A604" t="str">
            <v>VV</v>
          </cell>
        </row>
        <row r="605">
          <cell r="A605" t="str">
            <v>VV</v>
          </cell>
        </row>
        <row r="606">
          <cell r="A606" t="str">
            <v>VV</v>
          </cell>
        </row>
        <row r="607">
          <cell r="A607" t="str">
            <v>VV</v>
          </cell>
        </row>
        <row r="608">
          <cell r="A608" t="str">
            <v>VV</v>
          </cell>
        </row>
        <row r="609">
          <cell r="A609" t="str">
            <v>VV</v>
          </cell>
        </row>
        <row r="610">
          <cell r="A610" t="str">
            <v>VV</v>
          </cell>
        </row>
        <row r="611">
          <cell r="A611" t="str">
            <v>VV</v>
          </cell>
        </row>
        <row r="612">
          <cell r="A612" t="str">
            <v>VV</v>
          </cell>
        </row>
        <row r="613">
          <cell r="A613" t="str">
            <v>VV</v>
          </cell>
        </row>
        <row r="614">
          <cell r="A614" t="str">
            <v>VV</v>
          </cell>
        </row>
        <row r="615">
          <cell r="A615" t="str">
            <v>VV</v>
          </cell>
        </row>
        <row r="616">
          <cell r="A616" t="str">
            <v>VV</v>
          </cell>
        </row>
        <row r="617">
          <cell r="A617" t="str">
            <v>VV</v>
          </cell>
        </row>
        <row r="618">
          <cell r="A618" t="str">
            <v>VV</v>
          </cell>
        </row>
        <row r="619">
          <cell r="A619" t="str">
            <v>VV</v>
          </cell>
        </row>
        <row r="620">
          <cell r="A620" t="str">
            <v>VV</v>
          </cell>
        </row>
        <row r="621">
          <cell r="A621" t="str">
            <v>VV</v>
          </cell>
        </row>
        <row r="622">
          <cell r="A622" t="str">
            <v>VV</v>
          </cell>
        </row>
        <row r="623">
          <cell r="A623" t="str">
            <v>VV</v>
          </cell>
        </row>
        <row r="624">
          <cell r="A624" t="str">
            <v>VV</v>
          </cell>
        </row>
        <row r="625">
          <cell r="A625" t="str">
            <v>VV</v>
          </cell>
        </row>
        <row r="626">
          <cell r="A626" t="str">
            <v>VV</v>
          </cell>
        </row>
        <row r="627">
          <cell r="A627" t="str">
            <v>VV</v>
          </cell>
        </row>
        <row r="628">
          <cell r="A628" t="str">
            <v>VV</v>
          </cell>
        </row>
        <row r="629">
          <cell r="A629" t="str">
            <v>VV</v>
          </cell>
        </row>
        <row r="630">
          <cell r="A630" t="str">
            <v>VV</v>
          </cell>
        </row>
        <row r="631">
          <cell r="A631" t="str">
            <v>VV</v>
          </cell>
        </row>
        <row r="632">
          <cell r="A632" t="str">
            <v>VV</v>
          </cell>
        </row>
        <row r="633">
          <cell r="A633" t="str">
            <v>VV</v>
          </cell>
        </row>
        <row r="634">
          <cell r="A634" t="str">
            <v>VV</v>
          </cell>
        </row>
        <row r="635">
          <cell r="A635" t="str">
            <v>VV</v>
          </cell>
        </row>
        <row r="636">
          <cell r="A636" t="str">
            <v>VV</v>
          </cell>
        </row>
        <row r="637">
          <cell r="A637" t="str">
            <v>VV</v>
          </cell>
        </row>
        <row r="638">
          <cell r="A638" t="str">
            <v>VV</v>
          </cell>
        </row>
        <row r="639">
          <cell r="A639" t="str">
            <v>VV</v>
          </cell>
        </row>
        <row r="640">
          <cell r="A640" t="str">
            <v>VV</v>
          </cell>
        </row>
        <row r="641">
          <cell r="A641" t="str">
            <v>TS</v>
          </cell>
        </row>
        <row r="642">
          <cell r="A642" t="str">
            <v>P</v>
          </cell>
          <cell r="O642">
            <v>0</v>
          </cell>
        </row>
        <row r="643">
          <cell r="A643" t="str">
            <v>PP</v>
          </cell>
        </row>
        <row r="644">
          <cell r="A644" t="str">
            <v>VV</v>
          </cell>
        </row>
        <row r="645">
          <cell r="A645" t="str">
            <v>VV</v>
          </cell>
        </row>
        <row r="646">
          <cell r="A646" t="str">
            <v>VV</v>
          </cell>
        </row>
        <row r="647">
          <cell r="A647" t="str">
            <v>VV</v>
          </cell>
        </row>
        <row r="648">
          <cell r="A648" t="str">
            <v>VV</v>
          </cell>
        </row>
        <row r="649">
          <cell r="A649" t="str">
            <v>VV</v>
          </cell>
        </row>
        <row r="650">
          <cell r="A650" t="str">
            <v>VV</v>
          </cell>
        </row>
        <row r="651">
          <cell r="A651" t="str">
            <v>VV</v>
          </cell>
        </row>
        <row r="652">
          <cell r="A652" t="str">
            <v>VV</v>
          </cell>
        </row>
        <row r="653">
          <cell r="A653" t="str">
            <v>TS</v>
          </cell>
        </row>
        <row r="654">
          <cell r="A654" t="str">
            <v>SD</v>
          </cell>
        </row>
        <row r="655">
          <cell r="A655" t="str">
            <v>P</v>
          </cell>
          <cell r="O655">
            <v>0</v>
          </cell>
        </row>
        <row r="656">
          <cell r="A656" t="str">
            <v>PP</v>
          </cell>
        </row>
        <row r="657">
          <cell r="A657" t="str">
            <v>VV</v>
          </cell>
        </row>
        <row r="658">
          <cell r="A658" t="str">
            <v>VV</v>
          </cell>
        </row>
        <row r="659">
          <cell r="A659" t="str">
            <v>VV</v>
          </cell>
        </row>
        <row r="660">
          <cell r="A660" t="str">
            <v>VV</v>
          </cell>
        </row>
        <row r="661">
          <cell r="A661" t="str">
            <v>VV</v>
          </cell>
        </row>
        <row r="662">
          <cell r="A662" t="str">
            <v>VV</v>
          </cell>
        </row>
        <row r="663">
          <cell r="A663" t="str">
            <v>TS</v>
          </cell>
        </row>
        <row r="664">
          <cell r="A664" t="str">
            <v>P</v>
          </cell>
          <cell r="O664">
            <v>0</v>
          </cell>
        </row>
        <row r="665">
          <cell r="A665" t="str">
            <v>PP</v>
          </cell>
        </row>
        <row r="666">
          <cell r="A666" t="str">
            <v>VV</v>
          </cell>
        </row>
        <row r="667">
          <cell r="A667" t="str">
            <v>VV</v>
          </cell>
        </row>
        <row r="668">
          <cell r="A668" t="str">
            <v>VV</v>
          </cell>
        </row>
        <row r="669">
          <cell r="A669" t="str">
            <v>VV</v>
          </cell>
        </row>
        <row r="670">
          <cell r="A670" t="str">
            <v>VV</v>
          </cell>
        </row>
        <row r="671">
          <cell r="A671" t="str">
            <v>VV</v>
          </cell>
        </row>
        <row r="672">
          <cell r="A672" t="str">
            <v>VV</v>
          </cell>
        </row>
        <row r="673">
          <cell r="A673" t="str">
            <v>VV</v>
          </cell>
        </row>
        <row r="674">
          <cell r="A674" t="str">
            <v>VV</v>
          </cell>
        </row>
        <row r="675">
          <cell r="A675" t="str">
            <v>VV</v>
          </cell>
        </row>
        <row r="676">
          <cell r="A676" t="str">
            <v>VV</v>
          </cell>
        </row>
        <row r="677">
          <cell r="A677" t="str">
            <v>VV</v>
          </cell>
        </row>
        <row r="678">
          <cell r="A678" t="str">
            <v>VV</v>
          </cell>
        </row>
        <row r="679">
          <cell r="A679" t="str">
            <v>VV</v>
          </cell>
        </row>
        <row r="680">
          <cell r="A680" t="str">
            <v>VV</v>
          </cell>
        </row>
        <row r="681">
          <cell r="A681" t="str">
            <v>VV</v>
          </cell>
        </row>
        <row r="682">
          <cell r="A682" t="str">
            <v>VV</v>
          </cell>
        </row>
        <row r="683">
          <cell r="A683" t="str">
            <v>VV</v>
          </cell>
        </row>
        <row r="684">
          <cell r="A684" t="str">
            <v>VV</v>
          </cell>
        </row>
        <row r="685">
          <cell r="A685" t="str">
            <v>VV</v>
          </cell>
        </row>
        <row r="686">
          <cell r="A686" t="str">
            <v>VV</v>
          </cell>
        </row>
        <row r="687">
          <cell r="A687" t="str">
            <v>VV</v>
          </cell>
        </row>
        <row r="688">
          <cell r="A688" t="str">
            <v>VV</v>
          </cell>
        </row>
        <row r="689">
          <cell r="A689" t="str">
            <v>VV</v>
          </cell>
        </row>
        <row r="690">
          <cell r="A690" t="str">
            <v>VV</v>
          </cell>
        </row>
        <row r="691">
          <cell r="A691" t="str">
            <v>VV</v>
          </cell>
        </row>
        <row r="692">
          <cell r="A692" t="str">
            <v>VV</v>
          </cell>
        </row>
        <row r="693">
          <cell r="A693" t="str">
            <v>VV</v>
          </cell>
        </row>
        <row r="694">
          <cell r="A694" t="str">
            <v>VV</v>
          </cell>
        </row>
        <row r="695">
          <cell r="A695" t="str">
            <v>VV</v>
          </cell>
        </row>
        <row r="696">
          <cell r="A696" t="str">
            <v>VV</v>
          </cell>
        </row>
        <row r="697">
          <cell r="A697" t="str">
            <v>VV</v>
          </cell>
        </row>
        <row r="698">
          <cell r="A698" t="str">
            <v>VV</v>
          </cell>
        </row>
        <row r="699">
          <cell r="A699" t="str">
            <v>VV</v>
          </cell>
        </row>
        <row r="700">
          <cell r="A700" t="str">
            <v>VV</v>
          </cell>
        </row>
        <row r="701">
          <cell r="A701" t="str">
            <v>VV</v>
          </cell>
        </row>
        <row r="702">
          <cell r="A702" t="str">
            <v>VV</v>
          </cell>
        </row>
        <row r="703">
          <cell r="A703" t="str">
            <v>VV</v>
          </cell>
        </row>
        <row r="704">
          <cell r="A704" t="str">
            <v>VV</v>
          </cell>
        </row>
        <row r="705">
          <cell r="A705" t="str">
            <v>VV</v>
          </cell>
        </row>
        <row r="706">
          <cell r="A706" t="str">
            <v>VV</v>
          </cell>
        </row>
        <row r="707">
          <cell r="A707" t="str">
            <v>VV</v>
          </cell>
        </row>
        <row r="708">
          <cell r="A708" t="str">
            <v>VV</v>
          </cell>
        </row>
        <row r="709">
          <cell r="A709" t="str">
            <v>VV</v>
          </cell>
        </row>
        <row r="710">
          <cell r="A710" t="str">
            <v>VV</v>
          </cell>
        </row>
        <row r="711">
          <cell r="A711" t="str">
            <v>VV</v>
          </cell>
        </row>
        <row r="712">
          <cell r="A712" t="str">
            <v>VV</v>
          </cell>
        </row>
        <row r="713">
          <cell r="A713" t="str">
            <v>VV</v>
          </cell>
        </row>
        <row r="714">
          <cell r="A714" t="str">
            <v>VV</v>
          </cell>
        </row>
        <row r="715">
          <cell r="A715" t="str">
            <v>VV</v>
          </cell>
        </row>
        <row r="716">
          <cell r="A716" t="str">
            <v>VV</v>
          </cell>
        </row>
        <row r="717">
          <cell r="A717" t="str">
            <v>VV</v>
          </cell>
        </row>
        <row r="718">
          <cell r="A718" t="str">
            <v>VV</v>
          </cell>
        </row>
        <row r="719">
          <cell r="A719" t="str">
            <v>VV</v>
          </cell>
        </row>
        <row r="720">
          <cell r="A720" t="str">
            <v>VV</v>
          </cell>
        </row>
        <row r="721">
          <cell r="A721" t="str">
            <v>VV</v>
          </cell>
        </row>
        <row r="722">
          <cell r="A722" t="str">
            <v>VV</v>
          </cell>
        </row>
        <row r="723">
          <cell r="A723" t="str">
            <v>VV</v>
          </cell>
        </row>
        <row r="724">
          <cell r="A724" t="str">
            <v>VV</v>
          </cell>
        </row>
        <row r="725">
          <cell r="A725" t="str">
            <v>VV</v>
          </cell>
        </row>
        <row r="726">
          <cell r="A726" t="str">
            <v>VV</v>
          </cell>
        </row>
        <row r="727">
          <cell r="A727" t="str">
            <v>VV</v>
          </cell>
        </row>
        <row r="728">
          <cell r="A728" t="str">
            <v>VV</v>
          </cell>
        </row>
        <row r="729">
          <cell r="A729" t="str">
            <v>VV</v>
          </cell>
        </row>
        <row r="730">
          <cell r="A730" t="str">
            <v>VV</v>
          </cell>
        </row>
        <row r="731">
          <cell r="A731" t="str">
            <v>VV</v>
          </cell>
        </row>
        <row r="732">
          <cell r="A732" t="str">
            <v>VV</v>
          </cell>
        </row>
        <row r="733">
          <cell r="A733" t="str">
            <v>VV</v>
          </cell>
        </row>
        <row r="734">
          <cell r="A734" t="str">
            <v>VV</v>
          </cell>
        </row>
        <row r="735">
          <cell r="A735" t="str">
            <v>VV</v>
          </cell>
        </row>
        <row r="736">
          <cell r="A736" t="str">
            <v>VV</v>
          </cell>
        </row>
        <row r="737">
          <cell r="A737" t="str">
            <v>VV</v>
          </cell>
        </row>
        <row r="738">
          <cell r="A738" t="str">
            <v>VV</v>
          </cell>
        </row>
        <row r="739">
          <cell r="A739" t="str">
            <v>VV</v>
          </cell>
        </row>
        <row r="740">
          <cell r="A740" t="str">
            <v>VV</v>
          </cell>
        </row>
        <row r="741">
          <cell r="A741" t="str">
            <v>VV</v>
          </cell>
        </row>
        <row r="742">
          <cell r="A742" t="str">
            <v>VV</v>
          </cell>
        </row>
        <row r="743">
          <cell r="A743" t="str">
            <v>VV</v>
          </cell>
        </row>
        <row r="744">
          <cell r="A744" t="str">
            <v>VV</v>
          </cell>
        </row>
        <row r="745">
          <cell r="A745" t="str">
            <v>VV</v>
          </cell>
        </row>
        <row r="746">
          <cell r="A746" t="str">
            <v>VV</v>
          </cell>
        </row>
        <row r="747">
          <cell r="A747" t="str">
            <v>VV</v>
          </cell>
        </row>
        <row r="748">
          <cell r="A748" t="str">
            <v>VV</v>
          </cell>
        </row>
        <row r="749">
          <cell r="A749" t="str">
            <v>VV</v>
          </cell>
        </row>
        <row r="750">
          <cell r="A750" t="str">
            <v>VV</v>
          </cell>
        </row>
        <row r="751">
          <cell r="A751" t="str">
            <v>VV</v>
          </cell>
        </row>
        <row r="752">
          <cell r="A752" t="str">
            <v>VV</v>
          </cell>
        </row>
        <row r="753">
          <cell r="A753" t="str">
            <v>VV</v>
          </cell>
        </row>
        <row r="754">
          <cell r="A754" t="str">
            <v>VV</v>
          </cell>
        </row>
        <row r="755">
          <cell r="A755" t="str">
            <v>VV</v>
          </cell>
        </row>
        <row r="756">
          <cell r="A756" t="str">
            <v>VV</v>
          </cell>
        </row>
        <row r="757">
          <cell r="A757" t="str">
            <v>VV</v>
          </cell>
        </row>
        <row r="758">
          <cell r="A758" t="str">
            <v>VV</v>
          </cell>
        </row>
        <row r="759">
          <cell r="A759" t="str">
            <v>VV</v>
          </cell>
        </row>
        <row r="760">
          <cell r="A760" t="str">
            <v>VV</v>
          </cell>
        </row>
        <row r="761">
          <cell r="A761" t="str">
            <v>VV</v>
          </cell>
        </row>
        <row r="762">
          <cell r="A762" t="str">
            <v>VV</v>
          </cell>
        </row>
        <row r="763">
          <cell r="A763" t="str">
            <v>VV</v>
          </cell>
        </row>
        <row r="764">
          <cell r="A764" t="str">
            <v>VV</v>
          </cell>
        </row>
        <row r="765">
          <cell r="A765" t="str">
            <v>VV</v>
          </cell>
        </row>
        <row r="766">
          <cell r="A766" t="str">
            <v>VV</v>
          </cell>
        </row>
        <row r="767">
          <cell r="A767" t="str">
            <v>VV</v>
          </cell>
        </row>
        <row r="768">
          <cell r="A768" t="str">
            <v>VV</v>
          </cell>
        </row>
        <row r="769">
          <cell r="A769" t="str">
            <v>VV</v>
          </cell>
        </row>
        <row r="770">
          <cell r="A770" t="str">
            <v>VV</v>
          </cell>
        </row>
        <row r="771">
          <cell r="A771" t="str">
            <v>VV</v>
          </cell>
        </row>
        <row r="772">
          <cell r="A772" t="str">
            <v>VV</v>
          </cell>
        </row>
        <row r="773">
          <cell r="A773" t="str">
            <v>VV</v>
          </cell>
        </row>
        <row r="774">
          <cell r="A774" t="str">
            <v>VV</v>
          </cell>
        </row>
        <row r="775">
          <cell r="A775" t="str">
            <v>VV</v>
          </cell>
        </row>
        <row r="776">
          <cell r="A776" t="str">
            <v>VV</v>
          </cell>
        </row>
        <row r="777">
          <cell r="A777" t="str">
            <v>VV</v>
          </cell>
        </row>
        <row r="778">
          <cell r="A778" t="str">
            <v>VV</v>
          </cell>
        </row>
        <row r="779">
          <cell r="A779" t="str">
            <v>VV</v>
          </cell>
        </row>
        <row r="780">
          <cell r="A780" t="str">
            <v>VV</v>
          </cell>
        </row>
        <row r="781">
          <cell r="A781" t="str">
            <v>VV</v>
          </cell>
        </row>
        <row r="782">
          <cell r="A782" t="str">
            <v>VV</v>
          </cell>
        </row>
        <row r="783">
          <cell r="A783" t="str">
            <v>VV</v>
          </cell>
        </row>
        <row r="784">
          <cell r="A784" t="str">
            <v>VV</v>
          </cell>
        </row>
        <row r="785">
          <cell r="A785" t="str">
            <v>VV</v>
          </cell>
        </row>
        <row r="786">
          <cell r="A786" t="str">
            <v>VV</v>
          </cell>
        </row>
        <row r="787">
          <cell r="A787" t="str">
            <v>VV</v>
          </cell>
        </row>
        <row r="788">
          <cell r="A788" t="str">
            <v>VV</v>
          </cell>
        </row>
        <row r="789">
          <cell r="A789" t="str">
            <v>VV</v>
          </cell>
        </row>
        <row r="790">
          <cell r="A790" t="str">
            <v>VV</v>
          </cell>
        </row>
        <row r="791">
          <cell r="A791" t="str">
            <v>VV</v>
          </cell>
        </row>
        <row r="792">
          <cell r="A792" t="str">
            <v>VV</v>
          </cell>
        </row>
        <row r="793">
          <cell r="A793" t="str">
            <v>VV</v>
          </cell>
        </row>
        <row r="794">
          <cell r="A794" t="str">
            <v>VV</v>
          </cell>
        </row>
        <row r="795">
          <cell r="A795" t="str">
            <v>VV</v>
          </cell>
        </row>
        <row r="796">
          <cell r="A796" t="str">
            <v>VV</v>
          </cell>
        </row>
        <row r="797">
          <cell r="A797" t="str">
            <v>VV</v>
          </cell>
        </row>
        <row r="798">
          <cell r="A798" t="str">
            <v>VV</v>
          </cell>
        </row>
        <row r="799">
          <cell r="A799" t="str">
            <v>VV</v>
          </cell>
        </row>
        <row r="800">
          <cell r="A800" t="str">
            <v>VV</v>
          </cell>
        </row>
        <row r="801">
          <cell r="A801" t="str">
            <v>VV</v>
          </cell>
        </row>
        <row r="802">
          <cell r="A802" t="str">
            <v>VV</v>
          </cell>
        </row>
        <row r="803">
          <cell r="A803" t="str">
            <v>VV</v>
          </cell>
        </row>
        <row r="804">
          <cell r="A804" t="str">
            <v>VV</v>
          </cell>
        </row>
        <row r="805">
          <cell r="A805" t="str">
            <v>VV</v>
          </cell>
        </row>
        <row r="806">
          <cell r="A806" t="str">
            <v>VV</v>
          </cell>
        </row>
        <row r="807">
          <cell r="A807" t="str">
            <v>VV</v>
          </cell>
        </row>
        <row r="808">
          <cell r="A808" t="str">
            <v>VV</v>
          </cell>
        </row>
        <row r="809">
          <cell r="A809" t="str">
            <v>VV</v>
          </cell>
        </row>
        <row r="810">
          <cell r="A810" t="str">
            <v>VV</v>
          </cell>
        </row>
        <row r="811">
          <cell r="A811" t="str">
            <v>VV</v>
          </cell>
        </row>
        <row r="812">
          <cell r="A812" t="str">
            <v>VV</v>
          </cell>
        </row>
        <row r="813">
          <cell r="A813" t="str">
            <v>VV</v>
          </cell>
        </row>
        <row r="814">
          <cell r="A814" t="str">
            <v>VV</v>
          </cell>
        </row>
        <row r="815">
          <cell r="A815" t="str">
            <v>VV</v>
          </cell>
        </row>
        <row r="816">
          <cell r="A816" t="str">
            <v>VV</v>
          </cell>
        </row>
        <row r="817">
          <cell r="A817" t="str">
            <v>VV</v>
          </cell>
        </row>
        <row r="818">
          <cell r="A818" t="str">
            <v>VV</v>
          </cell>
        </row>
        <row r="819">
          <cell r="A819" t="str">
            <v>VV</v>
          </cell>
        </row>
        <row r="820">
          <cell r="A820" t="str">
            <v>VV</v>
          </cell>
        </row>
        <row r="821">
          <cell r="A821" t="str">
            <v>VV</v>
          </cell>
        </row>
        <row r="822">
          <cell r="A822" t="str">
            <v>VV</v>
          </cell>
        </row>
        <row r="823">
          <cell r="A823" t="str">
            <v>TS</v>
          </cell>
        </row>
        <row r="824">
          <cell r="A824" t="str">
            <v>P</v>
          </cell>
          <cell r="O824">
            <v>0</v>
          </cell>
        </row>
        <row r="825">
          <cell r="A825" t="str">
            <v>PP</v>
          </cell>
        </row>
        <row r="826">
          <cell r="A826" t="str">
            <v>VV</v>
          </cell>
        </row>
        <row r="827">
          <cell r="A827" t="str">
            <v>VV</v>
          </cell>
        </row>
        <row r="828">
          <cell r="A828" t="str">
            <v>VV</v>
          </cell>
        </row>
        <row r="829">
          <cell r="A829" t="str">
            <v>VV</v>
          </cell>
        </row>
        <row r="830">
          <cell r="A830" t="str">
            <v>VV</v>
          </cell>
        </row>
        <row r="831">
          <cell r="A831" t="str">
            <v>VV</v>
          </cell>
        </row>
        <row r="832">
          <cell r="A832" t="str">
            <v>VV</v>
          </cell>
        </row>
        <row r="833">
          <cell r="A833" t="str">
            <v>TS</v>
          </cell>
        </row>
      </sheetData>
      <sheetData sheetId="11">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TS</v>
          </cell>
        </row>
        <row r="28">
          <cell r="A28" t="str">
            <v>P</v>
          </cell>
          <cell r="O28">
            <v>0</v>
          </cell>
        </row>
        <row r="29">
          <cell r="A29" t="str">
            <v>PP</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TS</v>
          </cell>
        </row>
        <row r="48">
          <cell r="A48" t="str">
            <v>P</v>
          </cell>
          <cell r="O48">
            <v>0</v>
          </cell>
        </row>
        <row r="49">
          <cell r="A49" t="str">
            <v>PP</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TS</v>
          </cell>
        </row>
        <row r="74">
          <cell r="A74" t="str">
            <v>P</v>
          </cell>
          <cell r="O74">
            <v>0</v>
          </cell>
        </row>
        <row r="75">
          <cell r="A75" t="str">
            <v>PP</v>
          </cell>
        </row>
        <row r="76">
          <cell r="A76" t="str">
            <v>VV</v>
          </cell>
        </row>
        <row r="77">
          <cell r="A77" t="str">
            <v>VV</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TS</v>
          </cell>
        </row>
        <row r="92">
          <cell r="A92" t="str">
            <v>P</v>
          </cell>
          <cell r="O92">
            <v>0</v>
          </cell>
        </row>
        <row r="93">
          <cell r="A93" t="str">
            <v>PP</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VV</v>
          </cell>
        </row>
        <row r="108">
          <cell r="A108" t="str">
            <v>VV</v>
          </cell>
        </row>
        <row r="109">
          <cell r="A109" t="str">
            <v>VV</v>
          </cell>
        </row>
        <row r="110">
          <cell r="A110" t="str">
            <v>VV</v>
          </cell>
        </row>
        <row r="111">
          <cell r="A111" t="str">
            <v>VV</v>
          </cell>
        </row>
        <row r="112">
          <cell r="A112" t="str">
            <v>VV</v>
          </cell>
        </row>
        <row r="113">
          <cell r="A113" t="str">
            <v>VV</v>
          </cell>
        </row>
        <row r="114">
          <cell r="A114" t="str">
            <v>VV</v>
          </cell>
        </row>
        <row r="115">
          <cell r="A115" t="str">
            <v>VV</v>
          </cell>
        </row>
        <row r="116">
          <cell r="A116" t="str">
            <v>VV</v>
          </cell>
        </row>
        <row r="117">
          <cell r="A117" t="str">
            <v>TS</v>
          </cell>
        </row>
        <row r="118">
          <cell r="A118" t="str">
            <v>P</v>
          </cell>
          <cell r="O118">
            <v>0</v>
          </cell>
        </row>
        <row r="119">
          <cell r="A119" t="str">
            <v>PP</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TS</v>
          </cell>
        </row>
        <row r="132">
          <cell r="A132" t="str">
            <v>P</v>
          </cell>
          <cell r="O132">
            <v>0</v>
          </cell>
        </row>
        <row r="133">
          <cell r="A133" t="str">
            <v>PP</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VV</v>
          </cell>
        </row>
        <row r="147">
          <cell r="A147" t="str">
            <v>VV</v>
          </cell>
        </row>
        <row r="148">
          <cell r="A148" t="str">
            <v>VV</v>
          </cell>
        </row>
        <row r="149">
          <cell r="A149" t="str">
            <v>TS</v>
          </cell>
        </row>
        <row r="150">
          <cell r="A150" t="str">
            <v>P</v>
          </cell>
          <cell r="O150">
            <v>0</v>
          </cell>
        </row>
        <row r="151">
          <cell r="A151" t="str">
            <v>PP</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VV</v>
          </cell>
        </row>
        <row r="164">
          <cell r="A164" t="str">
            <v>VV</v>
          </cell>
        </row>
        <row r="165">
          <cell r="A165" t="str">
            <v>VV</v>
          </cell>
        </row>
        <row r="166">
          <cell r="A166" t="str">
            <v>VV</v>
          </cell>
        </row>
        <row r="167">
          <cell r="A167" t="str">
            <v>VV</v>
          </cell>
        </row>
        <row r="168">
          <cell r="A168" t="str">
            <v>VV</v>
          </cell>
        </row>
        <row r="169">
          <cell r="A169" t="str">
            <v>TS</v>
          </cell>
        </row>
        <row r="170">
          <cell r="A170" t="str">
            <v>P</v>
          </cell>
          <cell r="O170">
            <v>0</v>
          </cell>
        </row>
        <row r="171">
          <cell r="A171" t="str">
            <v>PP</v>
          </cell>
        </row>
        <row r="172">
          <cell r="A172" t="str">
            <v>VV</v>
          </cell>
        </row>
        <row r="173">
          <cell r="A173" t="str">
            <v>VV</v>
          </cell>
        </row>
        <row r="174">
          <cell r="A174" t="str">
            <v>VV</v>
          </cell>
        </row>
        <row r="175">
          <cell r="A175" t="str">
            <v>VV</v>
          </cell>
        </row>
        <row r="176">
          <cell r="A176" t="str">
            <v>VV</v>
          </cell>
        </row>
        <row r="177">
          <cell r="A177" t="str">
            <v>VV</v>
          </cell>
        </row>
        <row r="178">
          <cell r="A178" t="str">
            <v>VV</v>
          </cell>
        </row>
        <row r="179">
          <cell r="A179" t="str">
            <v>TS</v>
          </cell>
        </row>
        <row r="180">
          <cell r="A180" t="str">
            <v>P</v>
          </cell>
          <cell r="O180">
            <v>0</v>
          </cell>
        </row>
        <row r="181">
          <cell r="A181" t="str">
            <v>PP</v>
          </cell>
        </row>
        <row r="182">
          <cell r="A182" t="str">
            <v>VV</v>
          </cell>
        </row>
        <row r="183">
          <cell r="A183" t="str">
            <v>VV</v>
          </cell>
        </row>
        <row r="184">
          <cell r="A184" t="str">
            <v>VV</v>
          </cell>
        </row>
        <row r="185">
          <cell r="A185" t="str">
            <v>VV</v>
          </cell>
        </row>
        <row r="186">
          <cell r="A186" t="str">
            <v>VV</v>
          </cell>
        </row>
        <row r="187">
          <cell r="A187" t="str">
            <v>VV</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TS</v>
          </cell>
        </row>
        <row r="198">
          <cell r="A198" t="str">
            <v>P</v>
          </cell>
          <cell r="O198">
            <v>0</v>
          </cell>
        </row>
        <row r="199">
          <cell r="A199" t="str">
            <v>PP</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VV</v>
          </cell>
        </row>
        <row r="208">
          <cell r="A208" t="str">
            <v>VV</v>
          </cell>
        </row>
        <row r="209">
          <cell r="A209" t="str">
            <v>VV</v>
          </cell>
        </row>
        <row r="210">
          <cell r="A210" t="str">
            <v>TS</v>
          </cell>
        </row>
        <row r="211">
          <cell r="A211" t="str">
            <v>SD</v>
          </cell>
        </row>
        <row r="212">
          <cell r="A212" t="str">
            <v>P</v>
          </cell>
          <cell r="O212">
            <v>0</v>
          </cell>
        </row>
        <row r="213">
          <cell r="A213" t="str">
            <v>PP</v>
          </cell>
        </row>
        <row r="214">
          <cell r="A214" t="str">
            <v>VV</v>
          </cell>
        </row>
        <row r="215">
          <cell r="A215" t="str">
            <v>VV</v>
          </cell>
        </row>
        <row r="216">
          <cell r="A216" t="str">
            <v>VV</v>
          </cell>
        </row>
        <row r="217">
          <cell r="A217" t="str">
            <v>VV</v>
          </cell>
        </row>
        <row r="218">
          <cell r="A218" t="str">
            <v>VV</v>
          </cell>
        </row>
        <row r="219">
          <cell r="A219" t="str">
            <v>VV</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VV</v>
          </cell>
        </row>
        <row r="232">
          <cell r="A232" t="str">
            <v>VV</v>
          </cell>
        </row>
        <row r="233">
          <cell r="A233" t="str">
            <v>VV</v>
          </cell>
        </row>
        <row r="234">
          <cell r="A234" t="str">
            <v>VV</v>
          </cell>
        </row>
        <row r="235">
          <cell r="A235" t="str">
            <v>VV</v>
          </cell>
        </row>
        <row r="236">
          <cell r="A236" t="str">
            <v>VV</v>
          </cell>
        </row>
        <row r="237">
          <cell r="A237" t="str">
            <v>VV</v>
          </cell>
        </row>
        <row r="238">
          <cell r="A238" t="str">
            <v>VV</v>
          </cell>
        </row>
        <row r="239">
          <cell r="A239" t="str">
            <v>VV</v>
          </cell>
        </row>
        <row r="240">
          <cell r="A240" t="str">
            <v>TS</v>
          </cell>
        </row>
        <row r="241">
          <cell r="A241" t="str">
            <v>SD</v>
          </cell>
        </row>
        <row r="242">
          <cell r="A242" t="str">
            <v>P</v>
          </cell>
          <cell r="O242">
            <v>0</v>
          </cell>
        </row>
        <row r="243">
          <cell r="A243" t="str">
            <v>PP</v>
          </cell>
        </row>
        <row r="244">
          <cell r="A244" t="str">
            <v>VV</v>
          </cell>
        </row>
        <row r="245">
          <cell r="A245" t="str">
            <v>VV</v>
          </cell>
        </row>
        <row r="246">
          <cell r="A246" t="str">
            <v>TS</v>
          </cell>
        </row>
        <row r="247">
          <cell r="A247" t="str">
            <v>P</v>
          </cell>
          <cell r="O247">
            <v>0</v>
          </cell>
        </row>
        <row r="248">
          <cell r="A248" t="str">
            <v>PP</v>
          </cell>
        </row>
        <row r="249">
          <cell r="A249" t="str">
            <v>VV</v>
          </cell>
        </row>
        <row r="250">
          <cell r="A250" t="str">
            <v>VV</v>
          </cell>
        </row>
        <row r="251">
          <cell r="A251" t="str">
            <v>VV</v>
          </cell>
        </row>
        <row r="252">
          <cell r="A252" t="str">
            <v>VV</v>
          </cell>
        </row>
        <row r="253">
          <cell r="A253" t="str">
            <v>VV</v>
          </cell>
        </row>
        <row r="254">
          <cell r="A254" t="str">
            <v>VV</v>
          </cell>
        </row>
        <row r="255">
          <cell r="A255" t="str">
            <v>VV</v>
          </cell>
        </row>
        <row r="256">
          <cell r="A256" t="str">
            <v>VV</v>
          </cell>
        </row>
        <row r="257">
          <cell r="A257" t="str">
            <v>VV</v>
          </cell>
        </row>
        <row r="258">
          <cell r="A258" t="str">
            <v>VV</v>
          </cell>
        </row>
        <row r="259">
          <cell r="A259" t="str">
            <v>VV</v>
          </cell>
        </row>
        <row r="260">
          <cell r="A260" t="str">
            <v>VV</v>
          </cell>
        </row>
        <row r="261">
          <cell r="A261" t="str">
            <v>VV</v>
          </cell>
        </row>
        <row r="262">
          <cell r="A262" t="str">
            <v>VV</v>
          </cell>
        </row>
        <row r="263">
          <cell r="A263" t="str">
            <v>VV</v>
          </cell>
        </row>
        <row r="264">
          <cell r="A264" t="str">
            <v>VV</v>
          </cell>
        </row>
        <row r="265">
          <cell r="A265" t="str">
            <v>VV</v>
          </cell>
        </row>
        <row r="266">
          <cell r="A266" t="str">
            <v>VV</v>
          </cell>
        </row>
        <row r="267">
          <cell r="A267" t="str">
            <v>VV</v>
          </cell>
        </row>
        <row r="268">
          <cell r="A268" t="str">
            <v>VV</v>
          </cell>
        </row>
        <row r="269">
          <cell r="A269" t="str">
            <v>VV</v>
          </cell>
        </row>
        <row r="270">
          <cell r="A270" t="str">
            <v>VV</v>
          </cell>
        </row>
        <row r="271">
          <cell r="A271" t="str">
            <v>VV</v>
          </cell>
        </row>
        <row r="272">
          <cell r="A272" t="str">
            <v>VV</v>
          </cell>
        </row>
        <row r="273">
          <cell r="A273" t="str">
            <v>VV</v>
          </cell>
        </row>
        <row r="274">
          <cell r="A274" t="str">
            <v>VV</v>
          </cell>
        </row>
        <row r="275">
          <cell r="A275" t="str">
            <v>VV</v>
          </cell>
        </row>
        <row r="276">
          <cell r="A276" t="str">
            <v>VV</v>
          </cell>
        </row>
        <row r="277">
          <cell r="A277" t="str">
            <v>VV</v>
          </cell>
        </row>
        <row r="278">
          <cell r="A278" t="str">
            <v>VV</v>
          </cell>
        </row>
        <row r="279">
          <cell r="A279" t="str">
            <v>VV</v>
          </cell>
        </row>
        <row r="280">
          <cell r="A280" t="str">
            <v>VV</v>
          </cell>
        </row>
        <row r="281">
          <cell r="A281" t="str">
            <v>VV</v>
          </cell>
        </row>
        <row r="282">
          <cell r="A282" t="str">
            <v>VV</v>
          </cell>
        </row>
        <row r="283">
          <cell r="A283" t="str">
            <v>VV</v>
          </cell>
        </row>
        <row r="284">
          <cell r="A284" t="str">
            <v>VV</v>
          </cell>
        </row>
        <row r="285">
          <cell r="A285" t="str">
            <v>VV</v>
          </cell>
        </row>
        <row r="286">
          <cell r="A286" t="str">
            <v>VV</v>
          </cell>
        </row>
        <row r="287">
          <cell r="A287" t="str">
            <v>VV</v>
          </cell>
        </row>
        <row r="288">
          <cell r="A288" t="str">
            <v>VV</v>
          </cell>
        </row>
        <row r="289">
          <cell r="A289" t="str">
            <v>VV</v>
          </cell>
        </row>
        <row r="290">
          <cell r="A290" t="str">
            <v>VV</v>
          </cell>
        </row>
        <row r="291">
          <cell r="A291" t="str">
            <v>VV</v>
          </cell>
        </row>
        <row r="292">
          <cell r="A292" t="str">
            <v>VV</v>
          </cell>
        </row>
        <row r="293">
          <cell r="A293" t="str">
            <v>TS</v>
          </cell>
        </row>
        <row r="294">
          <cell r="A294" t="str">
            <v>P</v>
          </cell>
          <cell r="O294">
            <v>0</v>
          </cell>
        </row>
        <row r="295">
          <cell r="A295" t="str">
            <v>PP</v>
          </cell>
        </row>
        <row r="296">
          <cell r="A296" t="str">
            <v>VV</v>
          </cell>
        </row>
        <row r="297">
          <cell r="A297" t="str">
            <v>VV</v>
          </cell>
        </row>
        <row r="298">
          <cell r="A298" t="str">
            <v>TS</v>
          </cell>
        </row>
        <row r="299">
          <cell r="A299" t="str">
            <v>P</v>
          </cell>
          <cell r="O299">
            <v>0</v>
          </cell>
        </row>
        <row r="300">
          <cell r="A300" t="str">
            <v>PP</v>
          </cell>
        </row>
        <row r="301">
          <cell r="A301" t="str">
            <v>VV</v>
          </cell>
        </row>
        <row r="302">
          <cell r="A302" t="str">
            <v>VV</v>
          </cell>
        </row>
        <row r="303">
          <cell r="A303" t="str">
            <v>VV</v>
          </cell>
        </row>
        <row r="304">
          <cell r="A304" t="str">
            <v>VV</v>
          </cell>
        </row>
        <row r="305">
          <cell r="A305" t="str">
            <v>VV</v>
          </cell>
        </row>
        <row r="306">
          <cell r="A306" t="str">
            <v>VV</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VV</v>
          </cell>
        </row>
        <row r="320">
          <cell r="A320" t="str">
            <v>VV</v>
          </cell>
        </row>
        <row r="321">
          <cell r="A321" t="str">
            <v>VV</v>
          </cell>
        </row>
        <row r="322">
          <cell r="A322" t="str">
            <v>VV</v>
          </cell>
        </row>
        <row r="323">
          <cell r="A323" t="str">
            <v>VV</v>
          </cell>
        </row>
        <row r="324">
          <cell r="A324" t="str">
            <v>VV</v>
          </cell>
        </row>
        <row r="325">
          <cell r="A325" t="str">
            <v>VV</v>
          </cell>
        </row>
        <row r="326">
          <cell r="A326" t="str">
            <v>VV</v>
          </cell>
        </row>
        <row r="327">
          <cell r="A327" t="str">
            <v>VV</v>
          </cell>
        </row>
        <row r="328">
          <cell r="A328" t="str">
            <v>VV</v>
          </cell>
        </row>
        <row r="329">
          <cell r="A329" t="str">
            <v>VV</v>
          </cell>
        </row>
        <row r="330">
          <cell r="A330" t="str">
            <v>VV</v>
          </cell>
        </row>
        <row r="331">
          <cell r="A331" t="str">
            <v>VV</v>
          </cell>
        </row>
        <row r="332">
          <cell r="A332" t="str">
            <v>VV</v>
          </cell>
        </row>
        <row r="333">
          <cell r="A333" t="str">
            <v>VV</v>
          </cell>
        </row>
        <row r="334">
          <cell r="A334" t="str">
            <v>VV</v>
          </cell>
        </row>
        <row r="335">
          <cell r="A335" t="str">
            <v>VV</v>
          </cell>
        </row>
        <row r="336">
          <cell r="A336" t="str">
            <v>VV</v>
          </cell>
        </row>
        <row r="337">
          <cell r="A337" t="str">
            <v>VV</v>
          </cell>
        </row>
        <row r="338">
          <cell r="A338" t="str">
            <v>VV</v>
          </cell>
        </row>
        <row r="339">
          <cell r="A339" t="str">
            <v>VV</v>
          </cell>
        </row>
        <row r="340">
          <cell r="A340" t="str">
            <v>VV</v>
          </cell>
        </row>
        <row r="341">
          <cell r="A341" t="str">
            <v>VV</v>
          </cell>
        </row>
        <row r="342">
          <cell r="A342" t="str">
            <v>VV</v>
          </cell>
        </row>
        <row r="343">
          <cell r="A343" t="str">
            <v>VV</v>
          </cell>
        </row>
        <row r="344">
          <cell r="A344" t="str">
            <v>VV</v>
          </cell>
        </row>
        <row r="345">
          <cell r="A345" t="str">
            <v>VV</v>
          </cell>
        </row>
        <row r="346">
          <cell r="A346" t="str">
            <v>VV</v>
          </cell>
        </row>
        <row r="347">
          <cell r="A347" t="str">
            <v>TS</v>
          </cell>
        </row>
        <row r="348">
          <cell r="A348" t="str">
            <v>P</v>
          </cell>
          <cell r="O348">
            <v>0</v>
          </cell>
        </row>
        <row r="349">
          <cell r="A349" t="str">
            <v>PP</v>
          </cell>
        </row>
        <row r="350">
          <cell r="A350" t="str">
            <v>VV</v>
          </cell>
        </row>
        <row r="351">
          <cell r="A351" t="str">
            <v>VV</v>
          </cell>
        </row>
        <row r="352">
          <cell r="A352" t="str">
            <v>VV</v>
          </cell>
        </row>
        <row r="353">
          <cell r="A353" t="str">
            <v>VV</v>
          </cell>
        </row>
        <row r="354">
          <cell r="A354" t="str">
            <v>VV</v>
          </cell>
        </row>
        <row r="355">
          <cell r="A355" t="str">
            <v>VV</v>
          </cell>
        </row>
        <row r="356">
          <cell r="A356" t="str">
            <v>VV</v>
          </cell>
        </row>
        <row r="357">
          <cell r="A357" t="str">
            <v>VV</v>
          </cell>
        </row>
        <row r="358">
          <cell r="A358" t="str">
            <v>VV</v>
          </cell>
        </row>
        <row r="359">
          <cell r="A359" t="str">
            <v>VV</v>
          </cell>
        </row>
        <row r="360">
          <cell r="A360" t="str">
            <v>VV</v>
          </cell>
        </row>
        <row r="361">
          <cell r="A361" t="str">
            <v>VV</v>
          </cell>
        </row>
        <row r="362">
          <cell r="A362" t="str">
            <v>VV</v>
          </cell>
        </row>
        <row r="363">
          <cell r="A363" t="str">
            <v>VV</v>
          </cell>
        </row>
        <row r="364">
          <cell r="A364" t="str">
            <v>VV</v>
          </cell>
        </row>
        <row r="365">
          <cell r="A365" t="str">
            <v>VV</v>
          </cell>
        </row>
        <row r="366">
          <cell r="A366" t="str">
            <v>VV</v>
          </cell>
        </row>
        <row r="367">
          <cell r="A367" t="str">
            <v>VV</v>
          </cell>
        </row>
        <row r="368">
          <cell r="A368" t="str">
            <v>VV</v>
          </cell>
        </row>
        <row r="369">
          <cell r="A369" t="str">
            <v>VV</v>
          </cell>
        </row>
        <row r="370">
          <cell r="A370" t="str">
            <v>VV</v>
          </cell>
        </row>
        <row r="371">
          <cell r="A371" t="str">
            <v>VV</v>
          </cell>
        </row>
        <row r="372">
          <cell r="A372" t="str">
            <v>VV</v>
          </cell>
        </row>
        <row r="373">
          <cell r="A373" t="str">
            <v>VV</v>
          </cell>
        </row>
        <row r="374">
          <cell r="A374" t="str">
            <v>VV</v>
          </cell>
        </row>
        <row r="375">
          <cell r="A375" t="str">
            <v>VV</v>
          </cell>
        </row>
        <row r="376">
          <cell r="A376" t="str">
            <v>VV</v>
          </cell>
        </row>
        <row r="377">
          <cell r="A377" t="str">
            <v>VV</v>
          </cell>
        </row>
        <row r="378">
          <cell r="A378" t="str">
            <v>TS</v>
          </cell>
        </row>
        <row r="379">
          <cell r="A379" t="str">
            <v>P</v>
          </cell>
          <cell r="O379">
            <v>0</v>
          </cell>
        </row>
        <row r="380">
          <cell r="A380" t="str">
            <v>PP</v>
          </cell>
        </row>
        <row r="381">
          <cell r="A381" t="str">
            <v>VV</v>
          </cell>
        </row>
        <row r="382">
          <cell r="A382" t="str">
            <v>VV</v>
          </cell>
        </row>
        <row r="383">
          <cell r="A383" t="str">
            <v>VV</v>
          </cell>
        </row>
        <row r="384">
          <cell r="A384" t="str">
            <v>VV</v>
          </cell>
        </row>
        <row r="385">
          <cell r="A385" t="str">
            <v>VV</v>
          </cell>
        </row>
        <row r="386">
          <cell r="A386" t="str">
            <v>VV</v>
          </cell>
        </row>
        <row r="387">
          <cell r="A387" t="str">
            <v>TS</v>
          </cell>
        </row>
        <row r="388">
          <cell r="A388" t="str">
            <v>P</v>
          </cell>
          <cell r="O388">
            <v>0</v>
          </cell>
        </row>
        <row r="389">
          <cell r="A389" t="str">
            <v>PP</v>
          </cell>
        </row>
        <row r="390">
          <cell r="A390" t="str">
            <v>VV</v>
          </cell>
        </row>
        <row r="391">
          <cell r="A391" t="str">
            <v>VV</v>
          </cell>
        </row>
        <row r="392">
          <cell r="A392" t="str">
            <v>VV</v>
          </cell>
        </row>
        <row r="393">
          <cell r="A393" t="str">
            <v>VV</v>
          </cell>
        </row>
        <row r="394">
          <cell r="A394" t="str">
            <v>VV</v>
          </cell>
        </row>
        <row r="395">
          <cell r="A395" t="str">
            <v>VV</v>
          </cell>
        </row>
        <row r="396">
          <cell r="A396" t="str">
            <v>VV</v>
          </cell>
        </row>
        <row r="397">
          <cell r="A397" t="str">
            <v>VV</v>
          </cell>
        </row>
        <row r="398">
          <cell r="A398" t="str">
            <v>VV</v>
          </cell>
        </row>
        <row r="399">
          <cell r="A399" t="str">
            <v>VV</v>
          </cell>
        </row>
        <row r="400">
          <cell r="A400" t="str">
            <v>VV</v>
          </cell>
        </row>
        <row r="401">
          <cell r="A401" t="str">
            <v>VV</v>
          </cell>
        </row>
        <row r="402">
          <cell r="A402" t="str">
            <v>VV</v>
          </cell>
        </row>
        <row r="403">
          <cell r="A403" t="str">
            <v>VV</v>
          </cell>
        </row>
        <row r="404">
          <cell r="A404" t="str">
            <v>VV</v>
          </cell>
        </row>
        <row r="405">
          <cell r="A405" t="str">
            <v>VV</v>
          </cell>
        </row>
        <row r="406">
          <cell r="A406" t="str">
            <v>VV</v>
          </cell>
        </row>
        <row r="407">
          <cell r="A407" t="str">
            <v>VV</v>
          </cell>
        </row>
        <row r="408">
          <cell r="A408" t="str">
            <v>VV</v>
          </cell>
        </row>
        <row r="409">
          <cell r="A409" t="str">
            <v>VV</v>
          </cell>
        </row>
        <row r="410">
          <cell r="A410" t="str">
            <v>VV</v>
          </cell>
        </row>
        <row r="411">
          <cell r="A411" t="str">
            <v>VV</v>
          </cell>
        </row>
        <row r="412">
          <cell r="A412" t="str">
            <v>VV</v>
          </cell>
        </row>
        <row r="413">
          <cell r="A413" t="str">
            <v>VV</v>
          </cell>
        </row>
        <row r="414">
          <cell r="A414" t="str">
            <v>VV</v>
          </cell>
        </row>
        <row r="415">
          <cell r="A415" t="str">
            <v>VV</v>
          </cell>
        </row>
        <row r="416">
          <cell r="A416" t="str">
            <v>VV</v>
          </cell>
        </row>
        <row r="417">
          <cell r="A417" t="str">
            <v>VV</v>
          </cell>
        </row>
        <row r="418">
          <cell r="A418" t="str">
            <v>VV</v>
          </cell>
        </row>
        <row r="419">
          <cell r="A419" t="str">
            <v>TS</v>
          </cell>
        </row>
        <row r="420">
          <cell r="A420" t="str">
            <v>SD</v>
          </cell>
        </row>
        <row r="421">
          <cell r="A421" t="str">
            <v>P</v>
          </cell>
          <cell r="O421">
            <v>0</v>
          </cell>
        </row>
        <row r="422">
          <cell r="A422" t="str">
            <v>PP</v>
          </cell>
        </row>
        <row r="423">
          <cell r="A423" t="str">
            <v>VV</v>
          </cell>
        </row>
        <row r="424">
          <cell r="A424" t="str">
            <v>VV</v>
          </cell>
        </row>
        <row r="425">
          <cell r="A425" t="str">
            <v>VV</v>
          </cell>
        </row>
        <row r="426">
          <cell r="A426" t="str">
            <v>VV</v>
          </cell>
        </row>
        <row r="427">
          <cell r="A427" t="str">
            <v>TS</v>
          </cell>
        </row>
        <row r="428">
          <cell r="A428" t="str">
            <v>P</v>
          </cell>
          <cell r="O428">
            <v>0</v>
          </cell>
        </row>
        <row r="429">
          <cell r="A429" t="str">
            <v>PP</v>
          </cell>
        </row>
        <row r="430">
          <cell r="A430" t="str">
            <v>VV</v>
          </cell>
        </row>
        <row r="431">
          <cell r="A431" t="str">
            <v>VV</v>
          </cell>
        </row>
        <row r="432">
          <cell r="A432" t="str">
            <v>TS</v>
          </cell>
        </row>
      </sheetData>
      <sheetData sheetId="12">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TS</v>
          </cell>
        </row>
        <row r="48">
          <cell r="A48" t="str">
            <v>P</v>
          </cell>
          <cell r="O48">
            <v>0</v>
          </cell>
        </row>
        <row r="49">
          <cell r="A49" t="str">
            <v>PP</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VV</v>
          </cell>
        </row>
        <row r="79">
          <cell r="A79" t="str">
            <v>TS</v>
          </cell>
        </row>
        <row r="80">
          <cell r="A80" t="str">
            <v>P</v>
          </cell>
          <cell r="O80">
            <v>0</v>
          </cell>
        </row>
        <row r="81">
          <cell r="A81" t="str">
            <v>PP</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VV</v>
          </cell>
        </row>
        <row r="108">
          <cell r="A108" t="str">
            <v>VV</v>
          </cell>
        </row>
        <row r="109">
          <cell r="A109" t="str">
            <v>VV</v>
          </cell>
        </row>
        <row r="110">
          <cell r="A110" t="str">
            <v>VV</v>
          </cell>
        </row>
        <row r="111">
          <cell r="A111" t="str">
            <v>VV</v>
          </cell>
        </row>
        <row r="112">
          <cell r="A112" t="str">
            <v>TS</v>
          </cell>
        </row>
        <row r="113">
          <cell r="A113" t="str">
            <v>P</v>
          </cell>
          <cell r="O113">
            <v>0</v>
          </cell>
        </row>
        <row r="114">
          <cell r="A114" t="str">
            <v>PP</v>
          </cell>
        </row>
        <row r="115">
          <cell r="A115" t="str">
            <v>VV</v>
          </cell>
        </row>
        <row r="116">
          <cell r="A116" t="str">
            <v>VV</v>
          </cell>
        </row>
        <row r="117">
          <cell r="A117" t="str">
            <v>VV</v>
          </cell>
        </row>
        <row r="118">
          <cell r="A118" t="str">
            <v>VV</v>
          </cell>
        </row>
        <row r="119">
          <cell r="A119" t="str">
            <v>VV</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VV</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VV</v>
          </cell>
        </row>
        <row r="147">
          <cell r="A147" t="str">
            <v>VV</v>
          </cell>
        </row>
        <row r="148">
          <cell r="A148" t="str">
            <v>VV</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VV</v>
          </cell>
        </row>
        <row r="164">
          <cell r="A164" t="str">
            <v>VV</v>
          </cell>
        </row>
        <row r="165">
          <cell r="A165" t="str">
            <v>VV</v>
          </cell>
        </row>
        <row r="166">
          <cell r="A166" t="str">
            <v>VV</v>
          </cell>
        </row>
        <row r="167">
          <cell r="A167" t="str">
            <v>VV</v>
          </cell>
        </row>
        <row r="168">
          <cell r="A168" t="str">
            <v>VV</v>
          </cell>
        </row>
        <row r="169">
          <cell r="A169" t="str">
            <v>VV</v>
          </cell>
        </row>
        <row r="170">
          <cell r="A170" t="str">
            <v>VV</v>
          </cell>
        </row>
        <row r="171">
          <cell r="A171" t="str">
            <v>VV</v>
          </cell>
        </row>
        <row r="172">
          <cell r="A172" t="str">
            <v>VV</v>
          </cell>
        </row>
        <row r="173">
          <cell r="A173" t="str">
            <v>TS</v>
          </cell>
        </row>
        <row r="174">
          <cell r="A174" t="str">
            <v>P</v>
          </cell>
          <cell r="O174">
            <v>0</v>
          </cell>
        </row>
        <row r="175">
          <cell r="A175" t="str">
            <v>PP</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VV</v>
          </cell>
        </row>
        <row r="185">
          <cell r="A185" t="str">
            <v>VV</v>
          </cell>
        </row>
        <row r="186">
          <cell r="A186" t="str">
            <v>VV</v>
          </cell>
        </row>
        <row r="187">
          <cell r="A187" t="str">
            <v>VV</v>
          </cell>
        </row>
        <row r="188">
          <cell r="A188" t="str">
            <v>VV</v>
          </cell>
        </row>
        <row r="189">
          <cell r="A189" t="str">
            <v>VV</v>
          </cell>
        </row>
        <row r="190">
          <cell r="A190" t="str">
            <v>VV</v>
          </cell>
        </row>
        <row r="191">
          <cell r="A191" t="str">
            <v>VV</v>
          </cell>
        </row>
        <row r="192">
          <cell r="A192" t="str">
            <v>TS</v>
          </cell>
        </row>
        <row r="193">
          <cell r="A193" t="str">
            <v>P</v>
          </cell>
          <cell r="O193">
            <v>0</v>
          </cell>
        </row>
        <row r="194">
          <cell r="A194" t="str">
            <v>PP</v>
          </cell>
        </row>
        <row r="195">
          <cell r="A195" t="str">
            <v>VV</v>
          </cell>
        </row>
        <row r="196">
          <cell r="A196" t="str">
            <v>VV</v>
          </cell>
        </row>
        <row r="197">
          <cell r="A197" t="str">
            <v>VV</v>
          </cell>
        </row>
        <row r="198">
          <cell r="A198" t="str">
            <v>VV</v>
          </cell>
        </row>
        <row r="199">
          <cell r="A199" t="str">
            <v>VV</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TS</v>
          </cell>
        </row>
        <row r="208">
          <cell r="A208" t="str">
            <v>P</v>
          </cell>
          <cell r="O208">
            <v>0</v>
          </cell>
        </row>
        <row r="209">
          <cell r="A209" t="str">
            <v>PP</v>
          </cell>
        </row>
        <row r="210">
          <cell r="A210" t="str">
            <v>VV</v>
          </cell>
        </row>
        <row r="211">
          <cell r="A211" t="str">
            <v>VV</v>
          </cell>
        </row>
        <row r="212">
          <cell r="A212" t="str">
            <v>VV</v>
          </cell>
        </row>
        <row r="213">
          <cell r="A213" t="str">
            <v>VV</v>
          </cell>
        </row>
        <row r="214">
          <cell r="A214" t="str">
            <v>VV</v>
          </cell>
        </row>
        <row r="215">
          <cell r="A215" t="str">
            <v>VV</v>
          </cell>
        </row>
        <row r="216">
          <cell r="A216" t="str">
            <v>VV</v>
          </cell>
        </row>
        <row r="217">
          <cell r="A217" t="str">
            <v>VV</v>
          </cell>
        </row>
        <row r="218">
          <cell r="A218" t="str">
            <v>VV</v>
          </cell>
        </row>
        <row r="219">
          <cell r="A219" t="str">
            <v>VV</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VV</v>
          </cell>
        </row>
        <row r="232">
          <cell r="A232" t="str">
            <v>VV</v>
          </cell>
        </row>
        <row r="233">
          <cell r="A233" t="str">
            <v>VV</v>
          </cell>
        </row>
        <row r="234">
          <cell r="A234" t="str">
            <v>VV</v>
          </cell>
        </row>
        <row r="235">
          <cell r="A235" t="str">
            <v>VV</v>
          </cell>
        </row>
        <row r="236">
          <cell r="A236" t="str">
            <v>VV</v>
          </cell>
        </row>
        <row r="237">
          <cell r="A237" t="str">
            <v>VV</v>
          </cell>
        </row>
        <row r="238">
          <cell r="A238" t="str">
            <v>VV</v>
          </cell>
        </row>
        <row r="239">
          <cell r="A239" t="str">
            <v>TS</v>
          </cell>
        </row>
        <row r="240">
          <cell r="A240" t="str">
            <v>P</v>
          </cell>
          <cell r="O240">
            <v>0</v>
          </cell>
        </row>
        <row r="241">
          <cell r="A241" t="str">
            <v>PP</v>
          </cell>
        </row>
        <row r="242">
          <cell r="A242" t="str">
            <v>VV</v>
          </cell>
        </row>
        <row r="243">
          <cell r="A243" t="str">
            <v>VV</v>
          </cell>
        </row>
        <row r="244">
          <cell r="A244" t="str">
            <v>VV</v>
          </cell>
        </row>
        <row r="245">
          <cell r="A245" t="str">
            <v>VV</v>
          </cell>
        </row>
        <row r="246">
          <cell r="A246" t="str">
            <v>VV</v>
          </cell>
        </row>
        <row r="247">
          <cell r="A247" t="str">
            <v>VV</v>
          </cell>
        </row>
        <row r="248">
          <cell r="A248" t="str">
            <v>VV</v>
          </cell>
        </row>
        <row r="249">
          <cell r="A249" t="str">
            <v>VV</v>
          </cell>
        </row>
        <row r="250">
          <cell r="A250" t="str">
            <v>VV</v>
          </cell>
        </row>
        <row r="251">
          <cell r="A251" t="str">
            <v>VV</v>
          </cell>
        </row>
        <row r="252">
          <cell r="A252" t="str">
            <v>VV</v>
          </cell>
        </row>
        <row r="253">
          <cell r="A253" t="str">
            <v>VV</v>
          </cell>
        </row>
        <row r="254">
          <cell r="A254" t="str">
            <v>VV</v>
          </cell>
        </row>
        <row r="255">
          <cell r="A255" t="str">
            <v>TS</v>
          </cell>
        </row>
        <row r="256">
          <cell r="A256" t="str">
            <v>P</v>
          </cell>
          <cell r="O256">
            <v>0</v>
          </cell>
        </row>
        <row r="257">
          <cell r="A257" t="str">
            <v>PP</v>
          </cell>
        </row>
        <row r="258">
          <cell r="A258" t="str">
            <v>VV</v>
          </cell>
        </row>
        <row r="259">
          <cell r="A259" t="str">
            <v>VV</v>
          </cell>
        </row>
        <row r="260">
          <cell r="A260" t="str">
            <v>VV</v>
          </cell>
        </row>
        <row r="261">
          <cell r="A261" t="str">
            <v>VV</v>
          </cell>
        </row>
        <row r="262">
          <cell r="A262" t="str">
            <v>VV</v>
          </cell>
        </row>
        <row r="263">
          <cell r="A263" t="str">
            <v>VV</v>
          </cell>
        </row>
        <row r="264">
          <cell r="A264" t="str">
            <v>VV</v>
          </cell>
        </row>
        <row r="265">
          <cell r="A265" t="str">
            <v>VV</v>
          </cell>
        </row>
        <row r="266">
          <cell r="A266" t="str">
            <v>VV</v>
          </cell>
        </row>
        <row r="267">
          <cell r="A267" t="str">
            <v>VV</v>
          </cell>
        </row>
        <row r="268">
          <cell r="A268" t="str">
            <v>VV</v>
          </cell>
        </row>
        <row r="269">
          <cell r="A269" t="str">
            <v>VV</v>
          </cell>
        </row>
        <row r="270">
          <cell r="A270" t="str">
            <v>VV</v>
          </cell>
        </row>
        <row r="271">
          <cell r="A271" t="str">
            <v>VV</v>
          </cell>
        </row>
        <row r="272">
          <cell r="A272" t="str">
            <v>VV</v>
          </cell>
        </row>
        <row r="273">
          <cell r="A273" t="str">
            <v>VV</v>
          </cell>
        </row>
        <row r="274">
          <cell r="A274" t="str">
            <v>VV</v>
          </cell>
        </row>
        <row r="275">
          <cell r="A275" t="str">
            <v>VV</v>
          </cell>
        </row>
        <row r="276">
          <cell r="A276" t="str">
            <v>VV</v>
          </cell>
        </row>
        <row r="277">
          <cell r="A277" t="str">
            <v>VV</v>
          </cell>
        </row>
        <row r="278">
          <cell r="A278" t="str">
            <v>VV</v>
          </cell>
        </row>
        <row r="279">
          <cell r="A279" t="str">
            <v>VV</v>
          </cell>
        </row>
        <row r="280">
          <cell r="A280" t="str">
            <v>VV</v>
          </cell>
        </row>
        <row r="281">
          <cell r="A281" t="str">
            <v>VV</v>
          </cell>
        </row>
        <row r="282">
          <cell r="A282" t="str">
            <v>VV</v>
          </cell>
        </row>
        <row r="283">
          <cell r="A283" t="str">
            <v>VV</v>
          </cell>
        </row>
        <row r="284">
          <cell r="A284" t="str">
            <v>VV</v>
          </cell>
        </row>
        <row r="285">
          <cell r="A285" t="str">
            <v>VV</v>
          </cell>
        </row>
        <row r="286">
          <cell r="A286" t="str">
            <v>VV</v>
          </cell>
        </row>
        <row r="287">
          <cell r="A287" t="str">
            <v>VV</v>
          </cell>
        </row>
        <row r="288">
          <cell r="A288" t="str">
            <v>VV</v>
          </cell>
        </row>
        <row r="289">
          <cell r="A289" t="str">
            <v>VV</v>
          </cell>
        </row>
        <row r="290">
          <cell r="A290" t="str">
            <v>VV</v>
          </cell>
        </row>
        <row r="291">
          <cell r="A291" t="str">
            <v>VV</v>
          </cell>
        </row>
        <row r="292">
          <cell r="A292" t="str">
            <v>VV</v>
          </cell>
        </row>
        <row r="293">
          <cell r="A293" t="str">
            <v>TS</v>
          </cell>
        </row>
        <row r="294">
          <cell r="A294" t="str">
            <v>P</v>
          </cell>
          <cell r="O294">
            <v>0</v>
          </cell>
        </row>
        <row r="295">
          <cell r="A295" t="str">
            <v>PP</v>
          </cell>
        </row>
        <row r="296">
          <cell r="A296" t="str">
            <v>VV</v>
          </cell>
        </row>
        <row r="297">
          <cell r="A297" t="str">
            <v>VV</v>
          </cell>
        </row>
        <row r="298">
          <cell r="A298" t="str">
            <v>VV</v>
          </cell>
        </row>
        <row r="299">
          <cell r="A299" t="str">
            <v>VV</v>
          </cell>
        </row>
        <row r="300">
          <cell r="A300" t="str">
            <v>VV</v>
          </cell>
        </row>
        <row r="301">
          <cell r="A301" t="str">
            <v>VV</v>
          </cell>
        </row>
        <row r="302">
          <cell r="A302" t="str">
            <v>VV</v>
          </cell>
        </row>
        <row r="303">
          <cell r="A303" t="str">
            <v>VV</v>
          </cell>
        </row>
        <row r="304">
          <cell r="A304" t="str">
            <v>VV</v>
          </cell>
        </row>
        <row r="305">
          <cell r="A305" t="str">
            <v>VV</v>
          </cell>
        </row>
        <row r="306">
          <cell r="A306" t="str">
            <v>VV</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VV</v>
          </cell>
        </row>
        <row r="320">
          <cell r="A320" t="str">
            <v>VV</v>
          </cell>
        </row>
        <row r="321">
          <cell r="A321" t="str">
            <v>VV</v>
          </cell>
        </row>
        <row r="322">
          <cell r="A322" t="str">
            <v>VV</v>
          </cell>
        </row>
        <row r="323">
          <cell r="A323" t="str">
            <v>VV</v>
          </cell>
        </row>
        <row r="324">
          <cell r="A324" t="str">
            <v>VV</v>
          </cell>
        </row>
        <row r="325">
          <cell r="A325" t="str">
            <v>VV</v>
          </cell>
        </row>
        <row r="326">
          <cell r="A326" t="str">
            <v>VV</v>
          </cell>
        </row>
        <row r="327">
          <cell r="A327" t="str">
            <v>VV</v>
          </cell>
        </row>
        <row r="328">
          <cell r="A328" t="str">
            <v>VV</v>
          </cell>
        </row>
        <row r="329">
          <cell r="A329" t="str">
            <v>VV</v>
          </cell>
        </row>
        <row r="330">
          <cell r="A330" t="str">
            <v>VV</v>
          </cell>
        </row>
        <row r="331">
          <cell r="A331" t="str">
            <v>TS</v>
          </cell>
        </row>
        <row r="332">
          <cell r="A332" t="str">
            <v>SD</v>
          </cell>
        </row>
        <row r="333">
          <cell r="A333" t="str">
            <v>P</v>
          </cell>
          <cell r="O333">
            <v>0</v>
          </cell>
        </row>
        <row r="334">
          <cell r="A334" t="str">
            <v>PP</v>
          </cell>
        </row>
        <row r="335">
          <cell r="A335" t="str">
            <v>VV</v>
          </cell>
        </row>
        <row r="336">
          <cell r="A336" t="str">
            <v>VV</v>
          </cell>
        </row>
        <row r="337">
          <cell r="A337" t="str">
            <v>VV</v>
          </cell>
        </row>
        <row r="338">
          <cell r="A338" t="str">
            <v>VV</v>
          </cell>
        </row>
        <row r="339">
          <cell r="A339" t="str">
            <v>TS</v>
          </cell>
        </row>
        <row r="340">
          <cell r="A340" t="str">
            <v>SD</v>
          </cell>
        </row>
        <row r="341">
          <cell r="A341" t="str">
            <v>P</v>
          </cell>
          <cell r="O341">
            <v>0</v>
          </cell>
        </row>
        <row r="342">
          <cell r="A342" t="str">
            <v>PP</v>
          </cell>
        </row>
        <row r="343">
          <cell r="A343" t="str">
            <v>VV</v>
          </cell>
        </row>
        <row r="344">
          <cell r="A344" t="str">
            <v>VV</v>
          </cell>
        </row>
        <row r="345">
          <cell r="A345" t="str">
            <v>VV</v>
          </cell>
        </row>
        <row r="346">
          <cell r="A346" t="str">
            <v>VV</v>
          </cell>
        </row>
        <row r="347">
          <cell r="A347" t="str">
            <v>VV</v>
          </cell>
        </row>
        <row r="348">
          <cell r="A348" t="str">
            <v>VV</v>
          </cell>
        </row>
        <row r="349">
          <cell r="A349" t="str">
            <v>VV</v>
          </cell>
        </row>
        <row r="350">
          <cell r="A350" t="str">
            <v>TS</v>
          </cell>
        </row>
        <row r="351">
          <cell r="A351" t="str">
            <v>P</v>
          </cell>
          <cell r="O351">
            <v>0</v>
          </cell>
        </row>
        <row r="352">
          <cell r="A352" t="str">
            <v>PP</v>
          </cell>
        </row>
        <row r="353">
          <cell r="A353" t="str">
            <v>VV</v>
          </cell>
        </row>
        <row r="354">
          <cell r="A354" t="str">
            <v>VV</v>
          </cell>
        </row>
        <row r="355">
          <cell r="A355" t="str">
            <v>VV</v>
          </cell>
        </row>
        <row r="356">
          <cell r="A356" t="str">
            <v>VV</v>
          </cell>
        </row>
        <row r="357">
          <cell r="A357" t="str">
            <v>VV</v>
          </cell>
        </row>
        <row r="358">
          <cell r="A358" t="str">
            <v>VV</v>
          </cell>
        </row>
        <row r="359">
          <cell r="A359" t="str">
            <v>VV</v>
          </cell>
        </row>
        <row r="360">
          <cell r="A360" t="str">
            <v>VV</v>
          </cell>
        </row>
        <row r="361">
          <cell r="A361" t="str">
            <v>VV</v>
          </cell>
        </row>
        <row r="362">
          <cell r="A362" t="str">
            <v>VV</v>
          </cell>
        </row>
        <row r="363">
          <cell r="A363" t="str">
            <v>VV</v>
          </cell>
        </row>
        <row r="364">
          <cell r="A364" t="str">
            <v>VV</v>
          </cell>
        </row>
        <row r="365">
          <cell r="A365" t="str">
            <v>TS</v>
          </cell>
        </row>
        <row r="366">
          <cell r="A366" t="str">
            <v>P</v>
          </cell>
          <cell r="O366">
            <v>0</v>
          </cell>
        </row>
        <row r="367">
          <cell r="A367" t="str">
            <v>PP</v>
          </cell>
        </row>
        <row r="368">
          <cell r="A368" t="str">
            <v>VV</v>
          </cell>
        </row>
        <row r="369">
          <cell r="A369" t="str">
            <v>VV</v>
          </cell>
        </row>
        <row r="370">
          <cell r="A370" t="str">
            <v>TS</v>
          </cell>
        </row>
        <row r="371">
          <cell r="A371" t="str">
            <v>P</v>
          </cell>
          <cell r="O371">
            <v>0</v>
          </cell>
        </row>
        <row r="372">
          <cell r="A372" t="str">
            <v>PP</v>
          </cell>
        </row>
        <row r="373">
          <cell r="A373" t="str">
            <v>VV</v>
          </cell>
        </row>
        <row r="374">
          <cell r="A374" t="str">
            <v>VV</v>
          </cell>
        </row>
        <row r="375">
          <cell r="A375" t="str">
            <v>TS</v>
          </cell>
        </row>
        <row r="376">
          <cell r="A376" t="str">
            <v>P</v>
          </cell>
          <cell r="O376">
            <v>0</v>
          </cell>
        </row>
        <row r="377">
          <cell r="A377" t="str">
            <v>PP</v>
          </cell>
        </row>
        <row r="378">
          <cell r="A378" t="str">
            <v>VV</v>
          </cell>
        </row>
        <row r="379">
          <cell r="A379" t="str">
            <v>VV</v>
          </cell>
        </row>
        <row r="380">
          <cell r="A380" t="str">
            <v>VV</v>
          </cell>
        </row>
        <row r="381">
          <cell r="A381" t="str">
            <v>VV</v>
          </cell>
        </row>
        <row r="382">
          <cell r="A382" t="str">
            <v>TS</v>
          </cell>
        </row>
        <row r="383">
          <cell r="A383" t="str">
            <v>P</v>
          </cell>
          <cell r="O383">
            <v>0</v>
          </cell>
        </row>
        <row r="384">
          <cell r="A384" t="str">
            <v>PP</v>
          </cell>
        </row>
        <row r="385">
          <cell r="A385" t="str">
            <v>VV</v>
          </cell>
        </row>
        <row r="386">
          <cell r="A386" t="str">
            <v>VV</v>
          </cell>
        </row>
        <row r="387">
          <cell r="A387" t="str">
            <v>VV</v>
          </cell>
        </row>
        <row r="388">
          <cell r="A388" t="str">
            <v>VV</v>
          </cell>
        </row>
        <row r="389">
          <cell r="A389" t="str">
            <v>VV</v>
          </cell>
        </row>
        <row r="390">
          <cell r="A390" t="str">
            <v>VV</v>
          </cell>
        </row>
        <row r="391">
          <cell r="A391" t="str">
            <v>VV</v>
          </cell>
        </row>
        <row r="392">
          <cell r="A392" t="str">
            <v>TS</v>
          </cell>
        </row>
        <row r="393">
          <cell r="A393" t="str">
            <v>P</v>
          </cell>
          <cell r="O393">
            <v>0</v>
          </cell>
        </row>
        <row r="394">
          <cell r="A394" t="str">
            <v>PP</v>
          </cell>
        </row>
        <row r="395">
          <cell r="A395" t="str">
            <v>VV</v>
          </cell>
        </row>
        <row r="396">
          <cell r="A396" t="str">
            <v>VV</v>
          </cell>
        </row>
        <row r="397">
          <cell r="A397" t="str">
            <v>VV</v>
          </cell>
        </row>
        <row r="398">
          <cell r="A398" t="str">
            <v>VV</v>
          </cell>
        </row>
        <row r="399">
          <cell r="A399" t="str">
            <v>VV</v>
          </cell>
        </row>
        <row r="400">
          <cell r="A400" t="str">
            <v>TS</v>
          </cell>
        </row>
        <row r="401">
          <cell r="A401" t="str">
            <v>P</v>
          </cell>
          <cell r="O401">
            <v>0</v>
          </cell>
        </row>
        <row r="402">
          <cell r="A402" t="str">
            <v>PP</v>
          </cell>
        </row>
        <row r="403">
          <cell r="A403" t="str">
            <v>VV</v>
          </cell>
        </row>
        <row r="404">
          <cell r="A404" t="str">
            <v>VV</v>
          </cell>
        </row>
        <row r="405">
          <cell r="A405" t="str">
            <v>VV</v>
          </cell>
        </row>
        <row r="406">
          <cell r="A406" t="str">
            <v>TS</v>
          </cell>
        </row>
        <row r="407">
          <cell r="A407" t="str">
            <v>P</v>
          </cell>
          <cell r="O407">
            <v>0</v>
          </cell>
        </row>
        <row r="408">
          <cell r="A408" t="str">
            <v>PP</v>
          </cell>
        </row>
        <row r="409">
          <cell r="A409" t="str">
            <v>VV</v>
          </cell>
        </row>
        <row r="410">
          <cell r="A410" t="str">
            <v>VV</v>
          </cell>
        </row>
        <row r="411">
          <cell r="A411" t="str">
            <v>VV</v>
          </cell>
        </row>
        <row r="412">
          <cell r="A412" t="str">
            <v>VV</v>
          </cell>
        </row>
        <row r="413">
          <cell r="A413" t="str">
            <v>VV</v>
          </cell>
        </row>
        <row r="414">
          <cell r="A414" t="str">
            <v>VV</v>
          </cell>
        </row>
        <row r="415">
          <cell r="A415" t="str">
            <v>VV</v>
          </cell>
        </row>
        <row r="416">
          <cell r="A416" t="str">
            <v>VV</v>
          </cell>
        </row>
        <row r="417">
          <cell r="A417" t="str">
            <v>VV</v>
          </cell>
        </row>
        <row r="418">
          <cell r="A418" t="str">
            <v>VV</v>
          </cell>
        </row>
        <row r="419">
          <cell r="A419" t="str">
            <v>VV</v>
          </cell>
        </row>
        <row r="420">
          <cell r="A420" t="str">
            <v>VV</v>
          </cell>
        </row>
        <row r="421">
          <cell r="A421" t="str">
            <v>VV</v>
          </cell>
        </row>
        <row r="422">
          <cell r="A422" t="str">
            <v>VV</v>
          </cell>
        </row>
        <row r="423">
          <cell r="A423" t="str">
            <v>VV</v>
          </cell>
        </row>
        <row r="424">
          <cell r="A424" t="str">
            <v>VV</v>
          </cell>
        </row>
        <row r="425">
          <cell r="A425" t="str">
            <v>VV</v>
          </cell>
        </row>
        <row r="426">
          <cell r="A426" t="str">
            <v>VV</v>
          </cell>
        </row>
        <row r="427">
          <cell r="A427" t="str">
            <v>VV</v>
          </cell>
        </row>
        <row r="428">
          <cell r="A428" t="str">
            <v>VV</v>
          </cell>
        </row>
        <row r="429">
          <cell r="A429" t="str">
            <v>VV</v>
          </cell>
        </row>
        <row r="430">
          <cell r="A430" t="str">
            <v>VV</v>
          </cell>
        </row>
        <row r="431">
          <cell r="A431" t="str">
            <v>VV</v>
          </cell>
        </row>
        <row r="432">
          <cell r="A432" t="str">
            <v>VV</v>
          </cell>
        </row>
        <row r="433">
          <cell r="A433" t="str">
            <v>VV</v>
          </cell>
        </row>
        <row r="434">
          <cell r="A434" t="str">
            <v>VV</v>
          </cell>
        </row>
        <row r="435">
          <cell r="A435" t="str">
            <v>VV</v>
          </cell>
        </row>
        <row r="436">
          <cell r="A436" t="str">
            <v>VV</v>
          </cell>
        </row>
        <row r="437">
          <cell r="A437" t="str">
            <v>VV</v>
          </cell>
        </row>
        <row r="438">
          <cell r="A438" t="str">
            <v>VV</v>
          </cell>
        </row>
        <row r="439">
          <cell r="A439" t="str">
            <v>TS</v>
          </cell>
        </row>
        <row r="440">
          <cell r="A440" t="str">
            <v>P</v>
          </cell>
          <cell r="O440">
            <v>0</v>
          </cell>
        </row>
        <row r="441">
          <cell r="A441" t="str">
            <v>PP</v>
          </cell>
        </row>
        <row r="442">
          <cell r="A442" t="str">
            <v>VV</v>
          </cell>
        </row>
        <row r="443">
          <cell r="A443" t="str">
            <v>VV</v>
          </cell>
        </row>
        <row r="444">
          <cell r="A444" t="str">
            <v>VV</v>
          </cell>
        </row>
        <row r="445">
          <cell r="A445" t="str">
            <v>VV</v>
          </cell>
        </row>
        <row r="446">
          <cell r="A446" t="str">
            <v>VV</v>
          </cell>
        </row>
        <row r="447">
          <cell r="A447" t="str">
            <v>VV</v>
          </cell>
        </row>
        <row r="448">
          <cell r="A448" t="str">
            <v>VV</v>
          </cell>
        </row>
        <row r="449">
          <cell r="A449" t="str">
            <v>VV</v>
          </cell>
        </row>
        <row r="450">
          <cell r="A450" t="str">
            <v>VV</v>
          </cell>
        </row>
        <row r="451">
          <cell r="A451" t="str">
            <v>VV</v>
          </cell>
        </row>
        <row r="452">
          <cell r="A452" t="str">
            <v>VV</v>
          </cell>
        </row>
        <row r="453">
          <cell r="A453" t="str">
            <v>VV</v>
          </cell>
        </row>
        <row r="454">
          <cell r="A454" t="str">
            <v>VV</v>
          </cell>
        </row>
        <row r="455">
          <cell r="A455" t="str">
            <v>VV</v>
          </cell>
        </row>
        <row r="456">
          <cell r="A456" t="str">
            <v>VV</v>
          </cell>
        </row>
        <row r="457">
          <cell r="A457" t="str">
            <v>VV</v>
          </cell>
        </row>
        <row r="458">
          <cell r="A458" t="str">
            <v>VV</v>
          </cell>
        </row>
        <row r="459">
          <cell r="A459" t="str">
            <v>VV</v>
          </cell>
        </row>
        <row r="460">
          <cell r="A460" t="str">
            <v>VV</v>
          </cell>
        </row>
        <row r="461">
          <cell r="A461" t="str">
            <v>VV</v>
          </cell>
        </row>
        <row r="462">
          <cell r="A462" t="str">
            <v>VV</v>
          </cell>
        </row>
        <row r="463">
          <cell r="A463" t="str">
            <v>VV</v>
          </cell>
        </row>
        <row r="464">
          <cell r="A464" t="str">
            <v>VV</v>
          </cell>
        </row>
        <row r="465">
          <cell r="A465" t="str">
            <v>VV</v>
          </cell>
        </row>
        <row r="466">
          <cell r="A466" t="str">
            <v>VV</v>
          </cell>
        </row>
        <row r="467">
          <cell r="A467" t="str">
            <v>VV</v>
          </cell>
        </row>
        <row r="468">
          <cell r="A468" t="str">
            <v>VV</v>
          </cell>
        </row>
        <row r="469">
          <cell r="A469" t="str">
            <v>VV</v>
          </cell>
        </row>
        <row r="470">
          <cell r="A470" t="str">
            <v>VV</v>
          </cell>
        </row>
        <row r="471">
          <cell r="A471" t="str">
            <v>TS</v>
          </cell>
        </row>
        <row r="472">
          <cell r="A472" t="str">
            <v>P</v>
          </cell>
          <cell r="O472">
            <v>0</v>
          </cell>
        </row>
        <row r="473">
          <cell r="A473" t="str">
            <v>PP</v>
          </cell>
        </row>
        <row r="474">
          <cell r="A474" t="str">
            <v>VV</v>
          </cell>
        </row>
        <row r="475">
          <cell r="A475" t="str">
            <v>VV</v>
          </cell>
        </row>
        <row r="476">
          <cell r="A476" t="str">
            <v>VV</v>
          </cell>
        </row>
        <row r="477">
          <cell r="A477" t="str">
            <v>VV</v>
          </cell>
        </row>
        <row r="478">
          <cell r="A478" t="str">
            <v>VV</v>
          </cell>
        </row>
        <row r="479">
          <cell r="A479" t="str">
            <v>VV</v>
          </cell>
        </row>
        <row r="480">
          <cell r="A480" t="str">
            <v>VV</v>
          </cell>
        </row>
        <row r="481">
          <cell r="A481" t="str">
            <v>VV</v>
          </cell>
        </row>
        <row r="482">
          <cell r="A482" t="str">
            <v>VV</v>
          </cell>
        </row>
        <row r="483">
          <cell r="A483" t="str">
            <v>VV</v>
          </cell>
        </row>
        <row r="484">
          <cell r="A484" t="str">
            <v>VV</v>
          </cell>
        </row>
        <row r="485">
          <cell r="A485" t="str">
            <v>VV</v>
          </cell>
        </row>
        <row r="486">
          <cell r="A486" t="str">
            <v>TS</v>
          </cell>
        </row>
        <row r="487">
          <cell r="A487" t="str">
            <v>P</v>
          </cell>
          <cell r="O487">
            <v>0</v>
          </cell>
        </row>
        <row r="488">
          <cell r="A488" t="str">
            <v>PP</v>
          </cell>
        </row>
        <row r="489">
          <cell r="A489" t="str">
            <v>VV</v>
          </cell>
        </row>
        <row r="490">
          <cell r="A490" t="str">
            <v>VV</v>
          </cell>
        </row>
        <row r="491">
          <cell r="A491" t="str">
            <v>VV</v>
          </cell>
        </row>
        <row r="492">
          <cell r="A492" t="str">
            <v>VV</v>
          </cell>
        </row>
        <row r="493">
          <cell r="A493" t="str">
            <v>VV</v>
          </cell>
        </row>
        <row r="494">
          <cell r="A494" t="str">
            <v>VV</v>
          </cell>
        </row>
        <row r="495">
          <cell r="A495" t="str">
            <v>VV</v>
          </cell>
        </row>
        <row r="496">
          <cell r="A496" t="str">
            <v>TS</v>
          </cell>
        </row>
        <row r="497">
          <cell r="A497" t="str">
            <v>P</v>
          </cell>
          <cell r="O497">
            <v>0</v>
          </cell>
        </row>
        <row r="498">
          <cell r="A498" t="str">
            <v>PP</v>
          </cell>
        </row>
        <row r="499">
          <cell r="A499" t="str">
            <v>VV</v>
          </cell>
        </row>
        <row r="500">
          <cell r="A500" t="str">
            <v>VV</v>
          </cell>
        </row>
        <row r="501">
          <cell r="A501" t="str">
            <v>VV</v>
          </cell>
        </row>
        <row r="502">
          <cell r="A502" t="str">
            <v>VV</v>
          </cell>
        </row>
        <row r="503">
          <cell r="A503" t="str">
            <v>VV</v>
          </cell>
        </row>
        <row r="504">
          <cell r="A504" t="str">
            <v>VV</v>
          </cell>
        </row>
        <row r="505">
          <cell r="A505" t="str">
            <v>VV</v>
          </cell>
        </row>
        <row r="506">
          <cell r="A506" t="str">
            <v>VV</v>
          </cell>
        </row>
        <row r="507">
          <cell r="A507" t="str">
            <v>VV</v>
          </cell>
        </row>
        <row r="508">
          <cell r="A508" t="str">
            <v>VV</v>
          </cell>
        </row>
        <row r="509">
          <cell r="A509" t="str">
            <v>TS</v>
          </cell>
        </row>
        <row r="510">
          <cell r="A510" t="str">
            <v>P</v>
          </cell>
          <cell r="O510">
            <v>0</v>
          </cell>
        </row>
        <row r="511">
          <cell r="A511" t="str">
            <v>PP</v>
          </cell>
        </row>
        <row r="512">
          <cell r="A512" t="str">
            <v>VV</v>
          </cell>
        </row>
        <row r="513">
          <cell r="A513" t="str">
            <v>VV</v>
          </cell>
        </row>
        <row r="514">
          <cell r="A514" t="str">
            <v>VV</v>
          </cell>
        </row>
        <row r="515">
          <cell r="A515" t="str">
            <v>VV</v>
          </cell>
        </row>
        <row r="516">
          <cell r="A516" t="str">
            <v>VV</v>
          </cell>
        </row>
        <row r="517">
          <cell r="A517" t="str">
            <v>VV</v>
          </cell>
        </row>
        <row r="518">
          <cell r="A518" t="str">
            <v>VV</v>
          </cell>
        </row>
        <row r="519">
          <cell r="A519" t="str">
            <v>VV</v>
          </cell>
        </row>
        <row r="520">
          <cell r="A520" t="str">
            <v>VV</v>
          </cell>
        </row>
        <row r="521">
          <cell r="A521" t="str">
            <v>VV</v>
          </cell>
        </row>
        <row r="522">
          <cell r="A522" t="str">
            <v>VV</v>
          </cell>
        </row>
        <row r="523">
          <cell r="A523" t="str">
            <v>VV</v>
          </cell>
        </row>
        <row r="524">
          <cell r="A524" t="str">
            <v>VV</v>
          </cell>
        </row>
        <row r="525">
          <cell r="A525" t="str">
            <v>VV</v>
          </cell>
        </row>
        <row r="526">
          <cell r="A526" t="str">
            <v>TS</v>
          </cell>
        </row>
        <row r="527">
          <cell r="A527" t="str">
            <v>SD</v>
          </cell>
        </row>
        <row r="528">
          <cell r="A528" t="str">
            <v>P</v>
          </cell>
          <cell r="O528">
            <v>0</v>
          </cell>
        </row>
        <row r="529">
          <cell r="A529" t="str">
            <v>PP</v>
          </cell>
        </row>
        <row r="530">
          <cell r="A530" t="str">
            <v>VV</v>
          </cell>
        </row>
        <row r="531">
          <cell r="A531" t="str">
            <v>VV</v>
          </cell>
        </row>
        <row r="532">
          <cell r="A532" t="str">
            <v>VV</v>
          </cell>
        </row>
        <row r="533">
          <cell r="A533" t="str">
            <v>VV</v>
          </cell>
        </row>
        <row r="534">
          <cell r="A534" t="str">
            <v>VV</v>
          </cell>
        </row>
        <row r="535">
          <cell r="A535" t="str">
            <v>VV</v>
          </cell>
        </row>
        <row r="536">
          <cell r="A536" t="str">
            <v>VV</v>
          </cell>
        </row>
        <row r="537">
          <cell r="A537" t="str">
            <v>VV</v>
          </cell>
        </row>
        <row r="538">
          <cell r="A538" t="str">
            <v>VV</v>
          </cell>
        </row>
        <row r="539">
          <cell r="A539" t="str">
            <v>VV</v>
          </cell>
        </row>
        <row r="540">
          <cell r="A540" t="str">
            <v>VV</v>
          </cell>
        </row>
        <row r="541">
          <cell r="A541" t="str">
            <v>VV</v>
          </cell>
        </row>
        <row r="542">
          <cell r="A542" t="str">
            <v>VV</v>
          </cell>
        </row>
        <row r="543">
          <cell r="A543" t="str">
            <v>VV</v>
          </cell>
        </row>
        <row r="544">
          <cell r="A544" t="str">
            <v>VV</v>
          </cell>
        </row>
        <row r="545">
          <cell r="A545" t="str">
            <v>VV</v>
          </cell>
        </row>
        <row r="546">
          <cell r="A546" t="str">
            <v>VV</v>
          </cell>
        </row>
        <row r="547">
          <cell r="A547" t="str">
            <v>VV</v>
          </cell>
        </row>
        <row r="548">
          <cell r="A548" t="str">
            <v>VV</v>
          </cell>
        </row>
        <row r="549">
          <cell r="A549" t="str">
            <v>VV</v>
          </cell>
        </row>
        <row r="550">
          <cell r="A550" t="str">
            <v>VV</v>
          </cell>
        </row>
        <row r="551">
          <cell r="A551" t="str">
            <v>VV</v>
          </cell>
        </row>
        <row r="552">
          <cell r="A552" t="str">
            <v>VV</v>
          </cell>
        </row>
        <row r="553">
          <cell r="A553" t="str">
            <v>VV</v>
          </cell>
        </row>
        <row r="554">
          <cell r="A554" t="str">
            <v>VV</v>
          </cell>
        </row>
        <row r="555">
          <cell r="A555" t="str">
            <v>VV</v>
          </cell>
        </row>
        <row r="556">
          <cell r="A556" t="str">
            <v>VV</v>
          </cell>
        </row>
        <row r="557">
          <cell r="A557" t="str">
            <v>VV</v>
          </cell>
        </row>
        <row r="558">
          <cell r="A558" t="str">
            <v>TS</v>
          </cell>
        </row>
        <row r="559">
          <cell r="A559" t="str">
            <v>P</v>
          </cell>
          <cell r="O559">
            <v>0</v>
          </cell>
        </row>
        <row r="560">
          <cell r="A560" t="str">
            <v>PP</v>
          </cell>
        </row>
        <row r="561">
          <cell r="A561" t="str">
            <v>VV</v>
          </cell>
        </row>
        <row r="562">
          <cell r="A562" t="str">
            <v>VV</v>
          </cell>
        </row>
        <row r="563">
          <cell r="A563" t="str">
            <v>TS</v>
          </cell>
        </row>
        <row r="564">
          <cell r="A564" t="str">
            <v>P</v>
          </cell>
          <cell r="O564">
            <v>0</v>
          </cell>
        </row>
        <row r="565">
          <cell r="A565" t="str">
            <v>PP</v>
          </cell>
        </row>
        <row r="566">
          <cell r="A566" t="str">
            <v>VV</v>
          </cell>
        </row>
        <row r="567">
          <cell r="A567" t="str">
            <v>VV</v>
          </cell>
        </row>
        <row r="568">
          <cell r="A568" t="str">
            <v>TS</v>
          </cell>
        </row>
        <row r="569">
          <cell r="A569" t="str">
            <v>P</v>
          </cell>
          <cell r="O569">
            <v>0</v>
          </cell>
        </row>
        <row r="570">
          <cell r="A570" t="str">
            <v>PP</v>
          </cell>
        </row>
        <row r="571">
          <cell r="A571" t="str">
            <v>VV</v>
          </cell>
        </row>
        <row r="572">
          <cell r="A572" t="str">
            <v>VV</v>
          </cell>
        </row>
        <row r="573">
          <cell r="A573" t="str">
            <v>TS</v>
          </cell>
        </row>
        <row r="574">
          <cell r="A574" t="str">
            <v>P</v>
          </cell>
          <cell r="O574">
            <v>0</v>
          </cell>
        </row>
        <row r="575">
          <cell r="A575" t="str">
            <v>PP</v>
          </cell>
        </row>
        <row r="576">
          <cell r="A576" t="str">
            <v>VV</v>
          </cell>
        </row>
        <row r="577">
          <cell r="A577" t="str">
            <v>VV</v>
          </cell>
        </row>
        <row r="578">
          <cell r="A578" t="str">
            <v>TS</v>
          </cell>
        </row>
        <row r="579">
          <cell r="A579" t="str">
            <v>P</v>
          </cell>
          <cell r="O579">
            <v>0</v>
          </cell>
        </row>
        <row r="580">
          <cell r="A580" t="str">
            <v>PP</v>
          </cell>
        </row>
        <row r="581">
          <cell r="A581" t="str">
            <v>VV</v>
          </cell>
        </row>
        <row r="582">
          <cell r="A582" t="str">
            <v>VV</v>
          </cell>
        </row>
        <row r="583">
          <cell r="A583" t="str">
            <v>VV</v>
          </cell>
        </row>
        <row r="584">
          <cell r="A584" t="str">
            <v>VV</v>
          </cell>
        </row>
        <row r="585">
          <cell r="A585" t="str">
            <v>VV</v>
          </cell>
        </row>
        <row r="586">
          <cell r="A586" t="str">
            <v>TS</v>
          </cell>
        </row>
        <row r="587">
          <cell r="A587" t="str">
            <v>P</v>
          </cell>
          <cell r="O587">
            <v>0</v>
          </cell>
        </row>
        <row r="588">
          <cell r="A588" t="str">
            <v>PP</v>
          </cell>
        </row>
        <row r="589">
          <cell r="A589" t="str">
            <v>VV</v>
          </cell>
        </row>
        <row r="590">
          <cell r="A590" t="str">
            <v>VV</v>
          </cell>
        </row>
        <row r="591">
          <cell r="A591" t="str">
            <v>VV</v>
          </cell>
        </row>
        <row r="592">
          <cell r="A592" t="str">
            <v>TS</v>
          </cell>
        </row>
        <row r="593">
          <cell r="A593" t="str">
            <v>P</v>
          </cell>
          <cell r="O593">
            <v>0</v>
          </cell>
        </row>
        <row r="594">
          <cell r="A594" t="str">
            <v>PP</v>
          </cell>
        </row>
        <row r="595">
          <cell r="A595" t="str">
            <v>VV</v>
          </cell>
        </row>
        <row r="596">
          <cell r="A596" t="str">
            <v>VV</v>
          </cell>
        </row>
        <row r="597">
          <cell r="A597" t="str">
            <v>VV</v>
          </cell>
        </row>
        <row r="598">
          <cell r="A598" t="str">
            <v>VV</v>
          </cell>
        </row>
        <row r="599">
          <cell r="A599" t="str">
            <v>VV</v>
          </cell>
        </row>
        <row r="600">
          <cell r="A600" t="str">
            <v>VV</v>
          </cell>
        </row>
        <row r="601">
          <cell r="A601" t="str">
            <v>VV</v>
          </cell>
        </row>
        <row r="602">
          <cell r="A602" t="str">
            <v>TS</v>
          </cell>
        </row>
        <row r="603">
          <cell r="A603" t="str">
            <v>P</v>
          </cell>
          <cell r="O603">
            <v>0</v>
          </cell>
        </row>
        <row r="604">
          <cell r="A604" t="str">
            <v>PP</v>
          </cell>
        </row>
        <row r="605">
          <cell r="A605" t="str">
            <v>VV</v>
          </cell>
        </row>
        <row r="606">
          <cell r="A606" t="str">
            <v>VV</v>
          </cell>
        </row>
        <row r="607">
          <cell r="A607" t="str">
            <v>VV</v>
          </cell>
        </row>
        <row r="608">
          <cell r="A608" t="str">
            <v>VV</v>
          </cell>
        </row>
        <row r="609">
          <cell r="A609" t="str">
            <v>VV</v>
          </cell>
        </row>
        <row r="610">
          <cell r="A610" t="str">
            <v>VV</v>
          </cell>
        </row>
        <row r="611">
          <cell r="A611" t="str">
            <v>TS</v>
          </cell>
        </row>
        <row r="612">
          <cell r="A612" t="str">
            <v>P</v>
          </cell>
          <cell r="O612">
            <v>0</v>
          </cell>
        </row>
        <row r="613">
          <cell r="A613" t="str">
            <v>PP</v>
          </cell>
        </row>
        <row r="614">
          <cell r="A614" t="str">
            <v>VV</v>
          </cell>
        </row>
        <row r="615">
          <cell r="A615" t="str">
            <v>VV</v>
          </cell>
        </row>
        <row r="616">
          <cell r="A616" t="str">
            <v>VV</v>
          </cell>
        </row>
        <row r="617">
          <cell r="A617" t="str">
            <v>VV</v>
          </cell>
        </row>
        <row r="618">
          <cell r="A618" t="str">
            <v>VV</v>
          </cell>
        </row>
        <row r="619">
          <cell r="A619" t="str">
            <v>TS</v>
          </cell>
        </row>
        <row r="620">
          <cell r="A620" t="str">
            <v>P</v>
          </cell>
          <cell r="O620">
            <v>0</v>
          </cell>
        </row>
        <row r="621">
          <cell r="A621" t="str">
            <v>PP</v>
          </cell>
        </row>
        <row r="622">
          <cell r="A622" t="str">
            <v>VV</v>
          </cell>
        </row>
        <row r="623">
          <cell r="A623" t="str">
            <v>VV</v>
          </cell>
        </row>
        <row r="624">
          <cell r="A624" t="str">
            <v>VV</v>
          </cell>
        </row>
        <row r="625">
          <cell r="A625" t="str">
            <v>VV</v>
          </cell>
        </row>
        <row r="626">
          <cell r="A626" t="str">
            <v>VV</v>
          </cell>
        </row>
        <row r="627">
          <cell r="A627" t="str">
            <v>TS</v>
          </cell>
        </row>
        <row r="628">
          <cell r="A628" t="str">
            <v>P</v>
          </cell>
          <cell r="O628">
            <v>0</v>
          </cell>
        </row>
        <row r="629">
          <cell r="A629" t="str">
            <v>PP</v>
          </cell>
        </row>
        <row r="630">
          <cell r="A630" t="str">
            <v>VV</v>
          </cell>
        </row>
        <row r="631">
          <cell r="A631" t="str">
            <v>VV</v>
          </cell>
        </row>
        <row r="632">
          <cell r="A632" t="str">
            <v>VV</v>
          </cell>
        </row>
        <row r="633">
          <cell r="A633" t="str">
            <v>VV</v>
          </cell>
        </row>
        <row r="634">
          <cell r="A634" t="str">
            <v>TS</v>
          </cell>
        </row>
        <row r="635">
          <cell r="A635" t="str">
            <v>P</v>
          </cell>
          <cell r="O635">
            <v>0</v>
          </cell>
        </row>
        <row r="636">
          <cell r="A636" t="str">
            <v>PP</v>
          </cell>
        </row>
        <row r="637">
          <cell r="A637" t="str">
            <v>VV</v>
          </cell>
        </row>
        <row r="638">
          <cell r="A638" t="str">
            <v>VV</v>
          </cell>
        </row>
        <row r="639">
          <cell r="A639" t="str">
            <v>VV</v>
          </cell>
        </row>
        <row r="640">
          <cell r="A640" t="str">
            <v>VV</v>
          </cell>
        </row>
        <row r="641">
          <cell r="A641" t="str">
            <v>VV</v>
          </cell>
        </row>
        <row r="642">
          <cell r="A642" t="str">
            <v>VV</v>
          </cell>
        </row>
        <row r="643">
          <cell r="A643" t="str">
            <v>VV</v>
          </cell>
        </row>
        <row r="644">
          <cell r="A644" t="str">
            <v>VV</v>
          </cell>
        </row>
        <row r="645">
          <cell r="A645" t="str">
            <v>VV</v>
          </cell>
        </row>
        <row r="646">
          <cell r="A646" t="str">
            <v>VV</v>
          </cell>
        </row>
        <row r="647">
          <cell r="A647" t="str">
            <v>VV</v>
          </cell>
        </row>
        <row r="648">
          <cell r="A648" t="str">
            <v>VV</v>
          </cell>
        </row>
        <row r="649">
          <cell r="A649" t="str">
            <v>VV</v>
          </cell>
        </row>
        <row r="650">
          <cell r="A650" t="str">
            <v>VV</v>
          </cell>
        </row>
        <row r="651">
          <cell r="A651" t="str">
            <v>VV</v>
          </cell>
        </row>
        <row r="652">
          <cell r="A652" t="str">
            <v>VV</v>
          </cell>
        </row>
        <row r="653">
          <cell r="A653" t="str">
            <v>VV</v>
          </cell>
        </row>
        <row r="654">
          <cell r="A654" t="str">
            <v>VV</v>
          </cell>
        </row>
        <row r="655">
          <cell r="A655" t="str">
            <v>VV</v>
          </cell>
        </row>
        <row r="656">
          <cell r="A656" t="str">
            <v>VV</v>
          </cell>
        </row>
        <row r="657">
          <cell r="A657" t="str">
            <v>VV</v>
          </cell>
        </row>
        <row r="658">
          <cell r="A658" t="str">
            <v>VV</v>
          </cell>
        </row>
        <row r="659">
          <cell r="A659" t="str">
            <v>VV</v>
          </cell>
        </row>
        <row r="660">
          <cell r="A660" t="str">
            <v>VV</v>
          </cell>
        </row>
        <row r="661">
          <cell r="A661" t="str">
            <v>VV</v>
          </cell>
        </row>
        <row r="662">
          <cell r="A662" t="str">
            <v>VV</v>
          </cell>
        </row>
        <row r="663">
          <cell r="A663" t="str">
            <v>VV</v>
          </cell>
        </row>
        <row r="664">
          <cell r="A664" t="str">
            <v>VV</v>
          </cell>
        </row>
        <row r="665">
          <cell r="A665" t="str">
            <v>VV</v>
          </cell>
        </row>
        <row r="666">
          <cell r="A666" t="str">
            <v>TS</v>
          </cell>
        </row>
        <row r="667">
          <cell r="A667" t="str">
            <v>P</v>
          </cell>
          <cell r="O667">
            <v>0</v>
          </cell>
        </row>
        <row r="668">
          <cell r="A668" t="str">
            <v>PP</v>
          </cell>
        </row>
        <row r="669">
          <cell r="A669" t="str">
            <v>VV</v>
          </cell>
        </row>
        <row r="670">
          <cell r="A670" t="str">
            <v>VV</v>
          </cell>
        </row>
        <row r="671">
          <cell r="A671" t="str">
            <v>TS</v>
          </cell>
        </row>
      </sheetData>
      <sheetData sheetId="13">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TS</v>
          </cell>
        </row>
        <row r="15">
          <cell r="A15" t="str">
            <v>P</v>
          </cell>
          <cell r="O15">
            <v>0</v>
          </cell>
        </row>
        <row r="16">
          <cell r="A16" t="str">
            <v>PP</v>
          </cell>
        </row>
        <row r="17">
          <cell r="A17" t="str">
            <v>VV</v>
          </cell>
        </row>
        <row r="18">
          <cell r="A18" t="str">
            <v>VV</v>
          </cell>
        </row>
        <row r="19">
          <cell r="A19" t="str">
            <v>TS</v>
          </cell>
        </row>
        <row r="20">
          <cell r="A20" t="str">
            <v>P</v>
          </cell>
          <cell r="O20">
            <v>0</v>
          </cell>
        </row>
        <row r="21">
          <cell r="A21" t="str">
            <v>PP</v>
          </cell>
        </row>
        <row r="22">
          <cell r="A22" t="str">
            <v>VV</v>
          </cell>
        </row>
        <row r="23">
          <cell r="A23" t="str">
            <v>VV</v>
          </cell>
        </row>
        <row r="24">
          <cell r="A24" t="str">
            <v>TS</v>
          </cell>
        </row>
        <row r="25">
          <cell r="A25" t="str">
            <v>P</v>
          </cell>
          <cell r="O25">
            <v>0</v>
          </cell>
        </row>
        <row r="26">
          <cell r="A26" t="str">
            <v>PP</v>
          </cell>
        </row>
        <row r="27">
          <cell r="A27" t="str">
            <v>VV</v>
          </cell>
        </row>
        <row r="28">
          <cell r="A28" t="str">
            <v>VV</v>
          </cell>
        </row>
        <row r="29">
          <cell r="A29" t="str">
            <v>TS</v>
          </cell>
        </row>
        <row r="30">
          <cell r="A30" t="str">
            <v>SD</v>
          </cell>
        </row>
        <row r="31">
          <cell r="A31" t="str">
            <v>P</v>
          </cell>
          <cell r="O31">
            <v>0</v>
          </cell>
        </row>
        <row r="32">
          <cell r="A32" t="str">
            <v>PP</v>
          </cell>
        </row>
        <row r="33">
          <cell r="A33" t="str">
            <v>VV</v>
          </cell>
        </row>
        <row r="34">
          <cell r="A34" t="str">
            <v>VV</v>
          </cell>
        </row>
        <row r="35">
          <cell r="A35" t="str">
            <v>TS</v>
          </cell>
        </row>
        <row r="36">
          <cell r="A36" t="str">
            <v>SD</v>
          </cell>
        </row>
        <row r="37">
          <cell r="A37" t="str">
            <v>P</v>
          </cell>
          <cell r="O37">
            <v>0</v>
          </cell>
        </row>
        <row r="38">
          <cell r="A38" t="str">
            <v>PP</v>
          </cell>
        </row>
        <row r="39">
          <cell r="A39" t="str">
            <v>VV</v>
          </cell>
        </row>
        <row r="40">
          <cell r="A40" t="str">
            <v>VV</v>
          </cell>
        </row>
        <row r="41">
          <cell r="A41" t="str">
            <v>VV</v>
          </cell>
        </row>
        <row r="42">
          <cell r="A42" t="str">
            <v>VV</v>
          </cell>
        </row>
        <row r="43">
          <cell r="A43" t="str">
            <v>VV</v>
          </cell>
        </row>
        <row r="44">
          <cell r="A44" t="str">
            <v>TS</v>
          </cell>
        </row>
      </sheetData>
      <sheetData sheetId="14">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TS</v>
          </cell>
        </row>
        <row r="32">
          <cell r="A32" t="str">
            <v>P</v>
          </cell>
          <cell r="O32">
            <v>0</v>
          </cell>
        </row>
        <row r="33">
          <cell r="A33" t="str">
            <v>PP</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TS</v>
          </cell>
        </row>
        <row r="54">
          <cell r="A54" t="str">
            <v>P</v>
          </cell>
          <cell r="O54">
            <v>0</v>
          </cell>
        </row>
        <row r="55">
          <cell r="A55" t="str">
            <v>PP</v>
          </cell>
        </row>
        <row r="56">
          <cell r="A56" t="str">
            <v>VV</v>
          </cell>
        </row>
        <row r="57">
          <cell r="A57" t="str">
            <v>VV</v>
          </cell>
        </row>
        <row r="58">
          <cell r="A58" t="str">
            <v>TS</v>
          </cell>
        </row>
        <row r="59">
          <cell r="A59" t="str">
            <v>SD</v>
          </cell>
        </row>
        <row r="60">
          <cell r="A60" t="str">
            <v>P</v>
          </cell>
          <cell r="O60">
            <v>0</v>
          </cell>
        </row>
        <row r="61">
          <cell r="A61" t="str">
            <v>PP</v>
          </cell>
        </row>
        <row r="62">
          <cell r="A62" t="str">
            <v>VV</v>
          </cell>
        </row>
        <row r="63">
          <cell r="A63" t="str">
            <v>VV</v>
          </cell>
        </row>
        <row r="64">
          <cell r="A64" t="str">
            <v>VV</v>
          </cell>
        </row>
        <row r="65">
          <cell r="A65" t="str">
            <v>VV</v>
          </cell>
        </row>
        <row r="66">
          <cell r="A66" t="str">
            <v>TS</v>
          </cell>
        </row>
        <row r="67">
          <cell r="A67" t="str">
            <v>P</v>
          </cell>
          <cell r="O67">
            <v>0</v>
          </cell>
        </row>
        <row r="68">
          <cell r="A68" t="str">
            <v>PP</v>
          </cell>
        </row>
        <row r="69">
          <cell r="A69" t="str">
            <v>VV</v>
          </cell>
        </row>
        <row r="70">
          <cell r="A70" t="str">
            <v>VV</v>
          </cell>
        </row>
        <row r="71">
          <cell r="A71" t="str">
            <v>VV</v>
          </cell>
        </row>
        <row r="72">
          <cell r="A72" t="str">
            <v>VV</v>
          </cell>
        </row>
        <row r="73">
          <cell r="A73" t="str">
            <v>TS</v>
          </cell>
        </row>
        <row r="74">
          <cell r="A74" t="str">
            <v>SD</v>
          </cell>
        </row>
        <row r="75">
          <cell r="A75" t="str">
            <v>P</v>
          </cell>
          <cell r="O75">
            <v>0</v>
          </cell>
        </row>
        <row r="76">
          <cell r="A76" t="str">
            <v>PP</v>
          </cell>
        </row>
        <row r="77">
          <cell r="A77" t="str">
            <v>VV</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TS</v>
          </cell>
        </row>
        <row r="93">
          <cell r="A93" t="str">
            <v>P</v>
          </cell>
          <cell r="O93">
            <v>0</v>
          </cell>
        </row>
        <row r="94">
          <cell r="A94" t="str">
            <v>PP</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VV</v>
          </cell>
        </row>
        <row r="108">
          <cell r="A108" t="str">
            <v>VV</v>
          </cell>
        </row>
        <row r="109">
          <cell r="A109" t="str">
            <v>VV</v>
          </cell>
        </row>
        <row r="110">
          <cell r="A110" t="str">
            <v>VV</v>
          </cell>
        </row>
        <row r="111">
          <cell r="A111" t="str">
            <v>VV</v>
          </cell>
        </row>
        <row r="112">
          <cell r="A112" t="str">
            <v>VV</v>
          </cell>
        </row>
        <row r="113">
          <cell r="A113" t="str">
            <v>VV</v>
          </cell>
        </row>
        <row r="114">
          <cell r="A114" t="str">
            <v>VV</v>
          </cell>
        </row>
        <row r="115">
          <cell r="A115" t="str">
            <v>VV</v>
          </cell>
        </row>
        <row r="116">
          <cell r="A116" t="str">
            <v>VV</v>
          </cell>
        </row>
        <row r="117">
          <cell r="A117" t="str">
            <v>VV</v>
          </cell>
        </row>
        <row r="118">
          <cell r="A118" t="str">
            <v>VV</v>
          </cell>
        </row>
        <row r="119">
          <cell r="A119" t="str">
            <v>VV</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VV</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VV</v>
          </cell>
        </row>
        <row r="147">
          <cell r="A147" t="str">
            <v>VV</v>
          </cell>
        </row>
        <row r="148">
          <cell r="A148" t="str">
            <v>VV</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VV</v>
          </cell>
        </row>
        <row r="164">
          <cell r="A164" t="str">
            <v>VV</v>
          </cell>
        </row>
        <row r="165">
          <cell r="A165" t="str">
            <v>VV</v>
          </cell>
        </row>
        <row r="166">
          <cell r="A166" t="str">
            <v>VV</v>
          </cell>
        </row>
        <row r="167">
          <cell r="A167" t="str">
            <v>VV</v>
          </cell>
        </row>
        <row r="168">
          <cell r="A168" t="str">
            <v>VV</v>
          </cell>
        </row>
        <row r="169">
          <cell r="A169" t="str">
            <v>VV</v>
          </cell>
        </row>
        <row r="170">
          <cell r="A170" t="str">
            <v>VV</v>
          </cell>
        </row>
        <row r="171">
          <cell r="A171" t="str">
            <v>TS</v>
          </cell>
        </row>
        <row r="172">
          <cell r="A172" t="str">
            <v>P</v>
          </cell>
          <cell r="O172">
            <v>0</v>
          </cell>
        </row>
        <row r="173">
          <cell r="A173" t="str">
            <v>PP</v>
          </cell>
        </row>
        <row r="174">
          <cell r="A174" t="str">
            <v>VV</v>
          </cell>
        </row>
        <row r="175">
          <cell r="A175" t="str">
            <v>VV</v>
          </cell>
        </row>
        <row r="176">
          <cell r="A176" t="str">
            <v>TS</v>
          </cell>
        </row>
        <row r="177">
          <cell r="A177" t="str">
            <v>P</v>
          </cell>
          <cell r="O177">
            <v>0</v>
          </cell>
        </row>
        <row r="178">
          <cell r="A178" t="str">
            <v>PP</v>
          </cell>
        </row>
        <row r="179">
          <cell r="A179" t="str">
            <v>VV</v>
          </cell>
        </row>
        <row r="180">
          <cell r="A180" t="str">
            <v>VV</v>
          </cell>
        </row>
        <row r="181">
          <cell r="A181" t="str">
            <v>TS</v>
          </cell>
        </row>
        <row r="182">
          <cell r="A182" t="str">
            <v>P</v>
          </cell>
          <cell r="O182">
            <v>0</v>
          </cell>
        </row>
        <row r="183">
          <cell r="A183" t="str">
            <v>PP</v>
          </cell>
        </row>
        <row r="184">
          <cell r="A184" t="str">
            <v>VV</v>
          </cell>
        </row>
        <row r="185">
          <cell r="A185" t="str">
            <v>VV</v>
          </cell>
        </row>
        <row r="186">
          <cell r="A186" t="str">
            <v>VV</v>
          </cell>
        </row>
        <row r="187">
          <cell r="A187" t="str">
            <v>VV</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VV</v>
          </cell>
        </row>
        <row r="198">
          <cell r="A198" t="str">
            <v>VV</v>
          </cell>
        </row>
        <row r="199">
          <cell r="A199" t="str">
            <v>TS</v>
          </cell>
        </row>
        <row r="200">
          <cell r="A200" t="str">
            <v>P</v>
          </cell>
          <cell r="O200">
            <v>0</v>
          </cell>
        </row>
        <row r="201">
          <cell r="A201" t="str">
            <v>PP</v>
          </cell>
        </row>
        <row r="202">
          <cell r="A202" t="str">
            <v>VV</v>
          </cell>
        </row>
        <row r="203">
          <cell r="A203" t="str">
            <v>VV</v>
          </cell>
        </row>
        <row r="204">
          <cell r="A204" t="str">
            <v>VV</v>
          </cell>
        </row>
        <row r="205">
          <cell r="A205" t="str">
            <v>VV</v>
          </cell>
        </row>
        <row r="206">
          <cell r="A206" t="str">
            <v>VV</v>
          </cell>
        </row>
        <row r="207">
          <cell r="A207" t="str">
            <v>VV</v>
          </cell>
        </row>
        <row r="208">
          <cell r="A208" t="str">
            <v>VV</v>
          </cell>
        </row>
        <row r="209">
          <cell r="A209" t="str">
            <v>VV</v>
          </cell>
        </row>
        <row r="210">
          <cell r="A210" t="str">
            <v>VV</v>
          </cell>
        </row>
        <row r="211">
          <cell r="A211" t="str">
            <v>VV</v>
          </cell>
        </row>
        <row r="212">
          <cell r="A212" t="str">
            <v>VV</v>
          </cell>
        </row>
        <row r="213">
          <cell r="A213" t="str">
            <v>VV</v>
          </cell>
        </row>
        <row r="214">
          <cell r="A214" t="str">
            <v>VV</v>
          </cell>
        </row>
        <row r="215">
          <cell r="A215" t="str">
            <v>VV</v>
          </cell>
        </row>
        <row r="216">
          <cell r="A216" t="str">
            <v>VV</v>
          </cell>
        </row>
        <row r="217">
          <cell r="A217" t="str">
            <v>TS</v>
          </cell>
        </row>
        <row r="218">
          <cell r="A218" t="str">
            <v>P</v>
          </cell>
          <cell r="O218">
            <v>0</v>
          </cell>
        </row>
        <row r="219">
          <cell r="A219" t="str">
            <v>PP</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VV</v>
          </cell>
        </row>
        <row r="232">
          <cell r="A232" t="str">
            <v>VV</v>
          </cell>
        </row>
        <row r="233">
          <cell r="A233" t="str">
            <v>VV</v>
          </cell>
        </row>
        <row r="234">
          <cell r="A234" t="str">
            <v>VV</v>
          </cell>
        </row>
        <row r="235">
          <cell r="A235" t="str">
            <v>TS</v>
          </cell>
        </row>
        <row r="236">
          <cell r="A236" t="str">
            <v>SD</v>
          </cell>
        </row>
        <row r="237">
          <cell r="A237" t="str">
            <v>P</v>
          </cell>
          <cell r="O237">
            <v>0</v>
          </cell>
        </row>
        <row r="238">
          <cell r="A238" t="str">
            <v>PP</v>
          </cell>
        </row>
        <row r="239">
          <cell r="A239" t="str">
            <v>VV</v>
          </cell>
        </row>
        <row r="240">
          <cell r="A240" t="str">
            <v>VV</v>
          </cell>
        </row>
        <row r="241">
          <cell r="A241" t="str">
            <v>VV</v>
          </cell>
        </row>
        <row r="242">
          <cell r="A242" t="str">
            <v>VV</v>
          </cell>
        </row>
        <row r="243">
          <cell r="A243" t="str">
            <v>VV</v>
          </cell>
        </row>
        <row r="244">
          <cell r="A244" t="str">
            <v>VV</v>
          </cell>
        </row>
        <row r="245">
          <cell r="A245" t="str">
            <v>VV</v>
          </cell>
        </row>
        <row r="246">
          <cell r="A246" t="str">
            <v>VV</v>
          </cell>
        </row>
        <row r="247">
          <cell r="A247" t="str">
            <v>VV</v>
          </cell>
        </row>
        <row r="248">
          <cell r="A248" t="str">
            <v>VV</v>
          </cell>
        </row>
        <row r="249">
          <cell r="A249" t="str">
            <v>VV</v>
          </cell>
        </row>
        <row r="250">
          <cell r="A250" t="str">
            <v>VV</v>
          </cell>
        </row>
        <row r="251">
          <cell r="A251" t="str">
            <v>VV</v>
          </cell>
        </row>
        <row r="252">
          <cell r="A252" t="str">
            <v>VV</v>
          </cell>
        </row>
        <row r="253">
          <cell r="A253" t="str">
            <v>VV</v>
          </cell>
        </row>
        <row r="254">
          <cell r="A254" t="str">
            <v>VV</v>
          </cell>
        </row>
        <row r="255">
          <cell r="A255" t="str">
            <v>VV</v>
          </cell>
        </row>
        <row r="256">
          <cell r="A256" t="str">
            <v>VV</v>
          </cell>
        </row>
        <row r="257">
          <cell r="A257" t="str">
            <v>VV</v>
          </cell>
        </row>
        <row r="258">
          <cell r="A258" t="str">
            <v>VV</v>
          </cell>
        </row>
        <row r="259">
          <cell r="A259" t="str">
            <v>VV</v>
          </cell>
        </row>
        <row r="260">
          <cell r="A260" t="str">
            <v>TS</v>
          </cell>
        </row>
        <row r="261">
          <cell r="A261" t="str">
            <v>P</v>
          </cell>
          <cell r="O261">
            <v>0</v>
          </cell>
        </row>
        <row r="262">
          <cell r="A262" t="str">
            <v>PP</v>
          </cell>
        </row>
        <row r="263">
          <cell r="A263" t="str">
            <v>VV</v>
          </cell>
        </row>
        <row r="264">
          <cell r="A264" t="str">
            <v>VV</v>
          </cell>
        </row>
        <row r="265">
          <cell r="A265" t="str">
            <v>VV</v>
          </cell>
        </row>
        <row r="266">
          <cell r="A266" t="str">
            <v>VV</v>
          </cell>
        </row>
        <row r="267">
          <cell r="A267" t="str">
            <v>VV</v>
          </cell>
        </row>
        <row r="268">
          <cell r="A268" t="str">
            <v>VV</v>
          </cell>
        </row>
        <row r="269">
          <cell r="A269" t="str">
            <v>VV</v>
          </cell>
        </row>
        <row r="270">
          <cell r="A270" t="str">
            <v>VV</v>
          </cell>
        </row>
        <row r="271">
          <cell r="A271" t="str">
            <v>VV</v>
          </cell>
        </row>
        <row r="272">
          <cell r="A272" t="str">
            <v>VV</v>
          </cell>
        </row>
        <row r="273">
          <cell r="A273" t="str">
            <v>VV</v>
          </cell>
        </row>
        <row r="274">
          <cell r="A274" t="str">
            <v>VV</v>
          </cell>
        </row>
        <row r="275">
          <cell r="A275" t="str">
            <v>VV</v>
          </cell>
        </row>
        <row r="276">
          <cell r="A276" t="str">
            <v>VV</v>
          </cell>
        </row>
        <row r="277">
          <cell r="A277" t="str">
            <v>VV</v>
          </cell>
        </row>
        <row r="278">
          <cell r="A278" t="str">
            <v>VV</v>
          </cell>
        </row>
        <row r="279">
          <cell r="A279" t="str">
            <v>VV</v>
          </cell>
        </row>
        <row r="280">
          <cell r="A280" t="str">
            <v>VV</v>
          </cell>
        </row>
        <row r="281">
          <cell r="A281" t="str">
            <v>VV</v>
          </cell>
        </row>
        <row r="282">
          <cell r="A282" t="str">
            <v>VV</v>
          </cell>
        </row>
        <row r="283">
          <cell r="A283" t="str">
            <v>VV</v>
          </cell>
        </row>
        <row r="284">
          <cell r="A284" t="str">
            <v>VV</v>
          </cell>
        </row>
        <row r="285">
          <cell r="A285" t="str">
            <v>VV</v>
          </cell>
        </row>
        <row r="286">
          <cell r="A286" t="str">
            <v>VV</v>
          </cell>
        </row>
        <row r="287">
          <cell r="A287" t="str">
            <v>VV</v>
          </cell>
        </row>
        <row r="288">
          <cell r="A288" t="str">
            <v>VV</v>
          </cell>
        </row>
        <row r="289">
          <cell r="A289" t="str">
            <v>TS</v>
          </cell>
        </row>
        <row r="290">
          <cell r="A290" t="str">
            <v>P</v>
          </cell>
          <cell r="O290">
            <v>0</v>
          </cell>
        </row>
        <row r="291">
          <cell r="A291" t="str">
            <v>PP</v>
          </cell>
        </row>
        <row r="292">
          <cell r="A292" t="str">
            <v>VV</v>
          </cell>
        </row>
        <row r="293">
          <cell r="A293" t="str">
            <v>VV</v>
          </cell>
        </row>
        <row r="294">
          <cell r="A294" t="str">
            <v>VV</v>
          </cell>
        </row>
        <row r="295">
          <cell r="A295" t="str">
            <v>TS</v>
          </cell>
        </row>
        <row r="296">
          <cell r="A296" t="str">
            <v>P</v>
          </cell>
          <cell r="O296">
            <v>0</v>
          </cell>
        </row>
        <row r="297">
          <cell r="A297" t="str">
            <v>PP</v>
          </cell>
        </row>
        <row r="298">
          <cell r="A298" t="str">
            <v>VV</v>
          </cell>
        </row>
        <row r="299">
          <cell r="A299" t="str">
            <v>VV</v>
          </cell>
        </row>
        <row r="300">
          <cell r="A300" t="str">
            <v>VV</v>
          </cell>
        </row>
        <row r="301">
          <cell r="A301" t="str">
            <v>TS</v>
          </cell>
        </row>
        <row r="302">
          <cell r="A302" t="str">
            <v>P</v>
          </cell>
          <cell r="O302">
            <v>0</v>
          </cell>
        </row>
        <row r="303">
          <cell r="A303" t="str">
            <v>PP</v>
          </cell>
        </row>
        <row r="304">
          <cell r="A304" t="str">
            <v>VV</v>
          </cell>
        </row>
        <row r="305">
          <cell r="A305" t="str">
            <v>VV</v>
          </cell>
        </row>
        <row r="306">
          <cell r="A306" t="str">
            <v>VV</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VV</v>
          </cell>
        </row>
        <row r="320">
          <cell r="A320" t="str">
            <v>VV</v>
          </cell>
        </row>
        <row r="321">
          <cell r="A321" t="str">
            <v>VV</v>
          </cell>
        </row>
        <row r="322">
          <cell r="A322" t="str">
            <v>VV</v>
          </cell>
        </row>
        <row r="323">
          <cell r="A323" t="str">
            <v>VV</v>
          </cell>
        </row>
        <row r="324">
          <cell r="A324" t="str">
            <v>VV</v>
          </cell>
        </row>
        <row r="325">
          <cell r="A325" t="str">
            <v>VV</v>
          </cell>
        </row>
        <row r="326">
          <cell r="A326" t="str">
            <v>VV</v>
          </cell>
        </row>
        <row r="327">
          <cell r="A327" t="str">
            <v>VV</v>
          </cell>
        </row>
        <row r="328">
          <cell r="A328" t="str">
            <v>VV</v>
          </cell>
        </row>
        <row r="329">
          <cell r="A329" t="str">
            <v>VV</v>
          </cell>
        </row>
        <row r="330">
          <cell r="A330" t="str">
            <v>VV</v>
          </cell>
        </row>
        <row r="331">
          <cell r="A331" t="str">
            <v>VV</v>
          </cell>
        </row>
        <row r="332">
          <cell r="A332" t="str">
            <v>VV</v>
          </cell>
        </row>
        <row r="333">
          <cell r="A333" t="str">
            <v>VV</v>
          </cell>
        </row>
        <row r="334">
          <cell r="A334" t="str">
            <v>VV</v>
          </cell>
        </row>
        <row r="335">
          <cell r="A335" t="str">
            <v>VV</v>
          </cell>
        </row>
        <row r="336">
          <cell r="A336" t="str">
            <v>VV</v>
          </cell>
        </row>
        <row r="337">
          <cell r="A337" t="str">
            <v>VV</v>
          </cell>
        </row>
        <row r="338">
          <cell r="A338" t="str">
            <v>VV</v>
          </cell>
        </row>
        <row r="339">
          <cell r="A339" t="str">
            <v>VV</v>
          </cell>
        </row>
        <row r="340">
          <cell r="A340" t="str">
            <v>VV</v>
          </cell>
        </row>
        <row r="341">
          <cell r="A341" t="str">
            <v>VV</v>
          </cell>
        </row>
        <row r="342">
          <cell r="A342" t="str">
            <v>VV</v>
          </cell>
        </row>
        <row r="343">
          <cell r="A343" t="str">
            <v>VV</v>
          </cell>
        </row>
        <row r="344">
          <cell r="A344" t="str">
            <v>VV</v>
          </cell>
        </row>
        <row r="345">
          <cell r="A345" t="str">
            <v>VV</v>
          </cell>
        </row>
        <row r="346">
          <cell r="A346" t="str">
            <v>VV</v>
          </cell>
        </row>
        <row r="347">
          <cell r="A347" t="str">
            <v>VV</v>
          </cell>
        </row>
        <row r="348">
          <cell r="A348" t="str">
            <v>VV</v>
          </cell>
        </row>
        <row r="349">
          <cell r="A349" t="str">
            <v>TS</v>
          </cell>
        </row>
      </sheetData>
      <sheetData sheetId="15">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TS</v>
          </cell>
        </row>
        <row r="30">
          <cell r="A30" t="str">
            <v>P</v>
          </cell>
          <cell r="O30">
            <v>0</v>
          </cell>
        </row>
        <row r="31">
          <cell r="A31" t="str">
            <v>PP</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VV</v>
          </cell>
        </row>
        <row r="108">
          <cell r="A108" t="str">
            <v>VV</v>
          </cell>
        </row>
        <row r="109">
          <cell r="A109" t="str">
            <v>VV</v>
          </cell>
        </row>
        <row r="110">
          <cell r="A110" t="str">
            <v>VV</v>
          </cell>
        </row>
        <row r="111">
          <cell r="A111" t="str">
            <v>VV</v>
          </cell>
        </row>
        <row r="112">
          <cell r="A112" t="str">
            <v>VV</v>
          </cell>
        </row>
        <row r="113">
          <cell r="A113" t="str">
            <v>VV</v>
          </cell>
        </row>
        <row r="114">
          <cell r="A114" t="str">
            <v>VV</v>
          </cell>
        </row>
        <row r="115">
          <cell r="A115" t="str">
            <v>VV</v>
          </cell>
        </row>
        <row r="116">
          <cell r="A116" t="str">
            <v>VV</v>
          </cell>
        </row>
        <row r="117">
          <cell r="A117" t="str">
            <v>VV</v>
          </cell>
        </row>
        <row r="118">
          <cell r="A118" t="str">
            <v>VV</v>
          </cell>
        </row>
        <row r="119">
          <cell r="A119" t="str">
            <v>VV</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VV</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VV</v>
          </cell>
        </row>
        <row r="147">
          <cell r="A147" t="str">
            <v>VV</v>
          </cell>
        </row>
        <row r="148">
          <cell r="A148" t="str">
            <v>VV</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VV</v>
          </cell>
        </row>
        <row r="164">
          <cell r="A164" t="str">
            <v>VV</v>
          </cell>
        </row>
        <row r="165">
          <cell r="A165" t="str">
            <v>VV</v>
          </cell>
        </row>
        <row r="166">
          <cell r="A166" t="str">
            <v>VV</v>
          </cell>
        </row>
        <row r="167">
          <cell r="A167" t="str">
            <v>VV</v>
          </cell>
        </row>
        <row r="168">
          <cell r="A168" t="str">
            <v>VV</v>
          </cell>
        </row>
        <row r="169">
          <cell r="A169" t="str">
            <v>VV</v>
          </cell>
        </row>
        <row r="170">
          <cell r="A170" t="str">
            <v>VV</v>
          </cell>
        </row>
        <row r="171">
          <cell r="A171" t="str">
            <v>VV</v>
          </cell>
        </row>
        <row r="172">
          <cell r="A172" t="str">
            <v>VV</v>
          </cell>
        </row>
        <row r="173">
          <cell r="A173" t="str">
            <v>VV</v>
          </cell>
        </row>
        <row r="174">
          <cell r="A174" t="str">
            <v>VV</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VV</v>
          </cell>
        </row>
        <row r="185">
          <cell r="A185" t="str">
            <v>VV</v>
          </cell>
        </row>
        <row r="186">
          <cell r="A186" t="str">
            <v>VV</v>
          </cell>
        </row>
        <row r="187">
          <cell r="A187" t="str">
            <v>VV</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VV</v>
          </cell>
        </row>
        <row r="198">
          <cell r="A198" t="str">
            <v>VV</v>
          </cell>
        </row>
        <row r="199">
          <cell r="A199" t="str">
            <v>VV</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VV</v>
          </cell>
        </row>
        <row r="208">
          <cell r="A208" t="str">
            <v>VV</v>
          </cell>
        </row>
        <row r="209">
          <cell r="A209" t="str">
            <v>VV</v>
          </cell>
        </row>
        <row r="210">
          <cell r="A210" t="str">
            <v>TS</v>
          </cell>
        </row>
        <row r="211">
          <cell r="A211" t="str">
            <v>P</v>
          </cell>
          <cell r="O211">
            <v>0</v>
          </cell>
        </row>
        <row r="212">
          <cell r="A212" t="str">
            <v>PP</v>
          </cell>
        </row>
        <row r="213">
          <cell r="A213" t="str">
            <v>VV</v>
          </cell>
        </row>
        <row r="214">
          <cell r="A214" t="str">
            <v>VV</v>
          </cell>
        </row>
        <row r="215">
          <cell r="A215" t="str">
            <v>VV</v>
          </cell>
        </row>
        <row r="216">
          <cell r="A216" t="str">
            <v>VV</v>
          </cell>
        </row>
        <row r="217">
          <cell r="A217" t="str">
            <v>VV</v>
          </cell>
        </row>
        <row r="218">
          <cell r="A218" t="str">
            <v>VV</v>
          </cell>
        </row>
        <row r="219">
          <cell r="A219" t="str">
            <v>VV</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VV</v>
          </cell>
        </row>
        <row r="232">
          <cell r="A232" t="str">
            <v>VV</v>
          </cell>
        </row>
        <row r="233">
          <cell r="A233" t="str">
            <v>VV</v>
          </cell>
        </row>
        <row r="234">
          <cell r="A234" t="str">
            <v>VV</v>
          </cell>
        </row>
        <row r="235">
          <cell r="A235" t="str">
            <v>VV</v>
          </cell>
        </row>
        <row r="236">
          <cell r="A236" t="str">
            <v>VV</v>
          </cell>
        </row>
        <row r="237">
          <cell r="A237" t="str">
            <v>VV</v>
          </cell>
        </row>
        <row r="238">
          <cell r="A238" t="str">
            <v>VV</v>
          </cell>
        </row>
        <row r="239">
          <cell r="A239" t="str">
            <v>VV</v>
          </cell>
        </row>
        <row r="240">
          <cell r="A240" t="str">
            <v>VV</v>
          </cell>
        </row>
        <row r="241">
          <cell r="A241" t="str">
            <v>VV</v>
          </cell>
        </row>
        <row r="242">
          <cell r="A242" t="str">
            <v>VV</v>
          </cell>
        </row>
        <row r="243">
          <cell r="A243" t="str">
            <v>VV</v>
          </cell>
        </row>
        <row r="244">
          <cell r="A244" t="str">
            <v>VV</v>
          </cell>
        </row>
        <row r="245">
          <cell r="A245" t="str">
            <v>VV</v>
          </cell>
        </row>
        <row r="246">
          <cell r="A246" t="str">
            <v>VV</v>
          </cell>
        </row>
        <row r="247">
          <cell r="A247" t="str">
            <v>VV</v>
          </cell>
        </row>
        <row r="248">
          <cell r="A248" t="str">
            <v>VV</v>
          </cell>
        </row>
        <row r="249">
          <cell r="A249" t="str">
            <v>VV</v>
          </cell>
        </row>
        <row r="250">
          <cell r="A250" t="str">
            <v>VV</v>
          </cell>
        </row>
        <row r="251">
          <cell r="A251" t="str">
            <v>VV</v>
          </cell>
        </row>
        <row r="252">
          <cell r="A252" t="str">
            <v>VV</v>
          </cell>
        </row>
        <row r="253">
          <cell r="A253" t="str">
            <v>VV</v>
          </cell>
        </row>
        <row r="254">
          <cell r="A254" t="str">
            <v>VV</v>
          </cell>
        </row>
        <row r="255">
          <cell r="A255" t="str">
            <v>VV</v>
          </cell>
        </row>
        <row r="256">
          <cell r="A256" t="str">
            <v>VV</v>
          </cell>
        </row>
        <row r="257">
          <cell r="A257" t="str">
            <v>VV</v>
          </cell>
        </row>
        <row r="258">
          <cell r="A258" t="str">
            <v>VV</v>
          </cell>
        </row>
        <row r="259">
          <cell r="A259" t="str">
            <v>VV</v>
          </cell>
        </row>
        <row r="260">
          <cell r="A260" t="str">
            <v>VV</v>
          </cell>
        </row>
        <row r="261">
          <cell r="A261" t="str">
            <v>VV</v>
          </cell>
        </row>
        <row r="262">
          <cell r="A262" t="str">
            <v>VV</v>
          </cell>
        </row>
        <row r="263">
          <cell r="A263" t="str">
            <v>VV</v>
          </cell>
        </row>
        <row r="264">
          <cell r="A264" t="str">
            <v>VV</v>
          </cell>
        </row>
        <row r="265">
          <cell r="A265" t="str">
            <v>VV</v>
          </cell>
        </row>
        <row r="266">
          <cell r="A266" t="str">
            <v>VV</v>
          </cell>
        </row>
        <row r="267">
          <cell r="A267" t="str">
            <v>VV</v>
          </cell>
        </row>
        <row r="268">
          <cell r="A268" t="str">
            <v>VV</v>
          </cell>
        </row>
        <row r="269">
          <cell r="A269" t="str">
            <v>VV</v>
          </cell>
        </row>
        <row r="270">
          <cell r="A270" t="str">
            <v>VV</v>
          </cell>
        </row>
        <row r="271">
          <cell r="A271" t="str">
            <v>VV</v>
          </cell>
        </row>
        <row r="272">
          <cell r="A272" t="str">
            <v>VV</v>
          </cell>
        </row>
        <row r="273">
          <cell r="A273" t="str">
            <v>VV</v>
          </cell>
        </row>
        <row r="274">
          <cell r="A274" t="str">
            <v>VV</v>
          </cell>
        </row>
        <row r="275">
          <cell r="A275" t="str">
            <v>VV</v>
          </cell>
        </row>
        <row r="276">
          <cell r="A276" t="str">
            <v>VV</v>
          </cell>
        </row>
        <row r="277">
          <cell r="A277" t="str">
            <v>VV</v>
          </cell>
        </row>
        <row r="278">
          <cell r="A278" t="str">
            <v>VV</v>
          </cell>
        </row>
        <row r="279">
          <cell r="A279" t="str">
            <v>VV</v>
          </cell>
        </row>
        <row r="280">
          <cell r="A280" t="str">
            <v>VV</v>
          </cell>
        </row>
        <row r="281">
          <cell r="A281" t="str">
            <v>VV</v>
          </cell>
        </row>
        <row r="282">
          <cell r="A282" t="str">
            <v>VV</v>
          </cell>
        </row>
        <row r="283">
          <cell r="A283" t="str">
            <v>VV</v>
          </cell>
        </row>
        <row r="284">
          <cell r="A284" t="str">
            <v>VV</v>
          </cell>
        </row>
        <row r="285">
          <cell r="A285" t="str">
            <v>VV</v>
          </cell>
        </row>
        <row r="286">
          <cell r="A286" t="str">
            <v>VV</v>
          </cell>
        </row>
        <row r="287">
          <cell r="A287" t="str">
            <v>VV</v>
          </cell>
        </row>
        <row r="288">
          <cell r="A288" t="str">
            <v>VV</v>
          </cell>
        </row>
        <row r="289">
          <cell r="A289" t="str">
            <v>VV</v>
          </cell>
        </row>
        <row r="290">
          <cell r="A290" t="str">
            <v>VV</v>
          </cell>
        </row>
        <row r="291">
          <cell r="A291" t="str">
            <v>VV</v>
          </cell>
        </row>
        <row r="292">
          <cell r="A292" t="str">
            <v>VV</v>
          </cell>
        </row>
        <row r="293">
          <cell r="A293" t="str">
            <v>VV</v>
          </cell>
        </row>
        <row r="294">
          <cell r="A294" t="str">
            <v>VV</v>
          </cell>
        </row>
        <row r="295">
          <cell r="A295" t="str">
            <v>VV</v>
          </cell>
        </row>
        <row r="296">
          <cell r="A296" t="str">
            <v>VV</v>
          </cell>
        </row>
        <row r="297">
          <cell r="A297" t="str">
            <v>VV</v>
          </cell>
        </row>
        <row r="298">
          <cell r="A298" t="str">
            <v>VV</v>
          </cell>
        </row>
        <row r="299">
          <cell r="A299" t="str">
            <v>VV</v>
          </cell>
        </row>
        <row r="300">
          <cell r="A300" t="str">
            <v>VV</v>
          </cell>
        </row>
        <row r="301">
          <cell r="A301" t="str">
            <v>VV</v>
          </cell>
        </row>
        <row r="302">
          <cell r="A302" t="str">
            <v>VV</v>
          </cell>
        </row>
        <row r="303">
          <cell r="A303" t="str">
            <v>VV</v>
          </cell>
        </row>
        <row r="304">
          <cell r="A304" t="str">
            <v>VV</v>
          </cell>
        </row>
        <row r="305">
          <cell r="A305" t="str">
            <v>VV</v>
          </cell>
        </row>
        <row r="306">
          <cell r="A306" t="str">
            <v>VV</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VV</v>
          </cell>
        </row>
        <row r="320">
          <cell r="A320" t="str">
            <v>VV</v>
          </cell>
        </row>
        <row r="321">
          <cell r="A321" t="str">
            <v>VV</v>
          </cell>
        </row>
        <row r="322">
          <cell r="A322" t="str">
            <v>VV</v>
          </cell>
        </row>
        <row r="323">
          <cell r="A323" t="str">
            <v>VV</v>
          </cell>
        </row>
        <row r="324">
          <cell r="A324" t="str">
            <v>VV</v>
          </cell>
        </row>
        <row r="325">
          <cell r="A325" t="str">
            <v>VV</v>
          </cell>
        </row>
        <row r="326">
          <cell r="A326" t="str">
            <v>VV</v>
          </cell>
        </row>
        <row r="327">
          <cell r="A327" t="str">
            <v>VV</v>
          </cell>
        </row>
        <row r="328">
          <cell r="A328" t="str">
            <v>VV</v>
          </cell>
        </row>
        <row r="329">
          <cell r="A329" t="str">
            <v>VV</v>
          </cell>
        </row>
        <row r="330">
          <cell r="A330" t="str">
            <v>VV</v>
          </cell>
        </row>
        <row r="331">
          <cell r="A331" t="str">
            <v>VV</v>
          </cell>
        </row>
        <row r="332">
          <cell r="A332" t="str">
            <v>VV</v>
          </cell>
        </row>
        <row r="333">
          <cell r="A333" t="str">
            <v>VV</v>
          </cell>
        </row>
        <row r="334">
          <cell r="A334" t="str">
            <v>VV</v>
          </cell>
        </row>
        <row r="335">
          <cell r="A335" t="str">
            <v>VV</v>
          </cell>
        </row>
        <row r="336">
          <cell r="A336" t="str">
            <v>VV</v>
          </cell>
        </row>
        <row r="337">
          <cell r="A337" t="str">
            <v>VV</v>
          </cell>
        </row>
        <row r="338">
          <cell r="A338" t="str">
            <v>VV</v>
          </cell>
        </row>
        <row r="339">
          <cell r="A339" t="str">
            <v>VV</v>
          </cell>
        </row>
        <row r="340">
          <cell r="A340" t="str">
            <v>VV</v>
          </cell>
        </row>
        <row r="341">
          <cell r="A341" t="str">
            <v>VV</v>
          </cell>
        </row>
        <row r="342">
          <cell r="A342" t="str">
            <v>VV</v>
          </cell>
        </row>
        <row r="343">
          <cell r="A343" t="str">
            <v>VV</v>
          </cell>
        </row>
        <row r="344">
          <cell r="A344" t="str">
            <v>VV</v>
          </cell>
        </row>
        <row r="345">
          <cell r="A345" t="str">
            <v>VV</v>
          </cell>
        </row>
        <row r="346">
          <cell r="A346" t="str">
            <v>VV</v>
          </cell>
        </row>
        <row r="347">
          <cell r="A347" t="str">
            <v>VV</v>
          </cell>
        </row>
        <row r="348">
          <cell r="A348" t="str">
            <v>VV</v>
          </cell>
        </row>
        <row r="349">
          <cell r="A349" t="str">
            <v>VV</v>
          </cell>
        </row>
        <row r="350">
          <cell r="A350" t="str">
            <v>VV</v>
          </cell>
        </row>
        <row r="351">
          <cell r="A351" t="str">
            <v>VV</v>
          </cell>
        </row>
        <row r="352">
          <cell r="A352" t="str">
            <v>VV</v>
          </cell>
        </row>
        <row r="353">
          <cell r="A353" t="str">
            <v>VV</v>
          </cell>
        </row>
        <row r="354">
          <cell r="A354" t="str">
            <v>VV</v>
          </cell>
        </row>
        <row r="355">
          <cell r="A355" t="str">
            <v>VV</v>
          </cell>
        </row>
        <row r="356">
          <cell r="A356" t="str">
            <v>VV</v>
          </cell>
        </row>
        <row r="357">
          <cell r="A357" t="str">
            <v>VV</v>
          </cell>
        </row>
        <row r="358">
          <cell r="A358" t="str">
            <v>VV</v>
          </cell>
        </row>
        <row r="359">
          <cell r="A359" t="str">
            <v>VV</v>
          </cell>
        </row>
        <row r="360">
          <cell r="A360" t="str">
            <v>VV</v>
          </cell>
        </row>
        <row r="361">
          <cell r="A361" t="str">
            <v>VV</v>
          </cell>
        </row>
        <row r="362">
          <cell r="A362" t="str">
            <v>VV</v>
          </cell>
        </row>
        <row r="363">
          <cell r="A363" t="str">
            <v>VV</v>
          </cell>
        </row>
        <row r="364">
          <cell r="A364" t="str">
            <v>TS</v>
          </cell>
        </row>
        <row r="365">
          <cell r="A365" t="str">
            <v>P</v>
          </cell>
          <cell r="O365">
            <v>0</v>
          </cell>
        </row>
        <row r="366">
          <cell r="A366" t="str">
            <v>PP</v>
          </cell>
        </row>
        <row r="367">
          <cell r="A367" t="str">
            <v>VV</v>
          </cell>
        </row>
        <row r="368">
          <cell r="A368" t="str">
            <v>VV</v>
          </cell>
        </row>
        <row r="369">
          <cell r="A369" t="str">
            <v>VV</v>
          </cell>
        </row>
        <row r="370">
          <cell r="A370" t="str">
            <v>VV</v>
          </cell>
        </row>
        <row r="371">
          <cell r="A371" t="str">
            <v>VV</v>
          </cell>
        </row>
        <row r="372">
          <cell r="A372" t="str">
            <v>VV</v>
          </cell>
        </row>
        <row r="373">
          <cell r="A373" t="str">
            <v>VV</v>
          </cell>
        </row>
        <row r="374">
          <cell r="A374" t="str">
            <v>VV</v>
          </cell>
        </row>
        <row r="375">
          <cell r="A375" t="str">
            <v>VV</v>
          </cell>
        </row>
        <row r="376">
          <cell r="A376" t="str">
            <v>VV</v>
          </cell>
        </row>
        <row r="377">
          <cell r="A377" t="str">
            <v>VV</v>
          </cell>
        </row>
        <row r="378">
          <cell r="A378" t="str">
            <v>VV</v>
          </cell>
        </row>
        <row r="379">
          <cell r="A379" t="str">
            <v>VV</v>
          </cell>
        </row>
        <row r="380">
          <cell r="A380" t="str">
            <v>VV</v>
          </cell>
        </row>
        <row r="381">
          <cell r="A381" t="str">
            <v>VV</v>
          </cell>
        </row>
        <row r="382">
          <cell r="A382" t="str">
            <v>VV</v>
          </cell>
        </row>
        <row r="383">
          <cell r="A383" t="str">
            <v>VV</v>
          </cell>
        </row>
        <row r="384">
          <cell r="A384" t="str">
            <v>VV</v>
          </cell>
        </row>
        <row r="385">
          <cell r="A385" t="str">
            <v>VV</v>
          </cell>
        </row>
        <row r="386">
          <cell r="A386" t="str">
            <v>VV</v>
          </cell>
        </row>
        <row r="387">
          <cell r="A387" t="str">
            <v>VV</v>
          </cell>
        </row>
        <row r="388">
          <cell r="A388" t="str">
            <v>VV</v>
          </cell>
        </row>
        <row r="389">
          <cell r="A389" t="str">
            <v>VV</v>
          </cell>
        </row>
        <row r="390">
          <cell r="A390" t="str">
            <v>VV</v>
          </cell>
        </row>
        <row r="391">
          <cell r="A391" t="str">
            <v>VV</v>
          </cell>
        </row>
        <row r="392">
          <cell r="A392" t="str">
            <v>VV</v>
          </cell>
        </row>
        <row r="393">
          <cell r="A393" t="str">
            <v>VV</v>
          </cell>
        </row>
        <row r="394">
          <cell r="A394" t="str">
            <v>VV</v>
          </cell>
        </row>
        <row r="395">
          <cell r="A395" t="str">
            <v>VV</v>
          </cell>
        </row>
        <row r="396">
          <cell r="A396" t="str">
            <v>VV</v>
          </cell>
        </row>
        <row r="397">
          <cell r="A397" t="str">
            <v>VV</v>
          </cell>
        </row>
        <row r="398">
          <cell r="A398" t="str">
            <v>VV</v>
          </cell>
        </row>
        <row r="399">
          <cell r="A399" t="str">
            <v>VV</v>
          </cell>
        </row>
        <row r="400">
          <cell r="A400" t="str">
            <v>VV</v>
          </cell>
        </row>
        <row r="401">
          <cell r="A401" t="str">
            <v>TS</v>
          </cell>
        </row>
        <row r="402">
          <cell r="A402" t="str">
            <v>P</v>
          </cell>
          <cell r="O402">
            <v>0</v>
          </cell>
        </row>
        <row r="403">
          <cell r="A403" t="str">
            <v>PP</v>
          </cell>
        </row>
        <row r="404">
          <cell r="A404" t="str">
            <v>VV</v>
          </cell>
        </row>
        <row r="405">
          <cell r="A405" t="str">
            <v>VV</v>
          </cell>
        </row>
        <row r="406">
          <cell r="A406" t="str">
            <v>VV</v>
          </cell>
        </row>
        <row r="407">
          <cell r="A407" t="str">
            <v>VV</v>
          </cell>
        </row>
        <row r="408">
          <cell r="A408" t="str">
            <v>VV</v>
          </cell>
        </row>
        <row r="409">
          <cell r="A409" t="str">
            <v>VV</v>
          </cell>
        </row>
        <row r="410">
          <cell r="A410" t="str">
            <v>VV</v>
          </cell>
        </row>
        <row r="411">
          <cell r="A411" t="str">
            <v>VV</v>
          </cell>
        </row>
        <row r="412">
          <cell r="A412" t="str">
            <v>VV</v>
          </cell>
        </row>
        <row r="413">
          <cell r="A413" t="str">
            <v>VV</v>
          </cell>
        </row>
        <row r="414">
          <cell r="A414" t="str">
            <v>VV</v>
          </cell>
        </row>
        <row r="415">
          <cell r="A415" t="str">
            <v>VV</v>
          </cell>
        </row>
        <row r="416">
          <cell r="A416" t="str">
            <v>VV</v>
          </cell>
        </row>
        <row r="417">
          <cell r="A417" t="str">
            <v>VV</v>
          </cell>
        </row>
        <row r="418">
          <cell r="A418" t="str">
            <v>VV</v>
          </cell>
        </row>
        <row r="419">
          <cell r="A419" t="str">
            <v>VV</v>
          </cell>
        </row>
        <row r="420">
          <cell r="A420" t="str">
            <v>VV</v>
          </cell>
        </row>
        <row r="421">
          <cell r="A421" t="str">
            <v>VV</v>
          </cell>
        </row>
        <row r="422">
          <cell r="A422" t="str">
            <v>VV</v>
          </cell>
        </row>
        <row r="423">
          <cell r="A423" t="str">
            <v>VV</v>
          </cell>
        </row>
        <row r="424">
          <cell r="A424" t="str">
            <v>VV</v>
          </cell>
        </row>
        <row r="425">
          <cell r="A425" t="str">
            <v>VV</v>
          </cell>
        </row>
        <row r="426">
          <cell r="A426" t="str">
            <v>VV</v>
          </cell>
        </row>
        <row r="427">
          <cell r="A427" t="str">
            <v>VV</v>
          </cell>
        </row>
        <row r="428">
          <cell r="A428" t="str">
            <v>VV</v>
          </cell>
        </row>
        <row r="429">
          <cell r="A429" t="str">
            <v>VV</v>
          </cell>
        </row>
        <row r="430">
          <cell r="A430" t="str">
            <v>VV</v>
          </cell>
        </row>
        <row r="431">
          <cell r="A431" t="str">
            <v>TS</v>
          </cell>
        </row>
        <row r="432">
          <cell r="A432" t="str">
            <v>P</v>
          </cell>
          <cell r="O432">
            <v>0</v>
          </cell>
        </row>
        <row r="433">
          <cell r="A433" t="str">
            <v>PP</v>
          </cell>
        </row>
        <row r="434">
          <cell r="A434" t="str">
            <v>VV</v>
          </cell>
        </row>
        <row r="435">
          <cell r="A435" t="str">
            <v>VV</v>
          </cell>
        </row>
        <row r="436">
          <cell r="A436" t="str">
            <v>VV</v>
          </cell>
        </row>
        <row r="437">
          <cell r="A437" t="str">
            <v>TS</v>
          </cell>
        </row>
        <row r="438">
          <cell r="A438" t="str">
            <v>SD</v>
          </cell>
        </row>
        <row r="439">
          <cell r="A439" t="str">
            <v>P</v>
          </cell>
          <cell r="O439">
            <v>0</v>
          </cell>
        </row>
        <row r="440">
          <cell r="A440" t="str">
            <v>PP</v>
          </cell>
        </row>
        <row r="441">
          <cell r="A441" t="str">
            <v>VV</v>
          </cell>
        </row>
        <row r="442">
          <cell r="A442" t="str">
            <v>VV</v>
          </cell>
        </row>
        <row r="443">
          <cell r="A443" t="str">
            <v>VV</v>
          </cell>
        </row>
        <row r="444">
          <cell r="A444" t="str">
            <v>VV</v>
          </cell>
        </row>
        <row r="445">
          <cell r="A445" t="str">
            <v>VV</v>
          </cell>
        </row>
        <row r="446">
          <cell r="A446" t="str">
            <v>VV</v>
          </cell>
        </row>
        <row r="447">
          <cell r="A447" t="str">
            <v>VV</v>
          </cell>
        </row>
        <row r="448">
          <cell r="A448" t="str">
            <v>VV</v>
          </cell>
        </row>
        <row r="449">
          <cell r="A449" t="str">
            <v>VV</v>
          </cell>
        </row>
        <row r="450">
          <cell r="A450" t="str">
            <v>VV</v>
          </cell>
        </row>
        <row r="451">
          <cell r="A451" t="str">
            <v>VV</v>
          </cell>
        </row>
        <row r="452">
          <cell r="A452" t="str">
            <v>VV</v>
          </cell>
        </row>
        <row r="453">
          <cell r="A453" t="str">
            <v>VV</v>
          </cell>
        </row>
        <row r="454">
          <cell r="A454" t="str">
            <v>VV</v>
          </cell>
        </row>
        <row r="455">
          <cell r="A455" t="str">
            <v>VV</v>
          </cell>
        </row>
        <row r="456">
          <cell r="A456" t="str">
            <v>VV</v>
          </cell>
        </row>
        <row r="457">
          <cell r="A457" t="str">
            <v>VV</v>
          </cell>
        </row>
        <row r="458">
          <cell r="A458" t="str">
            <v>VV</v>
          </cell>
        </row>
        <row r="459">
          <cell r="A459" t="str">
            <v>VV</v>
          </cell>
        </row>
        <row r="460">
          <cell r="A460" t="str">
            <v>VV</v>
          </cell>
        </row>
        <row r="461">
          <cell r="A461" t="str">
            <v>VV</v>
          </cell>
        </row>
        <row r="462">
          <cell r="A462" t="str">
            <v>VV</v>
          </cell>
        </row>
        <row r="463">
          <cell r="A463" t="str">
            <v>VV</v>
          </cell>
        </row>
        <row r="464">
          <cell r="A464" t="str">
            <v>VV</v>
          </cell>
        </row>
        <row r="465">
          <cell r="A465" t="str">
            <v>VV</v>
          </cell>
        </row>
        <row r="466">
          <cell r="A466" t="str">
            <v>VV</v>
          </cell>
        </row>
        <row r="467">
          <cell r="A467" t="str">
            <v>VV</v>
          </cell>
        </row>
        <row r="468">
          <cell r="A468" t="str">
            <v>VV</v>
          </cell>
        </row>
        <row r="469">
          <cell r="A469" t="str">
            <v>VV</v>
          </cell>
        </row>
        <row r="470">
          <cell r="A470" t="str">
            <v>VV</v>
          </cell>
        </row>
        <row r="471">
          <cell r="A471" t="str">
            <v>VV</v>
          </cell>
        </row>
        <row r="472">
          <cell r="A472" t="str">
            <v>VV</v>
          </cell>
        </row>
        <row r="473">
          <cell r="A473" t="str">
            <v>VV</v>
          </cell>
        </row>
        <row r="474">
          <cell r="A474" t="str">
            <v>VV</v>
          </cell>
        </row>
        <row r="475">
          <cell r="A475" t="str">
            <v>VV</v>
          </cell>
        </row>
        <row r="476">
          <cell r="A476" t="str">
            <v>VV</v>
          </cell>
        </row>
        <row r="477">
          <cell r="A477" t="str">
            <v>VV</v>
          </cell>
        </row>
        <row r="478">
          <cell r="A478" t="str">
            <v>VV</v>
          </cell>
        </row>
        <row r="479">
          <cell r="A479" t="str">
            <v>VV</v>
          </cell>
        </row>
        <row r="480">
          <cell r="A480" t="str">
            <v>VV</v>
          </cell>
        </row>
        <row r="481">
          <cell r="A481" t="str">
            <v>VV</v>
          </cell>
        </row>
        <row r="482">
          <cell r="A482" t="str">
            <v>VV</v>
          </cell>
        </row>
        <row r="483">
          <cell r="A483" t="str">
            <v>VV</v>
          </cell>
        </row>
        <row r="484">
          <cell r="A484" t="str">
            <v>VV</v>
          </cell>
        </row>
        <row r="485">
          <cell r="A485" t="str">
            <v>VV</v>
          </cell>
        </row>
        <row r="486">
          <cell r="A486" t="str">
            <v>VV</v>
          </cell>
        </row>
        <row r="487">
          <cell r="A487" t="str">
            <v>VV</v>
          </cell>
        </row>
        <row r="488">
          <cell r="A488" t="str">
            <v>VV</v>
          </cell>
        </row>
        <row r="489">
          <cell r="A489" t="str">
            <v>VV</v>
          </cell>
        </row>
        <row r="490">
          <cell r="A490" t="str">
            <v>VV</v>
          </cell>
        </row>
        <row r="491">
          <cell r="A491" t="str">
            <v>VV</v>
          </cell>
        </row>
        <row r="492">
          <cell r="A492" t="str">
            <v>VV</v>
          </cell>
        </row>
        <row r="493">
          <cell r="A493" t="str">
            <v>VV</v>
          </cell>
        </row>
        <row r="494">
          <cell r="A494" t="str">
            <v>VV</v>
          </cell>
        </row>
        <row r="495">
          <cell r="A495" t="str">
            <v>VV</v>
          </cell>
        </row>
        <row r="496">
          <cell r="A496" t="str">
            <v>VV</v>
          </cell>
        </row>
        <row r="497">
          <cell r="A497" t="str">
            <v>VV</v>
          </cell>
        </row>
        <row r="498">
          <cell r="A498" t="str">
            <v>VV</v>
          </cell>
        </row>
        <row r="499">
          <cell r="A499" t="str">
            <v>VV</v>
          </cell>
        </row>
        <row r="500">
          <cell r="A500" t="str">
            <v>VV</v>
          </cell>
        </row>
        <row r="501">
          <cell r="A501" t="str">
            <v>VV</v>
          </cell>
        </row>
        <row r="502">
          <cell r="A502" t="str">
            <v>VV</v>
          </cell>
        </row>
        <row r="503">
          <cell r="A503" t="str">
            <v>VV</v>
          </cell>
        </row>
        <row r="504">
          <cell r="A504" t="str">
            <v>VV</v>
          </cell>
        </row>
        <row r="505">
          <cell r="A505" t="str">
            <v>VV</v>
          </cell>
        </row>
        <row r="506">
          <cell r="A506" t="str">
            <v>VV</v>
          </cell>
        </row>
        <row r="507">
          <cell r="A507" t="str">
            <v>VV</v>
          </cell>
        </row>
        <row r="508">
          <cell r="A508" t="str">
            <v>VV</v>
          </cell>
        </row>
        <row r="509">
          <cell r="A509" t="str">
            <v>VV</v>
          </cell>
        </row>
        <row r="510">
          <cell r="A510" t="str">
            <v>VV</v>
          </cell>
        </row>
        <row r="511">
          <cell r="A511" t="str">
            <v>VV</v>
          </cell>
        </row>
        <row r="512">
          <cell r="A512" t="str">
            <v>VV</v>
          </cell>
        </row>
        <row r="513">
          <cell r="A513" t="str">
            <v>VV</v>
          </cell>
        </row>
        <row r="514">
          <cell r="A514" t="str">
            <v>VV</v>
          </cell>
        </row>
        <row r="515">
          <cell r="A515" t="str">
            <v>VV</v>
          </cell>
        </row>
        <row r="516">
          <cell r="A516" t="str">
            <v>VV</v>
          </cell>
        </row>
        <row r="517">
          <cell r="A517" t="str">
            <v>VV</v>
          </cell>
        </row>
        <row r="518">
          <cell r="A518" t="str">
            <v>VV</v>
          </cell>
        </row>
        <row r="519">
          <cell r="A519" t="str">
            <v>VV</v>
          </cell>
        </row>
        <row r="520">
          <cell r="A520" t="str">
            <v>VV</v>
          </cell>
        </row>
        <row r="521">
          <cell r="A521" t="str">
            <v>VV</v>
          </cell>
        </row>
        <row r="522">
          <cell r="A522" t="str">
            <v>VV</v>
          </cell>
        </row>
        <row r="523">
          <cell r="A523" t="str">
            <v>VV</v>
          </cell>
        </row>
        <row r="524">
          <cell r="A524" t="str">
            <v>VV</v>
          </cell>
        </row>
        <row r="525">
          <cell r="A525" t="str">
            <v>VV</v>
          </cell>
        </row>
        <row r="526">
          <cell r="A526" t="str">
            <v>VV</v>
          </cell>
        </row>
        <row r="527">
          <cell r="A527" t="str">
            <v>VV</v>
          </cell>
        </row>
        <row r="528">
          <cell r="A528" t="str">
            <v>VV</v>
          </cell>
        </row>
        <row r="529">
          <cell r="A529" t="str">
            <v>VV</v>
          </cell>
        </row>
        <row r="530">
          <cell r="A530" t="str">
            <v>VV</v>
          </cell>
        </row>
        <row r="531">
          <cell r="A531" t="str">
            <v>VV</v>
          </cell>
        </row>
        <row r="532">
          <cell r="A532" t="str">
            <v>VV</v>
          </cell>
        </row>
        <row r="533">
          <cell r="A533" t="str">
            <v>VV</v>
          </cell>
        </row>
        <row r="534">
          <cell r="A534" t="str">
            <v>VV</v>
          </cell>
        </row>
        <row r="535">
          <cell r="A535" t="str">
            <v>VV</v>
          </cell>
        </row>
        <row r="536">
          <cell r="A536" t="str">
            <v>VV</v>
          </cell>
        </row>
        <row r="537">
          <cell r="A537" t="str">
            <v>VV</v>
          </cell>
        </row>
        <row r="538">
          <cell r="A538" t="str">
            <v>VV</v>
          </cell>
        </row>
        <row r="539">
          <cell r="A539" t="str">
            <v>VV</v>
          </cell>
        </row>
        <row r="540">
          <cell r="A540" t="str">
            <v>VV</v>
          </cell>
        </row>
        <row r="541">
          <cell r="A541" t="str">
            <v>VV</v>
          </cell>
        </row>
        <row r="542">
          <cell r="A542" t="str">
            <v>VV</v>
          </cell>
        </row>
        <row r="543">
          <cell r="A543" t="str">
            <v>VV</v>
          </cell>
        </row>
        <row r="544">
          <cell r="A544" t="str">
            <v>VV</v>
          </cell>
        </row>
        <row r="545">
          <cell r="A545" t="str">
            <v>VV</v>
          </cell>
        </row>
        <row r="546">
          <cell r="A546" t="str">
            <v>VV</v>
          </cell>
        </row>
        <row r="547">
          <cell r="A547" t="str">
            <v>VV</v>
          </cell>
        </row>
        <row r="548">
          <cell r="A548" t="str">
            <v>VV</v>
          </cell>
        </row>
        <row r="549">
          <cell r="A549" t="str">
            <v>VV</v>
          </cell>
        </row>
        <row r="550">
          <cell r="A550" t="str">
            <v>VV</v>
          </cell>
        </row>
        <row r="551">
          <cell r="A551" t="str">
            <v>VV</v>
          </cell>
        </row>
        <row r="552">
          <cell r="A552" t="str">
            <v>VV</v>
          </cell>
        </row>
        <row r="553">
          <cell r="A553" t="str">
            <v>VV</v>
          </cell>
        </row>
        <row r="554">
          <cell r="A554" t="str">
            <v>VV</v>
          </cell>
        </row>
        <row r="555">
          <cell r="A555" t="str">
            <v>VV</v>
          </cell>
        </row>
        <row r="556">
          <cell r="A556" t="str">
            <v>VV</v>
          </cell>
        </row>
        <row r="557">
          <cell r="A557" t="str">
            <v>VV</v>
          </cell>
        </row>
        <row r="558">
          <cell r="A558" t="str">
            <v>VV</v>
          </cell>
        </row>
        <row r="559">
          <cell r="A559" t="str">
            <v>VV</v>
          </cell>
        </row>
        <row r="560">
          <cell r="A560" t="str">
            <v>VV</v>
          </cell>
        </row>
        <row r="561">
          <cell r="A561" t="str">
            <v>VV</v>
          </cell>
        </row>
        <row r="562">
          <cell r="A562" t="str">
            <v>VV</v>
          </cell>
        </row>
        <row r="563">
          <cell r="A563" t="str">
            <v>VV</v>
          </cell>
        </row>
        <row r="564">
          <cell r="A564" t="str">
            <v>VV</v>
          </cell>
        </row>
        <row r="565">
          <cell r="A565" t="str">
            <v>VV</v>
          </cell>
        </row>
        <row r="566">
          <cell r="A566" t="str">
            <v>VV</v>
          </cell>
        </row>
        <row r="567">
          <cell r="A567" t="str">
            <v>VV</v>
          </cell>
        </row>
        <row r="568">
          <cell r="A568" t="str">
            <v>VV</v>
          </cell>
        </row>
        <row r="569">
          <cell r="A569" t="str">
            <v>VV</v>
          </cell>
        </row>
        <row r="570">
          <cell r="A570" t="str">
            <v>VV</v>
          </cell>
        </row>
        <row r="571">
          <cell r="A571" t="str">
            <v>VV</v>
          </cell>
        </row>
        <row r="572">
          <cell r="A572" t="str">
            <v>VV</v>
          </cell>
        </row>
        <row r="573">
          <cell r="A573" t="str">
            <v>VV</v>
          </cell>
        </row>
        <row r="574">
          <cell r="A574" t="str">
            <v>VV</v>
          </cell>
        </row>
        <row r="575">
          <cell r="A575" t="str">
            <v>VV</v>
          </cell>
        </row>
        <row r="576">
          <cell r="A576" t="str">
            <v>VV</v>
          </cell>
        </row>
        <row r="577">
          <cell r="A577" t="str">
            <v>VV</v>
          </cell>
        </row>
        <row r="578">
          <cell r="A578" t="str">
            <v>VV</v>
          </cell>
        </row>
        <row r="579">
          <cell r="A579" t="str">
            <v>VV</v>
          </cell>
        </row>
        <row r="580">
          <cell r="A580" t="str">
            <v>VV</v>
          </cell>
        </row>
        <row r="581">
          <cell r="A581" t="str">
            <v>VV</v>
          </cell>
        </row>
        <row r="582">
          <cell r="A582" t="str">
            <v>VV</v>
          </cell>
        </row>
        <row r="583">
          <cell r="A583" t="str">
            <v>VV</v>
          </cell>
        </row>
        <row r="584">
          <cell r="A584" t="str">
            <v>VV</v>
          </cell>
        </row>
        <row r="585">
          <cell r="A585" t="str">
            <v>VV</v>
          </cell>
        </row>
        <row r="586">
          <cell r="A586" t="str">
            <v>VV</v>
          </cell>
        </row>
        <row r="587">
          <cell r="A587" t="str">
            <v>VV</v>
          </cell>
        </row>
        <row r="588">
          <cell r="A588" t="str">
            <v>VV</v>
          </cell>
        </row>
        <row r="589">
          <cell r="A589" t="str">
            <v>VV</v>
          </cell>
        </row>
        <row r="590">
          <cell r="A590" t="str">
            <v>VV</v>
          </cell>
        </row>
        <row r="591">
          <cell r="A591" t="str">
            <v>VV</v>
          </cell>
        </row>
        <row r="592">
          <cell r="A592" t="str">
            <v>TS</v>
          </cell>
        </row>
      </sheetData>
      <sheetData sheetId="16">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TS</v>
          </cell>
        </row>
        <row r="25">
          <cell r="A25" t="str">
            <v>P</v>
          </cell>
          <cell r="O25">
            <v>0</v>
          </cell>
        </row>
        <row r="26">
          <cell r="A26" t="str">
            <v>PP</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TS</v>
          </cell>
        </row>
        <row r="40">
          <cell r="A40" t="str">
            <v>P</v>
          </cell>
          <cell r="O40">
            <v>0</v>
          </cell>
        </row>
        <row r="41">
          <cell r="A41" t="str">
            <v>PP</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TS</v>
          </cell>
        </row>
        <row r="55">
          <cell r="A55" t="str">
            <v>SD</v>
          </cell>
        </row>
        <row r="56">
          <cell r="A56" t="str">
            <v>P</v>
          </cell>
          <cell r="O56">
            <v>0</v>
          </cell>
        </row>
        <row r="57">
          <cell r="A57" t="str">
            <v>PP</v>
          </cell>
        </row>
        <row r="58">
          <cell r="A58" t="str">
            <v>VV</v>
          </cell>
        </row>
        <row r="59">
          <cell r="A59" t="str">
            <v>VV</v>
          </cell>
        </row>
        <row r="60">
          <cell r="A60" t="str">
            <v>VV</v>
          </cell>
        </row>
        <row r="61">
          <cell r="A61" t="str">
            <v>TS</v>
          </cell>
        </row>
        <row r="62">
          <cell r="A62" t="str">
            <v>P</v>
          </cell>
          <cell r="O62">
            <v>0</v>
          </cell>
        </row>
        <row r="63">
          <cell r="A63" t="str">
            <v>PP</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VV</v>
          </cell>
        </row>
        <row r="79">
          <cell r="A79" t="str">
            <v>VV</v>
          </cell>
        </row>
        <row r="80">
          <cell r="A80" t="str">
            <v>TS</v>
          </cell>
        </row>
        <row r="81">
          <cell r="A81" t="str">
            <v>P</v>
          </cell>
          <cell r="O81">
            <v>0</v>
          </cell>
        </row>
        <row r="82">
          <cell r="A82" t="str">
            <v>PP</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TS</v>
          </cell>
        </row>
        <row r="102">
          <cell r="A102" t="str">
            <v>P</v>
          </cell>
          <cell r="O102">
            <v>0</v>
          </cell>
        </row>
        <row r="103">
          <cell r="A103" t="str">
            <v>PP</v>
          </cell>
        </row>
        <row r="104">
          <cell r="A104" t="str">
            <v>VV</v>
          </cell>
        </row>
        <row r="105">
          <cell r="A105" t="str">
            <v>VV</v>
          </cell>
        </row>
        <row r="106">
          <cell r="A106" t="str">
            <v>VV</v>
          </cell>
        </row>
        <row r="107">
          <cell r="A107" t="str">
            <v>VV</v>
          </cell>
        </row>
        <row r="108">
          <cell r="A108" t="str">
            <v>VV</v>
          </cell>
        </row>
        <row r="109">
          <cell r="A109" t="str">
            <v>TS</v>
          </cell>
        </row>
        <row r="110">
          <cell r="A110" t="str">
            <v>P</v>
          </cell>
          <cell r="O110">
            <v>0</v>
          </cell>
        </row>
        <row r="111">
          <cell r="A111" t="str">
            <v>PP</v>
          </cell>
        </row>
        <row r="112">
          <cell r="A112" t="str">
            <v>VV</v>
          </cell>
        </row>
        <row r="113">
          <cell r="A113" t="str">
            <v>VV</v>
          </cell>
        </row>
        <row r="114">
          <cell r="A114" t="str">
            <v>VV</v>
          </cell>
        </row>
        <row r="115">
          <cell r="A115" t="str">
            <v>TS</v>
          </cell>
        </row>
        <row r="116">
          <cell r="A116" t="str">
            <v>P</v>
          </cell>
          <cell r="O116">
            <v>0</v>
          </cell>
        </row>
        <row r="117">
          <cell r="A117" t="str">
            <v>PP</v>
          </cell>
        </row>
        <row r="118">
          <cell r="A118" t="str">
            <v>VV</v>
          </cell>
        </row>
        <row r="119">
          <cell r="A119" t="str">
            <v>VV</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TS</v>
          </cell>
        </row>
        <row r="129">
          <cell r="A129" t="str">
            <v>P</v>
          </cell>
          <cell r="O129">
            <v>0</v>
          </cell>
        </row>
        <row r="130">
          <cell r="A130" t="str">
            <v>PP</v>
          </cell>
        </row>
        <row r="131">
          <cell r="A131" t="str">
            <v>VV</v>
          </cell>
        </row>
        <row r="132">
          <cell r="A132" t="str">
            <v>VV</v>
          </cell>
        </row>
        <row r="133">
          <cell r="A133" t="str">
            <v>VV</v>
          </cell>
        </row>
        <row r="134">
          <cell r="A134" t="str">
            <v>VV</v>
          </cell>
        </row>
        <row r="135">
          <cell r="A135" t="str">
            <v>TS</v>
          </cell>
        </row>
        <row r="136">
          <cell r="A136" t="str">
            <v>P</v>
          </cell>
          <cell r="O136">
            <v>0</v>
          </cell>
        </row>
        <row r="137">
          <cell r="A137" t="str">
            <v>PP</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VV</v>
          </cell>
        </row>
        <row r="147">
          <cell r="A147" t="str">
            <v>TS</v>
          </cell>
        </row>
        <row r="148">
          <cell r="A148" t="str">
            <v>P</v>
          </cell>
          <cell r="O148">
            <v>0</v>
          </cell>
        </row>
        <row r="149">
          <cell r="A149" t="str">
            <v>PP</v>
          </cell>
        </row>
        <row r="150">
          <cell r="A150" t="str">
            <v>VV</v>
          </cell>
        </row>
        <row r="151">
          <cell r="A151" t="str">
            <v>VV</v>
          </cell>
        </row>
        <row r="152">
          <cell r="A152" t="str">
            <v>TS</v>
          </cell>
        </row>
        <row r="153">
          <cell r="A153" t="str">
            <v>P</v>
          </cell>
          <cell r="O153">
            <v>0</v>
          </cell>
        </row>
        <row r="154">
          <cell r="A154" t="str">
            <v>PP</v>
          </cell>
        </row>
        <row r="155">
          <cell r="A155" t="str">
            <v>VV</v>
          </cell>
        </row>
        <row r="156">
          <cell r="A156" t="str">
            <v>VV</v>
          </cell>
        </row>
        <row r="157">
          <cell r="A157" t="str">
            <v>VV</v>
          </cell>
        </row>
        <row r="158">
          <cell r="A158" t="str">
            <v>VV</v>
          </cell>
        </row>
        <row r="159">
          <cell r="A159" t="str">
            <v>VV</v>
          </cell>
        </row>
        <row r="160">
          <cell r="A160" t="str">
            <v>TS</v>
          </cell>
        </row>
        <row r="161">
          <cell r="A161" t="str">
            <v>P</v>
          </cell>
          <cell r="O161">
            <v>0</v>
          </cell>
        </row>
        <row r="162">
          <cell r="A162" t="str">
            <v>PP</v>
          </cell>
        </row>
        <row r="163">
          <cell r="A163" t="str">
            <v>VV</v>
          </cell>
        </row>
        <row r="164">
          <cell r="A164" t="str">
            <v>VV</v>
          </cell>
        </row>
        <row r="165">
          <cell r="A165" t="str">
            <v>VV</v>
          </cell>
        </row>
        <row r="166">
          <cell r="A166" t="str">
            <v>VV</v>
          </cell>
        </row>
        <row r="167">
          <cell r="A167" t="str">
            <v>VV</v>
          </cell>
        </row>
        <row r="168">
          <cell r="A168" t="str">
            <v>VV</v>
          </cell>
        </row>
        <row r="169">
          <cell r="A169" t="str">
            <v>VV</v>
          </cell>
        </row>
        <row r="170">
          <cell r="A170" t="str">
            <v>VV</v>
          </cell>
        </row>
        <row r="171">
          <cell r="A171" t="str">
            <v>TS</v>
          </cell>
        </row>
        <row r="172">
          <cell r="A172" t="str">
            <v>SD</v>
          </cell>
        </row>
        <row r="173">
          <cell r="A173" t="str">
            <v>P</v>
          </cell>
          <cell r="O173">
            <v>0</v>
          </cell>
        </row>
        <row r="174">
          <cell r="A174" t="str">
            <v>PP</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VV</v>
          </cell>
        </row>
        <row r="185">
          <cell r="A185" t="str">
            <v>VV</v>
          </cell>
        </row>
        <row r="186">
          <cell r="A186" t="str">
            <v>TS</v>
          </cell>
        </row>
        <row r="187">
          <cell r="A187" t="str">
            <v>P</v>
          </cell>
          <cell r="O187">
            <v>0</v>
          </cell>
        </row>
        <row r="188">
          <cell r="A188" t="str">
            <v>PP</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VV</v>
          </cell>
        </row>
        <row r="198">
          <cell r="A198" t="str">
            <v>VV</v>
          </cell>
        </row>
        <row r="199">
          <cell r="A199" t="str">
            <v>VV</v>
          </cell>
        </row>
        <row r="200">
          <cell r="A200" t="str">
            <v>VV</v>
          </cell>
        </row>
        <row r="201">
          <cell r="A201" t="str">
            <v>VV</v>
          </cell>
        </row>
        <row r="202">
          <cell r="A202" t="str">
            <v>VV</v>
          </cell>
        </row>
        <row r="203">
          <cell r="A203" t="str">
            <v>VV</v>
          </cell>
        </row>
        <row r="204">
          <cell r="A204" t="str">
            <v>VV</v>
          </cell>
        </row>
        <row r="205">
          <cell r="A205" t="str">
            <v>VV</v>
          </cell>
        </row>
        <row r="206">
          <cell r="A206" t="str">
            <v>TS</v>
          </cell>
        </row>
        <row r="207">
          <cell r="A207" t="str">
            <v>P</v>
          </cell>
          <cell r="O207">
            <v>0</v>
          </cell>
        </row>
        <row r="208">
          <cell r="A208" t="str">
            <v>PP</v>
          </cell>
        </row>
        <row r="209">
          <cell r="A209" t="str">
            <v>VV</v>
          </cell>
        </row>
        <row r="210">
          <cell r="A210" t="str">
            <v>VV</v>
          </cell>
        </row>
        <row r="211">
          <cell r="A211" t="str">
            <v>VV</v>
          </cell>
        </row>
        <row r="212">
          <cell r="A212" t="str">
            <v>VV</v>
          </cell>
        </row>
        <row r="213">
          <cell r="A213" t="str">
            <v>VV</v>
          </cell>
        </row>
        <row r="214">
          <cell r="A214" t="str">
            <v>TS</v>
          </cell>
        </row>
        <row r="215">
          <cell r="A215" t="str">
            <v>P</v>
          </cell>
          <cell r="O215">
            <v>0</v>
          </cell>
        </row>
        <row r="216">
          <cell r="A216" t="str">
            <v>PP</v>
          </cell>
        </row>
        <row r="217">
          <cell r="A217" t="str">
            <v>VV</v>
          </cell>
        </row>
        <row r="218">
          <cell r="A218" t="str">
            <v>VV</v>
          </cell>
        </row>
        <row r="219">
          <cell r="A219" t="str">
            <v>VV</v>
          </cell>
        </row>
        <row r="220">
          <cell r="A220" t="str">
            <v>VV</v>
          </cell>
        </row>
        <row r="221">
          <cell r="A221" t="str">
            <v>TS</v>
          </cell>
        </row>
        <row r="222">
          <cell r="A222" t="str">
            <v>P</v>
          </cell>
          <cell r="O222">
            <v>0</v>
          </cell>
        </row>
        <row r="223">
          <cell r="A223" t="str">
            <v>PP</v>
          </cell>
        </row>
        <row r="224">
          <cell r="A224" t="str">
            <v>VV</v>
          </cell>
        </row>
        <row r="225">
          <cell r="A225" t="str">
            <v>VV</v>
          </cell>
        </row>
        <row r="226">
          <cell r="A226" t="str">
            <v>VV</v>
          </cell>
        </row>
        <row r="227">
          <cell r="A227" t="str">
            <v>VV</v>
          </cell>
        </row>
        <row r="228">
          <cell r="A228" t="str">
            <v>TS</v>
          </cell>
        </row>
      </sheetData>
      <sheetData sheetId="17">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TS</v>
          </cell>
        </row>
        <row r="22">
          <cell r="A22" t="str">
            <v>P</v>
          </cell>
          <cell r="O22">
            <v>0</v>
          </cell>
        </row>
        <row r="23">
          <cell r="A23" t="str">
            <v>PP</v>
          </cell>
        </row>
        <row r="24">
          <cell r="A24" t="str">
            <v>VV</v>
          </cell>
        </row>
        <row r="25">
          <cell r="A25" t="str">
            <v>VV</v>
          </cell>
        </row>
        <row r="26">
          <cell r="A26" t="str">
            <v>VV</v>
          </cell>
        </row>
        <row r="27">
          <cell r="A27" t="str">
            <v>VV</v>
          </cell>
        </row>
        <row r="28">
          <cell r="A28" t="str">
            <v>VV</v>
          </cell>
        </row>
        <row r="29">
          <cell r="A29" t="str">
            <v>VV</v>
          </cell>
        </row>
        <row r="30">
          <cell r="A30" t="str">
            <v>TS</v>
          </cell>
        </row>
        <row r="31">
          <cell r="A31" t="str">
            <v>P</v>
          </cell>
          <cell r="O31">
            <v>0</v>
          </cell>
        </row>
        <row r="32">
          <cell r="A32" t="str">
            <v>PP</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TS</v>
          </cell>
        </row>
        <row r="43">
          <cell r="A43" t="str">
            <v>P</v>
          </cell>
          <cell r="O43">
            <v>0</v>
          </cell>
        </row>
        <row r="44">
          <cell r="A44" t="str">
            <v>PP</v>
          </cell>
        </row>
        <row r="45">
          <cell r="A45" t="str">
            <v>VV</v>
          </cell>
        </row>
        <row r="46">
          <cell r="A46" t="str">
            <v>VV</v>
          </cell>
        </row>
        <row r="47">
          <cell r="A47" t="str">
            <v>VV</v>
          </cell>
        </row>
        <row r="48">
          <cell r="A48" t="str">
            <v>VV</v>
          </cell>
        </row>
        <row r="49">
          <cell r="A49" t="str">
            <v>VV</v>
          </cell>
        </row>
        <row r="50">
          <cell r="A50" t="str">
            <v>VV</v>
          </cell>
        </row>
        <row r="51">
          <cell r="A51" t="str">
            <v>TS</v>
          </cell>
        </row>
        <row r="52">
          <cell r="A52" t="str">
            <v>P</v>
          </cell>
          <cell r="O52">
            <v>0</v>
          </cell>
        </row>
        <row r="53">
          <cell r="A53" t="str">
            <v>PP</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TS</v>
          </cell>
        </row>
        <row r="62">
          <cell r="A62" t="str">
            <v>SD</v>
          </cell>
        </row>
        <row r="63">
          <cell r="A63" t="str">
            <v>P</v>
          </cell>
          <cell r="O63">
            <v>0</v>
          </cell>
        </row>
        <row r="64">
          <cell r="A64" t="str">
            <v>PP</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TS</v>
          </cell>
        </row>
        <row r="75">
          <cell r="A75" t="str">
            <v>P</v>
          </cell>
          <cell r="O75">
            <v>0</v>
          </cell>
        </row>
        <row r="76">
          <cell r="A76" t="str">
            <v>PP</v>
          </cell>
        </row>
        <row r="77">
          <cell r="A77" t="str">
            <v>VV</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TS</v>
          </cell>
        </row>
        <row r="87">
          <cell r="A87" t="str">
            <v>SD</v>
          </cell>
        </row>
        <row r="88">
          <cell r="A88" t="str">
            <v>P</v>
          </cell>
          <cell r="O88">
            <v>0</v>
          </cell>
        </row>
        <row r="89">
          <cell r="A89" t="str">
            <v>PP</v>
          </cell>
        </row>
        <row r="90">
          <cell r="A90" t="str">
            <v>VV</v>
          </cell>
        </row>
        <row r="91">
          <cell r="A91" t="str">
            <v>VV</v>
          </cell>
        </row>
        <row r="92">
          <cell r="A92" t="str">
            <v>TS</v>
          </cell>
        </row>
        <row r="93">
          <cell r="A93" t="str">
            <v>P</v>
          </cell>
          <cell r="O93">
            <v>0</v>
          </cell>
        </row>
        <row r="94">
          <cell r="A94" t="str">
            <v>PP</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TS</v>
          </cell>
        </row>
        <row r="105">
          <cell r="A105" t="str">
            <v>P</v>
          </cell>
          <cell r="O105">
            <v>0</v>
          </cell>
        </row>
        <row r="106">
          <cell r="A106" t="str">
            <v>PP</v>
          </cell>
        </row>
        <row r="107">
          <cell r="A107" t="str">
            <v>VV</v>
          </cell>
        </row>
        <row r="108">
          <cell r="A108" t="str">
            <v>VV</v>
          </cell>
        </row>
        <row r="109">
          <cell r="A109" t="str">
            <v>VV</v>
          </cell>
        </row>
        <row r="110">
          <cell r="A110" t="str">
            <v>VV</v>
          </cell>
        </row>
        <row r="111">
          <cell r="A111" t="str">
            <v>VV</v>
          </cell>
        </row>
        <row r="112">
          <cell r="A112" t="str">
            <v>VV</v>
          </cell>
        </row>
        <row r="113">
          <cell r="A113" t="str">
            <v>TS</v>
          </cell>
        </row>
        <row r="114">
          <cell r="A114" t="str">
            <v>P</v>
          </cell>
          <cell r="O114">
            <v>0</v>
          </cell>
        </row>
        <row r="115">
          <cell r="A115" t="str">
            <v>PP</v>
          </cell>
        </row>
        <row r="116">
          <cell r="A116" t="str">
            <v>VV</v>
          </cell>
        </row>
        <row r="117">
          <cell r="A117" t="str">
            <v>VV</v>
          </cell>
        </row>
        <row r="118">
          <cell r="A118" t="str">
            <v>VV</v>
          </cell>
        </row>
        <row r="119">
          <cell r="A119" t="str">
            <v>VV</v>
          </cell>
        </row>
        <row r="120">
          <cell r="A120" t="str">
            <v>TS</v>
          </cell>
        </row>
        <row r="121">
          <cell r="A121" t="str">
            <v>P</v>
          </cell>
          <cell r="O121">
            <v>0</v>
          </cell>
        </row>
        <row r="122">
          <cell r="A122" t="str">
            <v>PP</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TS</v>
          </cell>
        </row>
        <row r="133">
          <cell r="A133" t="str">
            <v>SD</v>
          </cell>
        </row>
        <row r="134">
          <cell r="A134" t="str">
            <v>P</v>
          </cell>
          <cell r="O134">
            <v>0</v>
          </cell>
        </row>
        <row r="135">
          <cell r="A135" t="str">
            <v>PP</v>
          </cell>
        </row>
        <row r="136">
          <cell r="A136" t="str">
            <v>VV</v>
          </cell>
        </row>
        <row r="137">
          <cell r="A137" t="str">
            <v>VV</v>
          </cell>
        </row>
        <row r="138">
          <cell r="A138" t="str">
            <v>TS</v>
          </cell>
        </row>
      </sheetData>
      <sheetData sheetId="18">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TS</v>
          </cell>
        </row>
        <row r="16">
          <cell r="A16" t="str">
            <v>P</v>
          </cell>
          <cell r="O16">
            <v>0</v>
          </cell>
        </row>
        <row r="17">
          <cell r="A17" t="str">
            <v>PP</v>
          </cell>
        </row>
        <row r="18">
          <cell r="A18" t="str">
            <v>VV</v>
          </cell>
        </row>
        <row r="19">
          <cell r="A19" t="str">
            <v>VV</v>
          </cell>
        </row>
        <row r="20">
          <cell r="A20" t="str">
            <v>VV</v>
          </cell>
        </row>
        <row r="21">
          <cell r="A21" t="str">
            <v>TS</v>
          </cell>
        </row>
        <row r="22">
          <cell r="A22" t="str">
            <v>P</v>
          </cell>
          <cell r="O22">
            <v>0</v>
          </cell>
        </row>
        <row r="23">
          <cell r="A23" t="str">
            <v>PP</v>
          </cell>
        </row>
        <row r="24">
          <cell r="A24" t="str">
            <v>VV</v>
          </cell>
        </row>
        <row r="25">
          <cell r="A25" t="str">
            <v>VV</v>
          </cell>
        </row>
        <row r="26">
          <cell r="A26" t="str">
            <v>VV</v>
          </cell>
        </row>
        <row r="27">
          <cell r="A27" t="str">
            <v>TS</v>
          </cell>
        </row>
        <row r="28">
          <cell r="A28" t="str">
            <v>P</v>
          </cell>
          <cell r="O28">
            <v>0</v>
          </cell>
        </row>
        <row r="29">
          <cell r="A29" t="str">
            <v>PP</v>
          </cell>
        </row>
        <row r="30">
          <cell r="A30" t="str">
            <v>VV</v>
          </cell>
        </row>
        <row r="31">
          <cell r="A31" t="str">
            <v>VV</v>
          </cell>
        </row>
        <row r="32">
          <cell r="A32" t="str">
            <v>VV</v>
          </cell>
        </row>
        <row r="33">
          <cell r="A33" t="str">
            <v>TS</v>
          </cell>
        </row>
        <row r="34">
          <cell r="A34" t="str">
            <v>SD</v>
          </cell>
        </row>
        <row r="35">
          <cell r="A35" t="str">
            <v>P</v>
          </cell>
          <cell r="O35">
            <v>0</v>
          </cell>
        </row>
        <row r="36">
          <cell r="A36" t="str">
            <v>PP</v>
          </cell>
        </row>
        <row r="37">
          <cell r="A37" t="str">
            <v>VV</v>
          </cell>
        </row>
        <row r="38">
          <cell r="A38" t="str">
            <v>VV</v>
          </cell>
        </row>
        <row r="39">
          <cell r="A39" t="str">
            <v>VV</v>
          </cell>
        </row>
        <row r="40">
          <cell r="A40" t="str">
            <v>TS</v>
          </cell>
        </row>
        <row r="41">
          <cell r="A41" t="str">
            <v>SD</v>
          </cell>
        </row>
        <row r="42">
          <cell r="A42" t="str">
            <v>P</v>
          </cell>
          <cell r="O42">
            <v>0</v>
          </cell>
        </row>
        <row r="43">
          <cell r="A43" t="str">
            <v>PP</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TS</v>
          </cell>
        </row>
        <row r="52">
          <cell r="A52" t="str">
            <v>P</v>
          </cell>
          <cell r="O52">
            <v>0</v>
          </cell>
        </row>
        <row r="53">
          <cell r="A53" t="str">
            <v>PP</v>
          </cell>
        </row>
        <row r="54">
          <cell r="A54" t="str">
            <v>VV</v>
          </cell>
        </row>
        <row r="55">
          <cell r="A55" t="str">
            <v>VV</v>
          </cell>
        </row>
        <row r="56">
          <cell r="A56" t="str">
            <v>VV</v>
          </cell>
        </row>
        <row r="57">
          <cell r="A57" t="str">
            <v>TS</v>
          </cell>
        </row>
      </sheetData>
      <sheetData sheetId="19">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TS</v>
          </cell>
        </row>
        <row r="16">
          <cell r="A16" t="str">
            <v>P</v>
          </cell>
          <cell r="O16">
            <v>0</v>
          </cell>
        </row>
        <row r="17">
          <cell r="A17" t="str">
            <v>PP</v>
          </cell>
        </row>
        <row r="18">
          <cell r="A18" t="str">
            <v>VV</v>
          </cell>
        </row>
        <row r="19">
          <cell r="A19" t="str">
            <v>VV</v>
          </cell>
        </row>
        <row r="20">
          <cell r="A20" t="str">
            <v>VV</v>
          </cell>
        </row>
        <row r="21">
          <cell r="A21" t="str">
            <v>TS</v>
          </cell>
        </row>
        <row r="22">
          <cell r="A22" t="str">
            <v>P</v>
          </cell>
          <cell r="O22">
            <v>0</v>
          </cell>
        </row>
        <row r="23">
          <cell r="A23" t="str">
            <v>PP</v>
          </cell>
        </row>
        <row r="24">
          <cell r="A24" t="str">
            <v>VV</v>
          </cell>
        </row>
        <row r="25">
          <cell r="A25" t="str">
            <v>VV</v>
          </cell>
        </row>
        <row r="26">
          <cell r="A26" t="str">
            <v>TS</v>
          </cell>
        </row>
        <row r="27">
          <cell r="A27" t="str">
            <v>SD</v>
          </cell>
        </row>
        <row r="28">
          <cell r="A28" t="str">
            <v>P</v>
          </cell>
          <cell r="O28">
            <v>0</v>
          </cell>
        </row>
        <row r="29">
          <cell r="A29" t="str">
            <v>PP</v>
          </cell>
        </row>
        <row r="30">
          <cell r="A30" t="str">
            <v>VV</v>
          </cell>
        </row>
        <row r="31">
          <cell r="A31" t="str">
            <v>VV</v>
          </cell>
        </row>
        <row r="32">
          <cell r="A32" t="str">
            <v>VV</v>
          </cell>
        </row>
        <row r="33">
          <cell r="A33" t="str">
            <v>VV</v>
          </cell>
        </row>
        <row r="34">
          <cell r="A34" t="str">
            <v>VV</v>
          </cell>
        </row>
        <row r="35">
          <cell r="A35" t="str">
            <v>TS</v>
          </cell>
        </row>
        <row r="36">
          <cell r="A36" t="str">
            <v>P</v>
          </cell>
          <cell r="O36">
            <v>0</v>
          </cell>
        </row>
        <row r="37">
          <cell r="A37" t="str">
            <v>PP</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TS</v>
          </cell>
        </row>
        <row r="46">
          <cell r="A46" t="str">
            <v>P</v>
          </cell>
          <cell r="O46">
            <v>0</v>
          </cell>
        </row>
        <row r="47">
          <cell r="A47" t="str">
            <v>PP</v>
          </cell>
        </row>
        <row r="48">
          <cell r="A48" t="str">
            <v>VV</v>
          </cell>
        </row>
        <row r="49">
          <cell r="A49" t="str">
            <v>VV</v>
          </cell>
        </row>
        <row r="50">
          <cell r="A50" t="str">
            <v>VV</v>
          </cell>
        </row>
        <row r="51">
          <cell r="A51" t="str">
            <v>TS</v>
          </cell>
        </row>
        <row r="52">
          <cell r="A52" t="str">
            <v>P</v>
          </cell>
          <cell r="O52">
            <v>0</v>
          </cell>
        </row>
        <row r="53">
          <cell r="A53" t="str">
            <v>PP</v>
          </cell>
        </row>
        <row r="54">
          <cell r="A54" t="str">
            <v>VV</v>
          </cell>
        </row>
        <row r="55">
          <cell r="A55" t="str">
            <v>VV</v>
          </cell>
        </row>
        <row r="56">
          <cell r="A56" t="str">
            <v>TS</v>
          </cell>
        </row>
        <row r="57">
          <cell r="A57" t="str">
            <v>P</v>
          </cell>
          <cell r="O57">
            <v>0</v>
          </cell>
        </row>
        <row r="58">
          <cell r="A58" t="str">
            <v>PP</v>
          </cell>
        </row>
        <row r="59">
          <cell r="A59" t="str">
            <v>VV</v>
          </cell>
        </row>
        <row r="60">
          <cell r="A60" t="str">
            <v>VV</v>
          </cell>
        </row>
        <row r="61">
          <cell r="A61" t="str">
            <v>TS</v>
          </cell>
        </row>
        <row r="62">
          <cell r="A62" t="str">
            <v>P</v>
          </cell>
          <cell r="O62">
            <v>0</v>
          </cell>
        </row>
        <row r="63">
          <cell r="A63" t="str">
            <v>PP</v>
          </cell>
        </row>
        <row r="64">
          <cell r="A64" t="str">
            <v>VV</v>
          </cell>
        </row>
        <row r="65">
          <cell r="A65" t="str">
            <v>VV</v>
          </cell>
        </row>
        <row r="66">
          <cell r="A66" t="str">
            <v>VV</v>
          </cell>
        </row>
        <row r="67">
          <cell r="A67" t="str">
            <v>TS</v>
          </cell>
        </row>
        <row r="68">
          <cell r="A68" t="str">
            <v>P</v>
          </cell>
          <cell r="O68">
            <v>0</v>
          </cell>
        </row>
        <row r="69">
          <cell r="A69" t="str">
            <v>PP</v>
          </cell>
        </row>
        <row r="70">
          <cell r="A70" t="str">
            <v>VV</v>
          </cell>
        </row>
        <row r="71">
          <cell r="A71" t="str">
            <v>VV</v>
          </cell>
        </row>
        <row r="72">
          <cell r="A72" t="str">
            <v>VV</v>
          </cell>
        </row>
        <row r="73">
          <cell r="A73" t="str">
            <v>VV</v>
          </cell>
        </row>
        <row r="74">
          <cell r="A74" t="str">
            <v>VV</v>
          </cell>
        </row>
        <row r="75">
          <cell r="A75" t="str">
            <v>TS</v>
          </cell>
        </row>
        <row r="76">
          <cell r="A76" t="str">
            <v>P</v>
          </cell>
          <cell r="O76">
            <v>0</v>
          </cell>
        </row>
        <row r="77">
          <cell r="A77" t="str">
            <v>PP</v>
          </cell>
        </row>
        <row r="78">
          <cell r="A78" t="str">
            <v>VV</v>
          </cell>
        </row>
        <row r="79">
          <cell r="A79" t="str">
            <v>VV</v>
          </cell>
        </row>
        <row r="80">
          <cell r="A80" t="str">
            <v>VV</v>
          </cell>
        </row>
        <row r="81">
          <cell r="A81" t="str">
            <v>VV</v>
          </cell>
        </row>
        <row r="82">
          <cell r="A82" t="str">
            <v>VV</v>
          </cell>
        </row>
        <row r="83">
          <cell r="A83" t="str">
            <v>TS</v>
          </cell>
        </row>
        <row r="84">
          <cell r="A84" t="str">
            <v>P</v>
          </cell>
          <cell r="O84">
            <v>0</v>
          </cell>
        </row>
        <row r="85">
          <cell r="A85" t="str">
            <v>PP</v>
          </cell>
        </row>
        <row r="86">
          <cell r="A86" t="str">
            <v>VV</v>
          </cell>
        </row>
        <row r="87">
          <cell r="A87" t="str">
            <v>VV</v>
          </cell>
        </row>
        <row r="88">
          <cell r="A88" t="str">
            <v>VV</v>
          </cell>
        </row>
        <row r="89">
          <cell r="A89" t="str">
            <v>VV</v>
          </cell>
        </row>
        <row r="90">
          <cell r="A90" t="str">
            <v>VV</v>
          </cell>
        </row>
        <row r="91">
          <cell r="A91" t="str">
            <v>TS</v>
          </cell>
        </row>
      </sheetData>
      <sheetData sheetId="20">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TS</v>
          </cell>
        </row>
        <row r="15">
          <cell r="A15" t="str">
            <v>P</v>
          </cell>
          <cell r="O15">
            <v>0</v>
          </cell>
        </row>
        <row r="16">
          <cell r="A16" t="str">
            <v>PP</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TS</v>
          </cell>
        </row>
        <row r="25">
          <cell r="A25" t="str">
            <v>P</v>
          </cell>
          <cell r="O25">
            <v>0</v>
          </cell>
        </row>
        <row r="26">
          <cell r="A26" t="str">
            <v>PP</v>
          </cell>
        </row>
        <row r="27">
          <cell r="A27" t="str">
            <v>VV</v>
          </cell>
        </row>
        <row r="28">
          <cell r="A28" t="str">
            <v>VV</v>
          </cell>
        </row>
        <row r="29">
          <cell r="A29" t="str">
            <v>TS</v>
          </cell>
        </row>
        <row r="30">
          <cell r="A30" t="str">
            <v>P</v>
          </cell>
          <cell r="O30">
            <v>0</v>
          </cell>
        </row>
        <row r="31">
          <cell r="A31" t="str">
            <v>PP</v>
          </cell>
        </row>
        <row r="32">
          <cell r="A32" t="str">
            <v>VV</v>
          </cell>
        </row>
        <row r="33">
          <cell r="A33" t="str">
            <v>VV</v>
          </cell>
        </row>
        <row r="34">
          <cell r="A34" t="str">
            <v>TS</v>
          </cell>
        </row>
        <row r="35">
          <cell r="A35" t="str">
            <v>P</v>
          </cell>
          <cell r="O35">
            <v>0</v>
          </cell>
        </row>
        <row r="36">
          <cell r="A36" t="str">
            <v>PP</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TS</v>
          </cell>
        </row>
        <row r="45">
          <cell r="A45" t="str">
            <v>P</v>
          </cell>
          <cell r="O45">
            <v>0</v>
          </cell>
        </row>
        <row r="46">
          <cell r="A46" t="str">
            <v>PP</v>
          </cell>
        </row>
        <row r="47">
          <cell r="A47" t="str">
            <v>VV</v>
          </cell>
        </row>
        <row r="48">
          <cell r="A48" t="str">
            <v>VV</v>
          </cell>
        </row>
        <row r="49">
          <cell r="A49" t="str">
            <v>TS</v>
          </cell>
        </row>
        <row r="50">
          <cell r="A50" t="str">
            <v>SD</v>
          </cell>
        </row>
        <row r="51">
          <cell r="A51" t="str">
            <v>P</v>
          </cell>
          <cell r="O51">
            <v>0</v>
          </cell>
        </row>
        <row r="52">
          <cell r="A52" t="str">
            <v>PP</v>
          </cell>
        </row>
        <row r="53">
          <cell r="A53" t="str">
            <v>VV</v>
          </cell>
        </row>
        <row r="54">
          <cell r="A54" t="str">
            <v>VV</v>
          </cell>
        </row>
        <row r="55">
          <cell r="A55" t="str">
            <v>VV</v>
          </cell>
        </row>
        <row r="56">
          <cell r="A56" t="str">
            <v>VV</v>
          </cell>
        </row>
        <row r="57">
          <cell r="A57" t="str">
            <v>VV</v>
          </cell>
        </row>
        <row r="58">
          <cell r="A58" t="str">
            <v>TS</v>
          </cell>
        </row>
      </sheetData>
      <sheetData sheetId="21">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TS</v>
          </cell>
        </row>
        <row r="15">
          <cell r="A15" t="str">
            <v>P</v>
          </cell>
          <cell r="O15">
            <v>0</v>
          </cell>
        </row>
        <row r="16">
          <cell r="A16" t="str">
            <v>PP</v>
          </cell>
        </row>
        <row r="17">
          <cell r="A17" t="str">
            <v>VV</v>
          </cell>
        </row>
        <row r="18">
          <cell r="A18" t="str">
            <v>VV</v>
          </cell>
        </row>
        <row r="19">
          <cell r="A19" t="str">
            <v>VV</v>
          </cell>
        </row>
        <row r="20">
          <cell r="A20" t="str">
            <v>TS</v>
          </cell>
        </row>
        <row r="21">
          <cell r="A21" t="str">
            <v>P</v>
          </cell>
          <cell r="O21">
            <v>0</v>
          </cell>
        </row>
        <row r="22">
          <cell r="A22" t="str">
            <v>PP</v>
          </cell>
        </row>
        <row r="23">
          <cell r="A23" t="str">
            <v>VV</v>
          </cell>
        </row>
        <row r="24">
          <cell r="A24" t="str">
            <v>VV</v>
          </cell>
        </row>
        <row r="25">
          <cell r="A25" t="str">
            <v>TS</v>
          </cell>
        </row>
        <row r="26">
          <cell r="A26" t="str">
            <v>SD</v>
          </cell>
        </row>
        <row r="27">
          <cell r="A27" t="str">
            <v>P</v>
          </cell>
          <cell r="O27">
            <v>0</v>
          </cell>
        </row>
        <row r="28">
          <cell r="A28" t="str">
            <v>PP</v>
          </cell>
        </row>
        <row r="29">
          <cell r="A29" t="str">
            <v>VV</v>
          </cell>
        </row>
        <row r="30">
          <cell r="A30" t="str">
            <v>VV</v>
          </cell>
        </row>
        <row r="31">
          <cell r="A31" t="str">
            <v>TS</v>
          </cell>
        </row>
        <row r="32">
          <cell r="A32" t="str">
            <v>P</v>
          </cell>
          <cell r="O32">
            <v>0</v>
          </cell>
        </row>
        <row r="33">
          <cell r="A33" t="str">
            <v>PP</v>
          </cell>
        </row>
        <row r="34">
          <cell r="A34" t="str">
            <v>VV</v>
          </cell>
        </row>
        <row r="35">
          <cell r="A35" t="str">
            <v>VV</v>
          </cell>
        </row>
        <row r="36">
          <cell r="A36" t="str">
            <v>TS</v>
          </cell>
        </row>
        <row r="37">
          <cell r="A37" t="str">
            <v>P</v>
          </cell>
          <cell r="O37">
            <v>0</v>
          </cell>
        </row>
        <row r="38">
          <cell r="A38" t="str">
            <v>PP</v>
          </cell>
        </row>
        <row r="39">
          <cell r="A39" t="str">
            <v>VV</v>
          </cell>
        </row>
        <row r="40">
          <cell r="A40" t="str">
            <v>TS</v>
          </cell>
        </row>
        <row r="41">
          <cell r="A41" t="str">
            <v>SD</v>
          </cell>
        </row>
        <row r="42">
          <cell r="A42" t="str">
            <v>P</v>
          </cell>
          <cell r="O42">
            <v>0</v>
          </cell>
        </row>
        <row r="43">
          <cell r="A43" t="str">
            <v>PP</v>
          </cell>
        </row>
        <row r="44">
          <cell r="A44" t="str">
            <v>VV</v>
          </cell>
        </row>
        <row r="45">
          <cell r="A45" t="str">
            <v>VV</v>
          </cell>
        </row>
        <row r="46">
          <cell r="A46" t="str">
            <v>VV</v>
          </cell>
        </row>
        <row r="47">
          <cell r="A47" t="str">
            <v>VV</v>
          </cell>
        </row>
        <row r="48">
          <cell r="A48" t="str">
            <v>TS</v>
          </cell>
        </row>
        <row r="49">
          <cell r="A49" t="str">
            <v>P</v>
          </cell>
          <cell r="O49">
            <v>0</v>
          </cell>
        </row>
        <row r="50">
          <cell r="A50" t="str">
            <v>PP</v>
          </cell>
        </row>
        <row r="51">
          <cell r="A51" t="str">
            <v>VV</v>
          </cell>
        </row>
        <row r="52">
          <cell r="A52" t="str">
            <v>VV</v>
          </cell>
        </row>
        <row r="53">
          <cell r="A53" t="str">
            <v>VV</v>
          </cell>
        </row>
        <row r="54">
          <cell r="A54" t="str">
            <v>VV</v>
          </cell>
        </row>
        <row r="55">
          <cell r="A55" t="str">
            <v>TS</v>
          </cell>
        </row>
      </sheetData>
      <sheetData sheetId="22">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TS</v>
          </cell>
        </row>
        <row r="14">
          <cell r="A14" t="str">
            <v>P</v>
          </cell>
          <cell r="O14">
            <v>0</v>
          </cell>
        </row>
        <row r="15">
          <cell r="A15" t="str">
            <v>PP</v>
          </cell>
        </row>
        <row r="16">
          <cell r="A16" t="str">
            <v>VV</v>
          </cell>
        </row>
        <row r="17">
          <cell r="A17" t="str">
            <v>VV</v>
          </cell>
        </row>
        <row r="18">
          <cell r="A18" t="str">
            <v>VV</v>
          </cell>
        </row>
        <row r="19">
          <cell r="A19" t="str">
            <v>TS</v>
          </cell>
        </row>
        <row r="20">
          <cell r="A20" t="str">
            <v>P</v>
          </cell>
          <cell r="O20">
            <v>0</v>
          </cell>
        </row>
        <row r="21">
          <cell r="A21" t="str">
            <v>PP</v>
          </cell>
        </row>
        <row r="22">
          <cell r="A22" t="str">
            <v>VV</v>
          </cell>
        </row>
        <row r="23">
          <cell r="A23" t="str">
            <v>VV</v>
          </cell>
        </row>
        <row r="24">
          <cell r="A24" t="str">
            <v>VV</v>
          </cell>
        </row>
        <row r="25">
          <cell r="A25" t="str">
            <v>VV</v>
          </cell>
        </row>
        <row r="26">
          <cell r="A26" t="str">
            <v>VV</v>
          </cell>
        </row>
        <row r="27">
          <cell r="A27" t="str">
            <v>TS</v>
          </cell>
        </row>
        <row r="28">
          <cell r="A28" t="str">
            <v>P</v>
          </cell>
          <cell r="O28">
            <v>0</v>
          </cell>
        </row>
        <row r="29">
          <cell r="A29" t="str">
            <v>PP</v>
          </cell>
        </row>
        <row r="30">
          <cell r="A30" t="str">
            <v>VV</v>
          </cell>
        </row>
        <row r="31">
          <cell r="A31" t="str">
            <v>VV</v>
          </cell>
        </row>
        <row r="32">
          <cell r="A32" t="str">
            <v>VV</v>
          </cell>
        </row>
        <row r="33">
          <cell r="A33" t="str">
            <v>VV</v>
          </cell>
        </row>
        <row r="34">
          <cell r="A34" t="str">
            <v>TS</v>
          </cell>
        </row>
        <row r="35">
          <cell r="A35" t="str">
            <v>P</v>
          </cell>
          <cell r="O35">
            <v>0</v>
          </cell>
        </row>
        <row r="36">
          <cell r="A36" t="str">
            <v>PP</v>
          </cell>
        </row>
        <row r="37">
          <cell r="A37" t="str">
            <v>VV</v>
          </cell>
        </row>
        <row r="38">
          <cell r="A38" t="str">
            <v>VV</v>
          </cell>
        </row>
        <row r="39">
          <cell r="A39" t="str">
            <v>VV</v>
          </cell>
        </row>
        <row r="40">
          <cell r="A40" t="str">
            <v>VV</v>
          </cell>
        </row>
        <row r="41">
          <cell r="A41" t="str">
            <v>VV</v>
          </cell>
        </row>
        <row r="42">
          <cell r="A42" t="str">
            <v>TS</v>
          </cell>
        </row>
        <row r="43">
          <cell r="A43" t="str">
            <v>P</v>
          </cell>
          <cell r="O43">
            <v>0</v>
          </cell>
        </row>
        <row r="44">
          <cell r="A44" t="str">
            <v>PP</v>
          </cell>
        </row>
        <row r="45">
          <cell r="A45" t="str">
            <v>VV</v>
          </cell>
        </row>
        <row r="46">
          <cell r="A46" t="str">
            <v>VV</v>
          </cell>
        </row>
        <row r="47">
          <cell r="A47" t="str">
            <v>TS</v>
          </cell>
        </row>
        <row r="48">
          <cell r="A48" t="str">
            <v>P</v>
          </cell>
          <cell r="O48">
            <v>0</v>
          </cell>
        </row>
        <row r="49">
          <cell r="A49" t="str">
            <v>PP</v>
          </cell>
        </row>
        <row r="50">
          <cell r="A50" t="str">
            <v>VV</v>
          </cell>
        </row>
        <row r="51">
          <cell r="A51" t="str">
            <v>VV</v>
          </cell>
        </row>
        <row r="52">
          <cell r="A52" t="str">
            <v>TS</v>
          </cell>
        </row>
        <row r="53">
          <cell r="A53" t="str">
            <v>P</v>
          </cell>
          <cell r="O53">
            <v>0</v>
          </cell>
        </row>
        <row r="54">
          <cell r="A54" t="str">
            <v>PP</v>
          </cell>
        </row>
        <row r="55">
          <cell r="A55" t="str">
            <v>VV</v>
          </cell>
        </row>
        <row r="56">
          <cell r="A56" t="str">
            <v>VV</v>
          </cell>
        </row>
        <row r="57">
          <cell r="A57" t="str">
            <v>VV</v>
          </cell>
        </row>
        <row r="58">
          <cell r="A58" t="str">
            <v>TS</v>
          </cell>
        </row>
        <row r="59">
          <cell r="A59" t="str">
            <v>P</v>
          </cell>
          <cell r="O59">
            <v>0</v>
          </cell>
        </row>
        <row r="60">
          <cell r="A60" t="str">
            <v>PP</v>
          </cell>
        </row>
        <row r="61">
          <cell r="A61" t="str">
            <v>VV</v>
          </cell>
        </row>
        <row r="62">
          <cell r="A62" t="str">
            <v>VV</v>
          </cell>
        </row>
        <row r="63">
          <cell r="A63" t="str">
            <v>TS</v>
          </cell>
        </row>
        <row r="64">
          <cell r="A64" t="str">
            <v>P</v>
          </cell>
          <cell r="O64">
            <v>0</v>
          </cell>
        </row>
        <row r="65">
          <cell r="A65" t="str">
            <v>PP</v>
          </cell>
        </row>
        <row r="66">
          <cell r="A66" t="str">
            <v>VV</v>
          </cell>
        </row>
        <row r="67">
          <cell r="A67" t="str">
            <v>VV</v>
          </cell>
        </row>
        <row r="68">
          <cell r="A68" t="str">
            <v>VV</v>
          </cell>
        </row>
        <row r="69">
          <cell r="A69" t="str">
            <v>VV</v>
          </cell>
        </row>
        <row r="70">
          <cell r="A70" t="str">
            <v>TS</v>
          </cell>
        </row>
        <row r="71">
          <cell r="A71" t="str">
            <v>P</v>
          </cell>
          <cell r="O71">
            <v>0</v>
          </cell>
        </row>
        <row r="72">
          <cell r="A72" t="str">
            <v>PP</v>
          </cell>
        </row>
        <row r="73">
          <cell r="A73" t="str">
            <v>VV</v>
          </cell>
        </row>
        <row r="74">
          <cell r="A74" t="str">
            <v>VV</v>
          </cell>
        </row>
        <row r="75">
          <cell r="A75" t="str">
            <v>TS</v>
          </cell>
        </row>
        <row r="76">
          <cell r="A76" t="str">
            <v>SD</v>
          </cell>
        </row>
        <row r="77">
          <cell r="A77" t="str">
            <v>P</v>
          </cell>
          <cell r="O77">
            <v>0</v>
          </cell>
        </row>
        <row r="78">
          <cell r="A78" t="str">
            <v>PP</v>
          </cell>
        </row>
        <row r="79">
          <cell r="A79" t="str">
            <v>VV</v>
          </cell>
        </row>
        <row r="80">
          <cell r="A80" t="str">
            <v>VV</v>
          </cell>
        </row>
        <row r="81">
          <cell r="A81" t="str">
            <v>VV</v>
          </cell>
        </row>
        <row r="82">
          <cell r="A82" t="str">
            <v>VV</v>
          </cell>
        </row>
        <row r="83">
          <cell r="A83" t="str">
            <v>VV</v>
          </cell>
        </row>
        <row r="84">
          <cell r="A84" t="str">
            <v>TS</v>
          </cell>
        </row>
        <row r="85">
          <cell r="A85" t="str">
            <v>SD</v>
          </cell>
        </row>
        <row r="86">
          <cell r="A86" t="str">
            <v>P</v>
          </cell>
          <cell r="O86">
            <v>0</v>
          </cell>
        </row>
        <row r="87">
          <cell r="A87" t="str">
            <v>PP</v>
          </cell>
        </row>
        <row r="88">
          <cell r="A88" t="str">
            <v>VV</v>
          </cell>
        </row>
        <row r="89">
          <cell r="A89" t="str">
            <v>VV</v>
          </cell>
        </row>
        <row r="90">
          <cell r="A90" t="str">
            <v>VV</v>
          </cell>
        </row>
        <row r="91">
          <cell r="A91" t="str">
            <v>VV</v>
          </cell>
        </row>
        <row r="92">
          <cell r="A92" t="str">
            <v>VV</v>
          </cell>
        </row>
        <row r="93">
          <cell r="A93" t="str">
            <v>TS</v>
          </cell>
        </row>
        <row r="94">
          <cell r="A94" t="str">
            <v>P</v>
          </cell>
          <cell r="O94">
            <v>0</v>
          </cell>
        </row>
        <row r="95">
          <cell r="A95" t="str">
            <v>PP</v>
          </cell>
        </row>
        <row r="96">
          <cell r="A96" t="str">
            <v>VV</v>
          </cell>
        </row>
        <row r="97">
          <cell r="A97" t="str">
            <v>VV</v>
          </cell>
        </row>
        <row r="98">
          <cell r="A98" t="str">
            <v>VV</v>
          </cell>
        </row>
        <row r="99">
          <cell r="A99" t="str">
            <v>VV</v>
          </cell>
        </row>
        <row r="100">
          <cell r="A100" t="str">
            <v>VV</v>
          </cell>
        </row>
        <row r="101">
          <cell r="A101" t="str">
            <v>TS</v>
          </cell>
        </row>
        <row r="102">
          <cell r="A102" t="str">
            <v>P</v>
          </cell>
          <cell r="O102">
            <v>0</v>
          </cell>
        </row>
        <row r="103">
          <cell r="A103" t="str">
            <v>PP</v>
          </cell>
        </row>
        <row r="104">
          <cell r="A104" t="str">
            <v>VV</v>
          </cell>
        </row>
        <row r="105">
          <cell r="A105" t="str">
            <v>VV</v>
          </cell>
        </row>
        <row r="106">
          <cell r="A106" t="str">
            <v>VV</v>
          </cell>
        </row>
        <row r="107">
          <cell r="A107" t="str">
            <v>TS</v>
          </cell>
        </row>
      </sheetData>
      <sheetData sheetId="23">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TS</v>
          </cell>
        </row>
        <row r="18">
          <cell r="A18" t="str">
            <v>P</v>
          </cell>
          <cell r="O18">
            <v>0</v>
          </cell>
        </row>
        <row r="19">
          <cell r="A19" t="str">
            <v>PP</v>
          </cell>
        </row>
        <row r="20">
          <cell r="A20" t="str">
            <v>VV</v>
          </cell>
        </row>
        <row r="21">
          <cell r="A21" t="str">
            <v>VV</v>
          </cell>
        </row>
        <row r="22">
          <cell r="A22" t="str">
            <v>VV</v>
          </cell>
        </row>
        <row r="23">
          <cell r="A23" t="str">
            <v>VV</v>
          </cell>
        </row>
        <row r="24">
          <cell r="A24" t="str">
            <v>VV</v>
          </cell>
        </row>
        <row r="25">
          <cell r="A25" t="str">
            <v>TS</v>
          </cell>
        </row>
        <row r="26">
          <cell r="A26" t="str">
            <v>P</v>
          </cell>
          <cell r="O26">
            <v>0</v>
          </cell>
        </row>
        <row r="27">
          <cell r="A27" t="str">
            <v>PP</v>
          </cell>
        </row>
        <row r="28">
          <cell r="A28" t="str">
            <v>VV</v>
          </cell>
        </row>
        <row r="29">
          <cell r="A29" t="str">
            <v>VV</v>
          </cell>
        </row>
        <row r="30">
          <cell r="A30" t="str">
            <v>VV</v>
          </cell>
        </row>
        <row r="31">
          <cell r="A31" t="str">
            <v>TS</v>
          </cell>
        </row>
        <row r="32">
          <cell r="A32" t="str">
            <v>SD</v>
          </cell>
        </row>
        <row r="33">
          <cell r="A33" t="str">
            <v>P</v>
          </cell>
          <cell r="O33">
            <v>0</v>
          </cell>
        </row>
        <row r="34">
          <cell r="A34" t="str">
            <v>PP</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TS</v>
          </cell>
        </row>
        <row r="45">
          <cell r="A45" t="str">
            <v>P</v>
          </cell>
          <cell r="O45">
            <v>0</v>
          </cell>
        </row>
        <row r="46">
          <cell r="A46" t="str">
            <v>PP</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TS</v>
          </cell>
        </row>
        <row r="60">
          <cell r="A60" t="str">
            <v>P</v>
          </cell>
          <cell r="O60">
            <v>0</v>
          </cell>
        </row>
        <row r="61">
          <cell r="A61" t="str">
            <v>PP</v>
          </cell>
        </row>
        <row r="62">
          <cell r="A62" t="str">
            <v>VV</v>
          </cell>
        </row>
        <row r="63">
          <cell r="A63" t="str">
            <v>VV</v>
          </cell>
        </row>
        <row r="64">
          <cell r="A64" t="str">
            <v>VV</v>
          </cell>
        </row>
        <row r="65">
          <cell r="A65" t="str">
            <v>TS</v>
          </cell>
        </row>
        <row r="66">
          <cell r="A66" t="str">
            <v>P</v>
          </cell>
          <cell r="O66">
            <v>0</v>
          </cell>
        </row>
        <row r="67">
          <cell r="A67" t="str">
            <v>PP</v>
          </cell>
        </row>
        <row r="68">
          <cell r="A68" t="str">
            <v>VV</v>
          </cell>
        </row>
        <row r="69">
          <cell r="A69" t="str">
            <v>VV</v>
          </cell>
        </row>
        <row r="70">
          <cell r="A70" t="str">
            <v>VV</v>
          </cell>
        </row>
        <row r="71">
          <cell r="A71" t="str">
            <v>TS</v>
          </cell>
        </row>
        <row r="72">
          <cell r="A72" t="str">
            <v>P</v>
          </cell>
          <cell r="O72">
            <v>0</v>
          </cell>
        </row>
        <row r="73">
          <cell r="A73" t="str">
            <v>PP</v>
          </cell>
        </row>
        <row r="74">
          <cell r="A74" t="str">
            <v>VV</v>
          </cell>
        </row>
        <row r="75">
          <cell r="A75" t="str">
            <v>VV</v>
          </cell>
        </row>
        <row r="76">
          <cell r="A76" t="str">
            <v>VV</v>
          </cell>
        </row>
        <row r="77">
          <cell r="A77" t="str">
            <v>VV</v>
          </cell>
        </row>
        <row r="78">
          <cell r="A78" t="str">
            <v>VV</v>
          </cell>
        </row>
        <row r="79">
          <cell r="A79" t="str">
            <v>VV</v>
          </cell>
        </row>
        <row r="80">
          <cell r="A80" t="str">
            <v>VV</v>
          </cell>
        </row>
        <row r="81">
          <cell r="A81" t="str">
            <v>VV</v>
          </cell>
        </row>
        <row r="82">
          <cell r="A82" t="str">
            <v>TS</v>
          </cell>
        </row>
        <row r="83">
          <cell r="A83" t="str">
            <v>P</v>
          </cell>
          <cell r="O83">
            <v>0</v>
          </cell>
        </row>
        <row r="84">
          <cell r="A84" t="str">
            <v>PP</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TS</v>
          </cell>
        </row>
        <row r="95">
          <cell r="A95" t="str">
            <v>P</v>
          </cell>
          <cell r="O95">
            <v>0</v>
          </cell>
        </row>
        <row r="96">
          <cell r="A96" t="str">
            <v>PP</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TS</v>
          </cell>
        </row>
        <row r="107">
          <cell r="A107" t="str">
            <v>SD</v>
          </cell>
        </row>
        <row r="108">
          <cell r="A108" t="str">
            <v>P</v>
          </cell>
          <cell r="O108">
            <v>0</v>
          </cell>
        </row>
        <row r="109">
          <cell r="A109" t="str">
            <v>PP</v>
          </cell>
        </row>
        <row r="110">
          <cell r="A110" t="str">
            <v>VV</v>
          </cell>
        </row>
        <row r="111">
          <cell r="A111" t="str">
            <v>VV</v>
          </cell>
        </row>
        <row r="112">
          <cell r="A112" t="str">
            <v>VV</v>
          </cell>
        </row>
        <row r="113">
          <cell r="A113" t="str">
            <v>VV</v>
          </cell>
        </row>
        <row r="114">
          <cell r="A114" t="str">
            <v>VV</v>
          </cell>
        </row>
        <row r="115">
          <cell r="A115" t="str">
            <v>VV</v>
          </cell>
        </row>
        <row r="116">
          <cell r="A116" t="str">
            <v>TS</v>
          </cell>
        </row>
        <row r="117">
          <cell r="A117" t="str">
            <v>P</v>
          </cell>
          <cell r="O117">
            <v>0</v>
          </cell>
        </row>
        <row r="118">
          <cell r="A118" t="str">
            <v>PP</v>
          </cell>
        </row>
        <row r="119">
          <cell r="A119" t="str">
            <v>VV</v>
          </cell>
        </row>
        <row r="120">
          <cell r="A120" t="str">
            <v>VV</v>
          </cell>
        </row>
        <row r="121">
          <cell r="A121" t="str">
            <v>VV</v>
          </cell>
        </row>
        <row r="122">
          <cell r="A122" t="str">
            <v>VV</v>
          </cell>
        </row>
        <row r="123">
          <cell r="A123" t="str">
            <v>TS</v>
          </cell>
        </row>
        <row r="124">
          <cell r="A124" t="str">
            <v>P</v>
          </cell>
          <cell r="O124">
            <v>0</v>
          </cell>
        </row>
        <row r="125">
          <cell r="A125" t="str">
            <v>PP</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TS</v>
          </cell>
        </row>
      </sheetData>
      <sheetData sheetId="24">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VV</v>
          </cell>
        </row>
        <row r="15">
          <cell r="A15" t="str">
            <v>VV</v>
          </cell>
        </row>
        <row r="16">
          <cell r="A16" t="str">
            <v>VV</v>
          </cell>
        </row>
        <row r="17">
          <cell r="A17" t="str">
            <v>TS</v>
          </cell>
        </row>
        <row r="18">
          <cell r="A18" t="str">
            <v>P</v>
          </cell>
          <cell r="O18">
            <v>0</v>
          </cell>
        </row>
        <row r="19">
          <cell r="A19" t="str">
            <v>PP</v>
          </cell>
        </row>
        <row r="20">
          <cell r="A20" t="str">
            <v>VV</v>
          </cell>
        </row>
        <row r="21">
          <cell r="A21" t="str">
            <v>VV</v>
          </cell>
        </row>
        <row r="22">
          <cell r="A22" t="str">
            <v>VV</v>
          </cell>
        </row>
        <row r="23">
          <cell r="A23" t="str">
            <v>VV</v>
          </cell>
        </row>
        <row r="24">
          <cell r="A24" t="str">
            <v>VV</v>
          </cell>
        </row>
        <row r="25">
          <cell r="A25" t="str">
            <v>TS</v>
          </cell>
        </row>
        <row r="26">
          <cell r="A26" t="str">
            <v>SD</v>
          </cell>
        </row>
        <row r="27">
          <cell r="A27" t="str">
            <v>P</v>
          </cell>
          <cell r="O27">
            <v>0</v>
          </cell>
        </row>
        <row r="28">
          <cell r="A28" t="str">
            <v>PP</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TS</v>
          </cell>
        </row>
        <row r="45">
          <cell r="A45" t="str">
            <v>P</v>
          </cell>
          <cell r="O45">
            <v>0</v>
          </cell>
        </row>
        <row r="46">
          <cell r="A46" t="str">
            <v>PP</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TS</v>
          </cell>
        </row>
        <row r="62">
          <cell r="A62" t="str">
            <v>P</v>
          </cell>
          <cell r="O62">
            <v>0</v>
          </cell>
        </row>
        <row r="63">
          <cell r="A63" t="str">
            <v>PP</v>
          </cell>
        </row>
        <row r="64">
          <cell r="A64" t="str">
            <v>VV</v>
          </cell>
        </row>
        <row r="65">
          <cell r="A65" t="str">
            <v>VV</v>
          </cell>
        </row>
        <row r="66">
          <cell r="A66" t="str">
            <v>VV</v>
          </cell>
        </row>
        <row r="67">
          <cell r="A67" t="str">
            <v>TS</v>
          </cell>
        </row>
        <row r="68">
          <cell r="A68" t="str">
            <v>P</v>
          </cell>
          <cell r="O68">
            <v>0</v>
          </cell>
        </row>
        <row r="69">
          <cell r="A69" t="str">
            <v>PP</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VV</v>
          </cell>
        </row>
        <row r="79">
          <cell r="A79" t="str">
            <v>VV</v>
          </cell>
        </row>
        <row r="80">
          <cell r="A80" t="str">
            <v>TS</v>
          </cell>
        </row>
        <row r="81">
          <cell r="A81" t="str">
            <v>SD</v>
          </cell>
        </row>
        <row r="82">
          <cell r="A82" t="str">
            <v>P</v>
          </cell>
          <cell r="O82">
            <v>0</v>
          </cell>
        </row>
        <row r="83">
          <cell r="A83" t="str">
            <v>PP</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TS</v>
          </cell>
        </row>
        <row r="105">
          <cell r="A105" t="str">
            <v>P</v>
          </cell>
          <cell r="O105">
            <v>0</v>
          </cell>
        </row>
        <row r="106">
          <cell r="A106" t="str">
            <v>PP</v>
          </cell>
        </row>
        <row r="107">
          <cell r="A107" t="str">
            <v>VV</v>
          </cell>
        </row>
        <row r="108">
          <cell r="A108" t="str">
            <v>VV</v>
          </cell>
        </row>
        <row r="109">
          <cell r="A109" t="str">
            <v>TS</v>
          </cell>
        </row>
        <row r="110">
          <cell r="A110" t="str">
            <v>P</v>
          </cell>
          <cell r="O110">
            <v>0</v>
          </cell>
        </row>
        <row r="111">
          <cell r="A111" t="str">
            <v>PP</v>
          </cell>
        </row>
        <row r="112">
          <cell r="A112" t="str">
            <v>VV</v>
          </cell>
        </row>
        <row r="113">
          <cell r="A113" t="str">
            <v>VV</v>
          </cell>
        </row>
        <row r="114">
          <cell r="A114" t="str">
            <v>TS</v>
          </cell>
        </row>
      </sheetData>
      <sheetData sheetId="25">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TS</v>
          </cell>
        </row>
        <row r="28">
          <cell r="A28" t="str">
            <v>P</v>
          </cell>
          <cell r="O28">
            <v>0</v>
          </cell>
        </row>
        <row r="29">
          <cell r="A29" t="str">
            <v>PP</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TS</v>
          </cell>
        </row>
        <row r="47">
          <cell r="A47" t="str">
            <v>P</v>
          </cell>
          <cell r="O47">
            <v>0</v>
          </cell>
        </row>
        <row r="48">
          <cell r="A48" t="str">
            <v>PP</v>
          </cell>
        </row>
        <row r="49">
          <cell r="A49" t="str">
            <v>VV</v>
          </cell>
        </row>
        <row r="50">
          <cell r="A50" t="str">
            <v>TS</v>
          </cell>
        </row>
        <row r="51">
          <cell r="A51" t="str">
            <v>P</v>
          </cell>
          <cell r="O51">
            <v>0</v>
          </cell>
        </row>
        <row r="52">
          <cell r="A52" t="str">
            <v>PP</v>
          </cell>
        </row>
        <row r="53">
          <cell r="A53" t="str">
            <v>VV</v>
          </cell>
        </row>
        <row r="54">
          <cell r="A54" t="str">
            <v>VV</v>
          </cell>
        </row>
        <row r="55">
          <cell r="A55" t="str">
            <v>TS</v>
          </cell>
        </row>
        <row r="56">
          <cell r="A56" t="str">
            <v>P</v>
          </cell>
          <cell r="O56">
            <v>0</v>
          </cell>
        </row>
        <row r="57">
          <cell r="A57" t="str">
            <v>PP</v>
          </cell>
        </row>
        <row r="58">
          <cell r="A58" t="str">
            <v>VV</v>
          </cell>
        </row>
        <row r="59">
          <cell r="A59" t="str">
            <v>VV</v>
          </cell>
        </row>
        <row r="60">
          <cell r="A60" t="str">
            <v>TS</v>
          </cell>
        </row>
        <row r="61">
          <cell r="A61" t="str">
            <v>P</v>
          </cell>
          <cell r="O61">
            <v>0</v>
          </cell>
        </row>
        <row r="62">
          <cell r="A62" t="str">
            <v>PP</v>
          </cell>
        </row>
        <row r="63">
          <cell r="A63" t="str">
            <v>VV</v>
          </cell>
        </row>
        <row r="64">
          <cell r="A64" t="str">
            <v>VV</v>
          </cell>
        </row>
        <row r="65">
          <cell r="A65" t="str">
            <v>TS</v>
          </cell>
        </row>
        <row r="66">
          <cell r="A66" t="str">
            <v>P</v>
          </cell>
          <cell r="O66">
            <v>0</v>
          </cell>
        </row>
        <row r="67">
          <cell r="A67" t="str">
            <v>PP</v>
          </cell>
        </row>
        <row r="68">
          <cell r="A68" t="str">
            <v>VV</v>
          </cell>
        </row>
        <row r="69">
          <cell r="A69" t="str">
            <v>VV</v>
          </cell>
        </row>
        <row r="70">
          <cell r="A70" t="str">
            <v>TS</v>
          </cell>
        </row>
        <row r="71">
          <cell r="A71" t="str">
            <v>P</v>
          </cell>
          <cell r="O71">
            <v>0</v>
          </cell>
        </row>
        <row r="72">
          <cell r="A72" t="str">
            <v>PP</v>
          </cell>
        </row>
        <row r="73">
          <cell r="A73" t="str">
            <v>VV</v>
          </cell>
        </row>
        <row r="74">
          <cell r="A74" t="str">
            <v>VV</v>
          </cell>
        </row>
        <row r="75">
          <cell r="A75" t="str">
            <v>TS</v>
          </cell>
        </row>
        <row r="76">
          <cell r="A76" t="str">
            <v>P</v>
          </cell>
          <cell r="O76">
            <v>0</v>
          </cell>
        </row>
        <row r="77">
          <cell r="A77" t="str">
            <v>PP</v>
          </cell>
        </row>
        <row r="78">
          <cell r="A78" t="str">
            <v>VV</v>
          </cell>
        </row>
        <row r="79">
          <cell r="A79" t="str">
            <v>VV</v>
          </cell>
        </row>
        <row r="80">
          <cell r="A80" t="str">
            <v>TS</v>
          </cell>
        </row>
        <row r="81">
          <cell r="A81" t="str">
            <v>P</v>
          </cell>
          <cell r="O81">
            <v>0</v>
          </cell>
        </row>
        <row r="82">
          <cell r="A82" t="str">
            <v>PP</v>
          </cell>
        </row>
        <row r="83">
          <cell r="A83" t="str">
            <v>VV</v>
          </cell>
        </row>
        <row r="84">
          <cell r="A84" t="str">
            <v>VV</v>
          </cell>
        </row>
        <row r="85">
          <cell r="A85" t="str">
            <v>TS</v>
          </cell>
        </row>
        <row r="86">
          <cell r="A86" t="str">
            <v>P</v>
          </cell>
          <cell r="O86">
            <v>0</v>
          </cell>
        </row>
        <row r="87">
          <cell r="A87" t="str">
            <v>PP</v>
          </cell>
        </row>
        <row r="88">
          <cell r="A88" t="str">
            <v>VV</v>
          </cell>
        </row>
        <row r="89">
          <cell r="A89" t="str">
            <v>VV</v>
          </cell>
        </row>
        <row r="90">
          <cell r="A90" t="str">
            <v>TS</v>
          </cell>
        </row>
        <row r="91">
          <cell r="A91" t="str">
            <v>P</v>
          </cell>
          <cell r="O91">
            <v>0</v>
          </cell>
        </row>
        <row r="92">
          <cell r="A92" t="str">
            <v>PP</v>
          </cell>
        </row>
        <row r="93">
          <cell r="A93" t="str">
            <v>VV</v>
          </cell>
        </row>
        <row r="94">
          <cell r="A94" t="str">
            <v>VV</v>
          </cell>
        </row>
        <row r="95">
          <cell r="A95" t="str">
            <v>TS</v>
          </cell>
        </row>
        <row r="96">
          <cell r="A96" t="str">
            <v>P</v>
          </cell>
          <cell r="O96">
            <v>0</v>
          </cell>
        </row>
        <row r="97">
          <cell r="A97" t="str">
            <v>PP</v>
          </cell>
        </row>
        <row r="98">
          <cell r="A98" t="str">
            <v>VV</v>
          </cell>
        </row>
        <row r="99">
          <cell r="A99" t="str">
            <v>VV</v>
          </cell>
        </row>
        <row r="100">
          <cell r="A100" t="str">
            <v>VV</v>
          </cell>
        </row>
        <row r="101">
          <cell r="A101" t="str">
            <v>TS</v>
          </cell>
        </row>
        <row r="102">
          <cell r="A102" t="str">
            <v>P</v>
          </cell>
          <cell r="O102">
            <v>0</v>
          </cell>
        </row>
        <row r="103">
          <cell r="A103" t="str">
            <v>PP</v>
          </cell>
        </row>
        <row r="104">
          <cell r="A104" t="str">
            <v>VV</v>
          </cell>
        </row>
        <row r="105">
          <cell r="A105" t="str">
            <v>VV</v>
          </cell>
        </row>
        <row r="106">
          <cell r="A106" t="str">
            <v>VV</v>
          </cell>
        </row>
        <row r="107">
          <cell r="A107" t="str">
            <v>TS</v>
          </cell>
        </row>
        <row r="108">
          <cell r="A108" t="str">
            <v>P</v>
          </cell>
          <cell r="O108">
            <v>0</v>
          </cell>
        </row>
        <row r="109">
          <cell r="A109" t="str">
            <v>PP</v>
          </cell>
        </row>
        <row r="110">
          <cell r="A110" t="str">
            <v>VV</v>
          </cell>
        </row>
        <row r="111">
          <cell r="A111" t="str">
            <v>VV</v>
          </cell>
        </row>
        <row r="112">
          <cell r="A112" t="str">
            <v>VV</v>
          </cell>
        </row>
        <row r="113">
          <cell r="A113" t="str">
            <v>TS</v>
          </cell>
        </row>
      </sheetData>
      <sheetData sheetId="26">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TS</v>
          </cell>
        </row>
        <row r="102">
          <cell r="A102" t="str">
            <v>P</v>
          </cell>
          <cell r="O102">
            <v>0</v>
          </cell>
        </row>
        <row r="103">
          <cell r="A103" t="str">
            <v>PP</v>
          </cell>
        </row>
        <row r="104">
          <cell r="A104" t="str">
            <v>VV</v>
          </cell>
        </row>
        <row r="105">
          <cell r="A105" t="str">
            <v>VV</v>
          </cell>
        </row>
        <row r="106">
          <cell r="A106" t="str">
            <v>VV</v>
          </cell>
        </row>
        <row r="107">
          <cell r="A107" t="str">
            <v>VV</v>
          </cell>
        </row>
        <row r="108">
          <cell r="A108" t="str">
            <v>VV</v>
          </cell>
        </row>
        <row r="109">
          <cell r="A109" t="str">
            <v>VV</v>
          </cell>
        </row>
        <row r="110">
          <cell r="A110" t="str">
            <v>VV</v>
          </cell>
        </row>
        <row r="111">
          <cell r="A111" t="str">
            <v>VV</v>
          </cell>
        </row>
        <row r="112">
          <cell r="A112" t="str">
            <v>VV</v>
          </cell>
        </row>
        <row r="113">
          <cell r="A113" t="str">
            <v>VV</v>
          </cell>
        </row>
        <row r="114">
          <cell r="A114" t="str">
            <v>VV</v>
          </cell>
        </row>
        <row r="115">
          <cell r="A115" t="str">
            <v>VV</v>
          </cell>
        </row>
        <row r="116">
          <cell r="A116" t="str">
            <v>VV</v>
          </cell>
        </row>
        <row r="117">
          <cell r="A117" t="str">
            <v>TS</v>
          </cell>
        </row>
        <row r="118">
          <cell r="A118" t="str">
            <v>P</v>
          </cell>
          <cell r="O118">
            <v>0</v>
          </cell>
        </row>
        <row r="119">
          <cell r="A119" t="str">
            <v>PP</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TS</v>
          </cell>
        </row>
        <row r="134">
          <cell r="A134" t="str">
            <v>P</v>
          </cell>
          <cell r="O134">
            <v>0</v>
          </cell>
        </row>
        <row r="135">
          <cell r="A135" t="str">
            <v>PP</v>
          </cell>
        </row>
        <row r="136">
          <cell r="A136" t="str">
            <v>VV</v>
          </cell>
        </row>
        <row r="137">
          <cell r="A137" t="str">
            <v>VV</v>
          </cell>
        </row>
        <row r="138">
          <cell r="A138" t="str">
            <v>TS</v>
          </cell>
        </row>
        <row r="139">
          <cell r="A139" t="str">
            <v>P</v>
          </cell>
          <cell r="O139">
            <v>0</v>
          </cell>
        </row>
        <row r="140">
          <cell r="A140" t="str">
            <v>PP</v>
          </cell>
        </row>
        <row r="141">
          <cell r="A141" t="str">
            <v>VV</v>
          </cell>
        </row>
        <row r="142">
          <cell r="A142" t="str">
            <v>VV</v>
          </cell>
        </row>
        <row r="143">
          <cell r="A143" t="str">
            <v>VV</v>
          </cell>
        </row>
        <row r="144">
          <cell r="A144" t="str">
            <v>VV</v>
          </cell>
        </row>
        <row r="145">
          <cell r="A145" t="str">
            <v>VV</v>
          </cell>
        </row>
        <row r="146">
          <cell r="A146" t="str">
            <v>VV</v>
          </cell>
        </row>
        <row r="147">
          <cell r="A147" t="str">
            <v>VV</v>
          </cell>
        </row>
        <row r="148">
          <cell r="A148" t="str">
            <v>VV</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VV</v>
          </cell>
        </row>
        <row r="164">
          <cell r="A164" t="str">
            <v>VV</v>
          </cell>
        </row>
        <row r="165">
          <cell r="A165" t="str">
            <v>VV</v>
          </cell>
        </row>
        <row r="166">
          <cell r="A166" t="str">
            <v>VV</v>
          </cell>
        </row>
        <row r="167">
          <cell r="A167" t="str">
            <v>VV</v>
          </cell>
        </row>
        <row r="168">
          <cell r="A168" t="str">
            <v>VV</v>
          </cell>
        </row>
        <row r="169">
          <cell r="A169" t="str">
            <v>VV</v>
          </cell>
        </row>
        <row r="170">
          <cell r="A170" t="str">
            <v>VV</v>
          </cell>
        </row>
        <row r="171">
          <cell r="A171" t="str">
            <v>VV</v>
          </cell>
        </row>
        <row r="172">
          <cell r="A172" t="str">
            <v>VV</v>
          </cell>
        </row>
        <row r="173">
          <cell r="A173" t="str">
            <v>VV</v>
          </cell>
        </row>
        <row r="174">
          <cell r="A174" t="str">
            <v>VV</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VV</v>
          </cell>
        </row>
        <row r="185">
          <cell r="A185" t="str">
            <v>VV</v>
          </cell>
        </row>
        <row r="186">
          <cell r="A186" t="str">
            <v>VV</v>
          </cell>
        </row>
        <row r="187">
          <cell r="A187" t="str">
            <v>VV</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VV</v>
          </cell>
        </row>
        <row r="198">
          <cell r="A198" t="str">
            <v>VV</v>
          </cell>
        </row>
        <row r="199">
          <cell r="A199" t="str">
            <v>VV</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VV</v>
          </cell>
        </row>
        <row r="208">
          <cell r="A208" t="str">
            <v>VV</v>
          </cell>
        </row>
        <row r="209">
          <cell r="A209" t="str">
            <v>VV</v>
          </cell>
        </row>
        <row r="210">
          <cell r="A210" t="str">
            <v>VV</v>
          </cell>
        </row>
        <row r="211">
          <cell r="A211" t="str">
            <v>VV</v>
          </cell>
        </row>
        <row r="212">
          <cell r="A212" t="str">
            <v>VV</v>
          </cell>
        </row>
        <row r="213">
          <cell r="A213" t="str">
            <v>VV</v>
          </cell>
        </row>
        <row r="214">
          <cell r="A214" t="str">
            <v>VV</v>
          </cell>
        </row>
        <row r="215">
          <cell r="A215" t="str">
            <v>VV</v>
          </cell>
        </row>
        <row r="216">
          <cell r="A216" t="str">
            <v>VV</v>
          </cell>
        </row>
        <row r="217">
          <cell r="A217" t="str">
            <v>VV</v>
          </cell>
        </row>
        <row r="218">
          <cell r="A218" t="str">
            <v>VV</v>
          </cell>
        </row>
        <row r="219">
          <cell r="A219" t="str">
            <v>VV</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TS</v>
          </cell>
        </row>
        <row r="232">
          <cell r="A232" t="str">
            <v>P</v>
          </cell>
          <cell r="O232">
            <v>0</v>
          </cell>
        </row>
        <row r="233">
          <cell r="A233" t="str">
            <v>PP</v>
          </cell>
        </row>
        <row r="234">
          <cell r="A234" t="str">
            <v>VV</v>
          </cell>
        </row>
        <row r="235">
          <cell r="A235" t="str">
            <v>VV</v>
          </cell>
        </row>
        <row r="236">
          <cell r="A236" t="str">
            <v>VV</v>
          </cell>
        </row>
        <row r="237">
          <cell r="A237" t="str">
            <v>VV</v>
          </cell>
        </row>
        <row r="238">
          <cell r="A238" t="str">
            <v>VV</v>
          </cell>
        </row>
        <row r="239">
          <cell r="A239" t="str">
            <v>VV</v>
          </cell>
        </row>
        <row r="240">
          <cell r="A240" t="str">
            <v>VV</v>
          </cell>
        </row>
        <row r="241">
          <cell r="A241" t="str">
            <v>VV</v>
          </cell>
        </row>
        <row r="242">
          <cell r="A242" t="str">
            <v>VV</v>
          </cell>
        </row>
        <row r="243">
          <cell r="A243" t="str">
            <v>VV</v>
          </cell>
        </row>
        <row r="244">
          <cell r="A244" t="str">
            <v>VV</v>
          </cell>
        </row>
        <row r="245">
          <cell r="A245" t="str">
            <v>VV</v>
          </cell>
        </row>
        <row r="246">
          <cell r="A246" t="str">
            <v>VV</v>
          </cell>
        </row>
        <row r="247">
          <cell r="A247" t="str">
            <v>TS</v>
          </cell>
        </row>
        <row r="248">
          <cell r="A248" t="str">
            <v>P</v>
          </cell>
          <cell r="O248">
            <v>0</v>
          </cell>
        </row>
        <row r="249">
          <cell r="A249" t="str">
            <v>PP</v>
          </cell>
        </row>
        <row r="250">
          <cell r="A250" t="str">
            <v>VV</v>
          </cell>
        </row>
        <row r="251">
          <cell r="A251" t="str">
            <v>VV</v>
          </cell>
        </row>
        <row r="252">
          <cell r="A252" t="str">
            <v>TS</v>
          </cell>
        </row>
        <row r="253">
          <cell r="A253" t="str">
            <v>P</v>
          </cell>
          <cell r="O253">
            <v>0</v>
          </cell>
        </row>
        <row r="254">
          <cell r="A254" t="str">
            <v>PP</v>
          </cell>
        </row>
        <row r="255">
          <cell r="A255" t="str">
            <v>VV</v>
          </cell>
        </row>
        <row r="256">
          <cell r="A256" t="str">
            <v>VV</v>
          </cell>
        </row>
        <row r="257">
          <cell r="A257" t="str">
            <v>VV</v>
          </cell>
        </row>
        <row r="258">
          <cell r="A258" t="str">
            <v>VV</v>
          </cell>
        </row>
        <row r="259">
          <cell r="A259" t="str">
            <v>VV</v>
          </cell>
        </row>
        <row r="260">
          <cell r="A260" t="str">
            <v>VV</v>
          </cell>
        </row>
        <row r="261">
          <cell r="A261" t="str">
            <v>VV</v>
          </cell>
        </row>
        <row r="262">
          <cell r="A262" t="str">
            <v>VV</v>
          </cell>
        </row>
        <row r="263">
          <cell r="A263" t="str">
            <v>VV</v>
          </cell>
        </row>
        <row r="264">
          <cell r="A264" t="str">
            <v>VV</v>
          </cell>
        </row>
        <row r="265">
          <cell r="A265" t="str">
            <v>VV</v>
          </cell>
        </row>
        <row r="266">
          <cell r="A266" t="str">
            <v>VV</v>
          </cell>
        </row>
        <row r="267">
          <cell r="A267" t="str">
            <v>VV</v>
          </cell>
        </row>
        <row r="268">
          <cell r="A268" t="str">
            <v>VV</v>
          </cell>
        </row>
        <row r="269">
          <cell r="A269" t="str">
            <v>VV</v>
          </cell>
        </row>
        <row r="270">
          <cell r="A270" t="str">
            <v>VV</v>
          </cell>
        </row>
        <row r="271">
          <cell r="A271" t="str">
            <v>VV</v>
          </cell>
        </row>
        <row r="272">
          <cell r="A272" t="str">
            <v>TS</v>
          </cell>
        </row>
        <row r="273">
          <cell r="A273" t="str">
            <v>P</v>
          </cell>
          <cell r="O273">
            <v>0</v>
          </cell>
        </row>
        <row r="274">
          <cell r="A274" t="str">
            <v>PP</v>
          </cell>
        </row>
        <row r="275">
          <cell r="A275" t="str">
            <v>VV</v>
          </cell>
        </row>
        <row r="276">
          <cell r="A276" t="str">
            <v>VV</v>
          </cell>
        </row>
        <row r="277">
          <cell r="A277" t="str">
            <v>VV</v>
          </cell>
        </row>
        <row r="278">
          <cell r="A278" t="str">
            <v>VV</v>
          </cell>
        </row>
        <row r="279">
          <cell r="A279" t="str">
            <v>VV</v>
          </cell>
        </row>
        <row r="280">
          <cell r="A280" t="str">
            <v>VV</v>
          </cell>
        </row>
        <row r="281">
          <cell r="A281" t="str">
            <v>VV</v>
          </cell>
        </row>
        <row r="282">
          <cell r="A282" t="str">
            <v>VV</v>
          </cell>
        </row>
        <row r="283">
          <cell r="A283" t="str">
            <v>VV</v>
          </cell>
        </row>
        <row r="284">
          <cell r="A284" t="str">
            <v>VV</v>
          </cell>
        </row>
        <row r="285">
          <cell r="A285" t="str">
            <v>VV</v>
          </cell>
        </row>
        <row r="286">
          <cell r="A286" t="str">
            <v>VV</v>
          </cell>
        </row>
        <row r="287">
          <cell r="A287" t="str">
            <v>VV</v>
          </cell>
        </row>
        <row r="288">
          <cell r="A288" t="str">
            <v>VV</v>
          </cell>
        </row>
        <row r="289">
          <cell r="A289" t="str">
            <v>VV</v>
          </cell>
        </row>
        <row r="290">
          <cell r="A290" t="str">
            <v>VV</v>
          </cell>
        </row>
        <row r="291">
          <cell r="A291" t="str">
            <v>VV</v>
          </cell>
        </row>
        <row r="292">
          <cell r="A292" t="str">
            <v>VV</v>
          </cell>
        </row>
        <row r="293">
          <cell r="A293" t="str">
            <v>VV</v>
          </cell>
        </row>
        <row r="294">
          <cell r="A294" t="str">
            <v>VV</v>
          </cell>
        </row>
        <row r="295">
          <cell r="A295" t="str">
            <v>VV</v>
          </cell>
        </row>
        <row r="296">
          <cell r="A296" t="str">
            <v>VV</v>
          </cell>
        </row>
        <row r="297">
          <cell r="A297" t="str">
            <v>VV</v>
          </cell>
        </row>
        <row r="298">
          <cell r="A298" t="str">
            <v>VV</v>
          </cell>
        </row>
        <row r="299">
          <cell r="A299" t="str">
            <v>VV</v>
          </cell>
        </row>
        <row r="300">
          <cell r="A300" t="str">
            <v>VV</v>
          </cell>
        </row>
        <row r="301">
          <cell r="A301" t="str">
            <v>VV</v>
          </cell>
        </row>
        <row r="302">
          <cell r="A302" t="str">
            <v>VV</v>
          </cell>
        </row>
        <row r="303">
          <cell r="A303" t="str">
            <v>VV</v>
          </cell>
        </row>
        <row r="304">
          <cell r="A304" t="str">
            <v>VV</v>
          </cell>
        </row>
        <row r="305">
          <cell r="A305" t="str">
            <v>VV</v>
          </cell>
        </row>
        <row r="306">
          <cell r="A306" t="str">
            <v>VV</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VV</v>
          </cell>
        </row>
        <row r="320">
          <cell r="A320" t="str">
            <v>TS</v>
          </cell>
        </row>
        <row r="321">
          <cell r="A321" t="str">
            <v>P</v>
          </cell>
          <cell r="O321">
            <v>0</v>
          </cell>
        </row>
        <row r="322">
          <cell r="A322" t="str">
            <v>PP</v>
          </cell>
        </row>
        <row r="323">
          <cell r="A323" t="str">
            <v>VV</v>
          </cell>
        </row>
        <row r="324">
          <cell r="A324" t="str">
            <v>VV</v>
          </cell>
        </row>
        <row r="325">
          <cell r="A325" t="str">
            <v>VV</v>
          </cell>
        </row>
        <row r="326">
          <cell r="A326" t="str">
            <v>VV</v>
          </cell>
        </row>
        <row r="327">
          <cell r="A327" t="str">
            <v>VV</v>
          </cell>
        </row>
        <row r="328">
          <cell r="A328" t="str">
            <v>VV</v>
          </cell>
        </row>
        <row r="329">
          <cell r="A329" t="str">
            <v>VV</v>
          </cell>
        </row>
        <row r="330">
          <cell r="A330" t="str">
            <v>VV</v>
          </cell>
        </row>
        <row r="331">
          <cell r="A331" t="str">
            <v>VV</v>
          </cell>
        </row>
        <row r="332">
          <cell r="A332" t="str">
            <v>VV</v>
          </cell>
        </row>
        <row r="333">
          <cell r="A333" t="str">
            <v>VV</v>
          </cell>
        </row>
        <row r="334">
          <cell r="A334" t="str">
            <v>VV</v>
          </cell>
        </row>
        <row r="335">
          <cell r="A335" t="str">
            <v>VV</v>
          </cell>
        </row>
        <row r="336">
          <cell r="A336" t="str">
            <v>VV</v>
          </cell>
        </row>
        <row r="337">
          <cell r="A337" t="str">
            <v>VV</v>
          </cell>
        </row>
        <row r="338">
          <cell r="A338" t="str">
            <v>VV</v>
          </cell>
        </row>
        <row r="339">
          <cell r="A339" t="str">
            <v>VV</v>
          </cell>
        </row>
        <row r="340">
          <cell r="A340" t="str">
            <v>VV</v>
          </cell>
        </row>
        <row r="341">
          <cell r="A341" t="str">
            <v>VV</v>
          </cell>
        </row>
        <row r="342">
          <cell r="A342" t="str">
            <v>VV</v>
          </cell>
        </row>
        <row r="343">
          <cell r="A343" t="str">
            <v>VV</v>
          </cell>
        </row>
        <row r="344">
          <cell r="A344" t="str">
            <v>VV</v>
          </cell>
        </row>
        <row r="345">
          <cell r="A345" t="str">
            <v>VV</v>
          </cell>
        </row>
        <row r="346">
          <cell r="A346" t="str">
            <v>VV</v>
          </cell>
        </row>
        <row r="347">
          <cell r="A347" t="str">
            <v>VV</v>
          </cell>
        </row>
        <row r="348">
          <cell r="A348" t="str">
            <v>VV</v>
          </cell>
        </row>
        <row r="349">
          <cell r="A349" t="str">
            <v>VV</v>
          </cell>
        </row>
        <row r="350">
          <cell r="A350" t="str">
            <v>VV</v>
          </cell>
        </row>
        <row r="351">
          <cell r="A351" t="str">
            <v>VV</v>
          </cell>
        </row>
        <row r="352">
          <cell r="A352" t="str">
            <v>VV</v>
          </cell>
        </row>
        <row r="353">
          <cell r="A353" t="str">
            <v>VV</v>
          </cell>
        </row>
        <row r="354">
          <cell r="A354" t="str">
            <v>VV</v>
          </cell>
        </row>
        <row r="355">
          <cell r="A355" t="str">
            <v>TS</v>
          </cell>
        </row>
        <row r="356">
          <cell r="A356" t="str">
            <v>P</v>
          </cell>
          <cell r="O356">
            <v>0</v>
          </cell>
        </row>
        <row r="357">
          <cell r="A357" t="str">
            <v>PP</v>
          </cell>
        </row>
        <row r="358">
          <cell r="A358" t="str">
            <v>VV</v>
          </cell>
        </row>
        <row r="359">
          <cell r="A359" t="str">
            <v>VV</v>
          </cell>
        </row>
        <row r="360">
          <cell r="A360" t="str">
            <v>VV</v>
          </cell>
        </row>
        <row r="361">
          <cell r="A361" t="str">
            <v>VV</v>
          </cell>
        </row>
        <row r="362">
          <cell r="A362" t="str">
            <v>VV</v>
          </cell>
        </row>
        <row r="363">
          <cell r="A363" t="str">
            <v>VV</v>
          </cell>
        </row>
        <row r="364">
          <cell r="A364" t="str">
            <v>VV</v>
          </cell>
        </row>
        <row r="365">
          <cell r="A365" t="str">
            <v>VV</v>
          </cell>
        </row>
        <row r="366">
          <cell r="A366" t="str">
            <v>VV</v>
          </cell>
        </row>
        <row r="367">
          <cell r="A367" t="str">
            <v>VV</v>
          </cell>
        </row>
        <row r="368">
          <cell r="A368" t="str">
            <v>VV</v>
          </cell>
        </row>
        <row r="369">
          <cell r="A369" t="str">
            <v>VV</v>
          </cell>
        </row>
        <row r="370">
          <cell r="A370" t="str">
            <v>VV</v>
          </cell>
        </row>
        <row r="371">
          <cell r="A371" t="str">
            <v>VV</v>
          </cell>
        </row>
        <row r="372">
          <cell r="A372" t="str">
            <v>VV</v>
          </cell>
        </row>
        <row r="373">
          <cell r="A373" t="str">
            <v>VV</v>
          </cell>
        </row>
        <row r="374">
          <cell r="A374" t="str">
            <v>TS</v>
          </cell>
        </row>
        <row r="375">
          <cell r="A375" t="str">
            <v>P</v>
          </cell>
          <cell r="O375">
            <v>0</v>
          </cell>
        </row>
        <row r="376">
          <cell r="A376" t="str">
            <v>PP</v>
          </cell>
        </row>
        <row r="377">
          <cell r="A377" t="str">
            <v>VV</v>
          </cell>
        </row>
        <row r="378">
          <cell r="A378" t="str">
            <v>VV</v>
          </cell>
        </row>
        <row r="379">
          <cell r="A379" t="str">
            <v>VV</v>
          </cell>
        </row>
        <row r="380">
          <cell r="A380" t="str">
            <v>VV</v>
          </cell>
        </row>
        <row r="381">
          <cell r="A381" t="str">
            <v>VV</v>
          </cell>
        </row>
        <row r="382">
          <cell r="A382" t="str">
            <v>VV</v>
          </cell>
        </row>
        <row r="383">
          <cell r="A383" t="str">
            <v>VV</v>
          </cell>
        </row>
        <row r="384">
          <cell r="A384" t="str">
            <v>VV</v>
          </cell>
        </row>
        <row r="385">
          <cell r="A385" t="str">
            <v>VV</v>
          </cell>
        </row>
        <row r="386">
          <cell r="A386" t="str">
            <v>VV</v>
          </cell>
        </row>
        <row r="387">
          <cell r="A387" t="str">
            <v>VV</v>
          </cell>
        </row>
        <row r="388">
          <cell r="A388" t="str">
            <v>VV</v>
          </cell>
        </row>
        <row r="389">
          <cell r="A389" t="str">
            <v>VV</v>
          </cell>
        </row>
        <row r="390">
          <cell r="A390" t="str">
            <v>VV</v>
          </cell>
        </row>
        <row r="391">
          <cell r="A391" t="str">
            <v>VV</v>
          </cell>
        </row>
        <row r="392">
          <cell r="A392" t="str">
            <v>VV</v>
          </cell>
        </row>
        <row r="393">
          <cell r="A393" t="str">
            <v>VV</v>
          </cell>
        </row>
        <row r="394">
          <cell r="A394" t="str">
            <v>VV</v>
          </cell>
        </row>
        <row r="395">
          <cell r="A395" t="str">
            <v>VV</v>
          </cell>
        </row>
        <row r="396">
          <cell r="A396" t="str">
            <v>VV</v>
          </cell>
        </row>
        <row r="397">
          <cell r="A397" t="str">
            <v>VV</v>
          </cell>
        </row>
        <row r="398">
          <cell r="A398" t="str">
            <v>VV</v>
          </cell>
        </row>
        <row r="399">
          <cell r="A399" t="str">
            <v>VV</v>
          </cell>
        </row>
        <row r="400">
          <cell r="A400" t="str">
            <v>VV</v>
          </cell>
        </row>
        <row r="401">
          <cell r="A401" t="str">
            <v>VV</v>
          </cell>
        </row>
        <row r="402">
          <cell r="A402" t="str">
            <v>VV</v>
          </cell>
        </row>
        <row r="403">
          <cell r="A403" t="str">
            <v>VV</v>
          </cell>
        </row>
        <row r="404">
          <cell r="A404" t="str">
            <v>VV</v>
          </cell>
        </row>
        <row r="405">
          <cell r="A405" t="str">
            <v>VV</v>
          </cell>
        </row>
        <row r="406">
          <cell r="A406" t="str">
            <v>VV</v>
          </cell>
        </row>
        <row r="407">
          <cell r="A407" t="str">
            <v>VV</v>
          </cell>
        </row>
        <row r="408">
          <cell r="A408" t="str">
            <v>VV</v>
          </cell>
        </row>
        <row r="409">
          <cell r="A409" t="str">
            <v>VV</v>
          </cell>
        </row>
        <row r="410">
          <cell r="A410" t="str">
            <v>VV</v>
          </cell>
        </row>
        <row r="411">
          <cell r="A411" t="str">
            <v>VV</v>
          </cell>
        </row>
        <row r="412">
          <cell r="A412" t="str">
            <v>VV</v>
          </cell>
        </row>
        <row r="413">
          <cell r="A413" t="str">
            <v>VV</v>
          </cell>
        </row>
        <row r="414">
          <cell r="A414" t="str">
            <v>VV</v>
          </cell>
        </row>
        <row r="415">
          <cell r="A415" t="str">
            <v>VV</v>
          </cell>
        </row>
        <row r="416">
          <cell r="A416" t="str">
            <v>VV</v>
          </cell>
        </row>
        <row r="417">
          <cell r="A417" t="str">
            <v>VV</v>
          </cell>
        </row>
        <row r="418">
          <cell r="A418" t="str">
            <v>VV</v>
          </cell>
        </row>
        <row r="419">
          <cell r="A419" t="str">
            <v>VV</v>
          </cell>
        </row>
        <row r="420">
          <cell r="A420" t="str">
            <v>VV</v>
          </cell>
        </row>
        <row r="421">
          <cell r="A421" t="str">
            <v>VV</v>
          </cell>
        </row>
        <row r="422">
          <cell r="A422" t="str">
            <v>VV</v>
          </cell>
        </row>
        <row r="423">
          <cell r="A423" t="str">
            <v>VV</v>
          </cell>
        </row>
        <row r="424">
          <cell r="A424" t="str">
            <v>VV</v>
          </cell>
        </row>
        <row r="425">
          <cell r="A425" t="str">
            <v>VV</v>
          </cell>
        </row>
        <row r="426">
          <cell r="A426" t="str">
            <v>VV</v>
          </cell>
        </row>
        <row r="427">
          <cell r="A427" t="str">
            <v>VV</v>
          </cell>
        </row>
        <row r="428">
          <cell r="A428" t="str">
            <v>VV</v>
          </cell>
        </row>
        <row r="429">
          <cell r="A429" t="str">
            <v>VV</v>
          </cell>
        </row>
        <row r="430">
          <cell r="A430" t="str">
            <v>VV</v>
          </cell>
        </row>
        <row r="431">
          <cell r="A431" t="str">
            <v>VV</v>
          </cell>
        </row>
        <row r="432">
          <cell r="A432" t="str">
            <v>VV</v>
          </cell>
        </row>
        <row r="433">
          <cell r="A433" t="str">
            <v>VV</v>
          </cell>
        </row>
        <row r="434">
          <cell r="A434" t="str">
            <v>VV</v>
          </cell>
        </row>
        <row r="435">
          <cell r="A435" t="str">
            <v>VV</v>
          </cell>
        </row>
        <row r="436">
          <cell r="A436" t="str">
            <v>VV</v>
          </cell>
        </row>
        <row r="437">
          <cell r="A437" t="str">
            <v>VV</v>
          </cell>
        </row>
        <row r="438">
          <cell r="A438" t="str">
            <v>VV</v>
          </cell>
        </row>
        <row r="439">
          <cell r="A439" t="str">
            <v>VV</v>
          </cell>
        </row>
        <row r="440">
          <cell r="A440" t="str">
            <v>VV</v>
          </cell>
        </row>
        <row r="441">
          <cell r="A441" t="str">
            <v>VV</v>
          </cell>
        </row>
        <row r="442">
          <cell r="A442" t="str">
            <v>VV</v>
          </cell>
        </row>
        <row r="443">
          <cell r="A443" t="str">
            <v>VV</v>
          </cell>
        </row>
        <row r="444">
          <cell r="A444" t="str">
            <v>VV</v>
          </cell>
        </row>
        <row r="445">
          <cell r="A445" t="str">
            <v>VV</v>
          </cell>
        </row>
        <row r="446">
          <cell r="A446" t="str">
            <v>VV</v>
          </cell>
        </row>
        <row r="447">
          <cell r="A447" t="str">
            <v>VV</v>
          </cell>
        </row>
        <row r="448">
          <cell r="A448" t="str">
            <v>VV</v>
          </cell>
        </row>
        <row r="449">
          <cell r="A449" t="str">
            <v>VV</v>
          </cell>
        </row>
        <row r="450">
          <cell r="A450" t="str">
            <v>VV</v>
          </cell>
        </row>
        <row r="451">
          <cell r="A451" t="str">
            <v>VV</v>
          </cell>
        </row>
        <row r="452">
          <cell r="A452" t="str">
            <v>VV</v>
          </cell>
        </row>
        <row r="453">
          <cell r="A453" t="str">
            <v>VV</v>
          </cell>
        </row>
        <row r="454">
          <cell r="A454" t="str">
            <v>VV</v>
          </cell>
        </row>
        <row r="455">
          <cell r="A455" t="str">
            <v>VV</v>
          </cell>
        </row>
        <row r="456">
          <cell r="A456" t="str">
            <v>VV</v>
          </cell>
        </row>
        <row r="457">
          <cell r="A457" t="str">
            <v>VV</v>
          </cell>
        </row>
        <row r="458">
          <cell r="A458" t="str">
            <v>VV</v>
          </cell>
        </row>
        <row r="459">
          <cell r="A459" t="str">
            <v>VV</v>
          </cell>
        </row>
        <row r="460">
          <cell r="A460" t="str">
            <v>VV</v>
          </cell>
        </row>
        <row r="461">
          <cell r="A461" t="str">
            <v>VV</v>
          </cell>
        </row>
        <row r="462">
          <cell r="A462" t="str">
            <v>VV</v>
          </cell>
        </row>
        <row r="463">
          <cell r="A463" t="str">
            <v>VV</v>
          </cell>
        </row>
        <row r="464">
          <cell r="A464" t="str">
            <v>VV</v>
          </cell>
        </row>
        <row r="465">
          <cell r="A465" t="str">
            <v>VV</v>
          </cell>
        </row>
        <row r="466">
          <cell r="A466" t="str">
            <v>VV</v>
          </cell>
        </row>
        <row r="467">
          <cell r="A467" t="str">
            <v>VV</v>
          </cell>
        </row>
        <row r="468">
          <cell r="A468" t="str">
            <v>VV</v>
          </cell>
        </row>
        <row r="469">
          <cell r="A469" t="str">
            <v>VV</v>
          </cell>
        </row>
        <row r="470">
          <cell r="A470" t="str">
            <v>VV</v>
          </cell>
        </row>
        <row r="471">
          <cell r="A471" t="str">
            <v>VV</v>
          </cell>
        </row>
        <row r="472">
          <cell r="A472" t="str">
            <v>VV</v>
          </cell>
        </row>
        <row r="473">
          <cell r="A473" t="str">
            <v>VV</v>
          </cell>
        </row>
        <row r="474">
          <cell r="A474" t="str">
            <v>VV</v>
          </cell>
        </row>
        <row r="475">
          <cell r="A475" t="str">
            <v>VV</v>
          </cell>
        </row>
        <row r="476">
          <cell r="A476" t="str">
            <v>VV</v>
          </cell>
        </row>
        <row r="477">
          <cell r="A477" t="str">
            <v>VV</v>
          </cell>
        </row>
        <row r="478">
          <cell r="A478" t="str">
            <v>VV</v>
          </cell>
        </row>
        <row r="479">
          <cell r="A479" t="str">
            <v>VV</v>
          </cell>
        </row>
        <row r="480">
          <cell r="A480" t="str">
            <v>VV</v>
          </cell>
        </row>
        <row r="481">
          <cell r="A481" t="str">
            <v>VV</v>
          </cell>
        </row>
        <row r="482">
          <cell r="A482" t="str">
            <v>VV</v>
          </cell>
        </row>
        <row r="483">
          <cell r="A483" t="str">
            <v>VV</v>
          </cell>
        </row>
        <row r="484">
          <cell r="A484" t="str">
            <v>VV</v>
          </cell>
        </row>
        <row r="485">
          <cell r="A485" t="str">
            <v>VV</v>
          </cell>
        </row>
        <row r="486">
          <cell r="A486" t="str">
            <v>VV</v>
          </cell>
        </row>
        <row r="487">
          <cell r="A487" t="str">
            <v>VV</v>
          </cell>
        </row>
        <row r="488">
          <cell r="A488" t="str">
            <v>VV</v>
          </cell>
        </row>
        <row r="489">
          <cell r="A489" t="str">
            <v>VV</v>
          </cell>
        </row>
        <row r="490">
          <cell r="A490" t="str">
            <v>VV</v>
          </cell>
        </row>
        <row r="491">
          <cell r="A491" t="str">
            <v>VV</v>
          </cell>
        </row>
        <row r="492">
          <cell r="A492" t="str">
            <v>VV</v>
          </cell>
        </row>
        <row r="493">
          <cell r="A493" t="str">
            <v>VV</v>
          </cell>
        </row>
        <row r="494">
          <cell r="A494" t="str">
            <v>VV</v>
          </cell>
        </row>
        <row r="495">
          <cell r="A495" t="str">
            <v>VV</v>
          </cell>
        </row>
        <row r="496">
          <cell r="A496" t="str">
            <v>VV</v>
          </cell>
        </row>
        <row r="497">
          <cell r="A497" t="str">
            <v>VV</v>
          </cell>
        </row>
        <row r="498">
          <cell r="A498" t="str">
            <v>VV</v>
          </cell>
        </row>
        <row r="499">
          <cell r="A499" t="str">
            <v>VV</v>
          </cell>
        </row>
        <row r="500">
          <cell r="A500" t="str">
            <v>VV</v>
          </cell>
        </row>
        <row r="501">
          <cell r="A501" t="str">
            <v>VV</v>
          </cell>
        </row>
        <row r="502">
          <cell r="A502" t="str">
            <v>VV</v>
          </cell>
        </row>
        <row r="503">
          <cell r="A503" t="str">
            <v>VV</v>
          </cell>
        </row>
        <row r="504">
          <cell r="A504" t="str">
            <v>VV</v>
          </cell>
        </row>
        <row r="505">
          <cell r="A505" t="str">
            <v>VV</v>
          </cell>
        </row>
        <row r="506">
          <cell r="A506" t="str">
            <v>VV</v>
          </cell>
        </row>
        <row r="507">
          <cell r="A507" t="str">
            <v>VV</v>
          </cell>
        </row>
        <row r="508">
          <cell r="A508" t="str">
            <v>VV</v>
          </cell>
        </row>
        <row r="509">
          <cell r="A509" t="str">
            <v>VV</v>
          </cell>
        </row>
        <row r="510">
          <cell r="A510" t="str">
            <v>VV</v>
          </cell>
        </row>
        <row r="511">
          <cell r="A511" t="str">
            <v>VV</v>
          </cell>
        </row>
        <row r="512">
          <cell r="A512" t="str">
            <v>VV</v>
          </cell>
        </row>
        <row r="513">
          <cell r="A513" t="str">
            <v>VV</v>
          </cell>
        </row>
        <row r="514">
          <cell r="A514" t="str">
            <v>VV</v>
          </cell>
        </row>
        <row r="515">
          <cell r="A515" t="str">
            <v>VV</v>
          </cell>
        </row>
        <row r="516">
          <cell r="A516" t="str">
            <v>VV</v>
          </cell>
        </row>
        <row r="517">
          <cell r="A517" t="str">
            <v>VV</v>
          </cell>
        </row>
        <row r="518">
          <cell r="A518" t="str">
            <v>VV</v>
          </cell>
        </row>
        <row r="519">
          <cell r="A519" t="str">
            <v>VV</v>
          </cell>
        </row>
        <row r="520">
          <cell r="A520" t="str">
            <v>VV</v>
          </cell>
        </row>
        <row r="521">
          <cell r="A521" t="str">
            <v>VV</v>
          </cell>
        </row>
        <row r="522">
          <cell r="A522" t="str">
            <v>VV</v>
          </cell>
        </row>
        <row r="523">
          <cell r="A523" t="str">
            <v>VV</v>
          </cell>
        </row>
        <row r="524">
          <cell r="A524" t="str">
            <v>VV</v>
          </cell>
        </row>
        <row r="525">
          <cell r="A525" t="str">
            <v>VV</v>
          </cell>
        </row>
        <row r="526">
          <cell r="A526" t="str">
            <v>VV</v>
          </cell>
        </row>
        <row r="527">
          <cell r="A527" t="str">
            <v>VV</v>
          </cell>
        </row>
        <row r="528">
          <cell r="A528" t="str">
            <v>VV</v>
          </cell>
        </row>
        <row r="529">
          <cell r="A529" t="str">
            <v>VV</v>
          </cell>
        </row>
        <row r="530">
          <cell r="A530" t="str">
            <v>VV</v>
          </cell>
        </row>
        <row r="531">
          <cell r="A531" t="str">
            <v>VV</v>
          </cell>
        </row>
        <row r="532">
          <cell r="A532" t="str">
            <v>VV</v>
          </cell>
        </row>
        <row r="533">
          <cell r="A533" t="str">
            <v>VV</v>
          </cell>
        </row>
        <row r="534">
          <cell r="A534" t="str">
            <v>VV</v>
          </cell>
        </row>
        <row r="535">
          <cell r="A535" t="str">
            <v>VV</v>
          </cell>
        </row>
        <row r="536">
          <cell r="A536" t="str">
            <v>VV</v>
          </cell>
        </row>
        <row r="537">
          <cell r="A537" t="str">
            <v>VV</v>
          </cell>
        </row>
        <row r="538">
          <cell r="A538" t="str">
            <v>VV</v>
          </cell>
        </row>
        <row r="539">
          <cell r="A539" t="str">
            <v>VV</v>
          </cell>
        </row>
        <row r="540">
          <cell r="A540" t="str">
            <v>VV</v>
          </cell>
        </row>
        <row r="541">
          <cell r="A541" t="str">
            <v>VV</v>
          </cell>
        </row>
        <row r="542">
          <cell r="A542" t="str">
            <v>VV</v>
          </cell>
        </row>
        <row r="543">
          <cell r="A543" t="str">
            <v>VV</v>
          </cell>
        </row>
        <row r="544">
          <cell r="A544" t="str">
            <v>VV</v>
          </cell>
        </row>
        <row r="545">
          <cell r="A545" t="str">
            <v>VV</v>
          </cell>
        </row>
        <row r="546">
          <cell r="A546" t="str">
            <v>VV</v>
          </cell>
        </row>
        <row r="547">
          <cell r="A547" t="str">
            <v>VV</v>
          </cell>
        </row>
        <row r="548">
          <cell r="A548" t="str">
            <v>VV</v>
          </cell>
        </row>
        <row r="549">
          <cell r="A549" t="str">
            <v>VV</v>
          </cell>
        </row>
        <row r="550">
          <cell r="A550" t="str">
            <v>VV</v>
          </cell>
        </row>
        <row r="551">
          <cell r="A551" t="str">
            <v>VV</v>
          </cell>
        </row>
        <row r="552">
          <cell r="A552" t="str">
            <v>VV</v>
          </cell>
        </row>
        <row r="553">
          <cell r="A553" t="str">
            <v>VV</v>
          </cell>
        </row>
        <row r="554">
          <cell r="A554" t="str">
            <v>VV</v>
          </cell>
        </row>
        <row r="555">
          <cell r="A555" t="str">
            <v>VV</v>
          </cell>
        </row>
        <row r="556">
          <cell r="A556" t="str">
            <v>VV</v>
          </cell>
        </row>
        <row r="557">
          <cell r="A557" t="str">
            <v>VV</v>
          </cell>
        </row>
        <row r="558">
          <cell r="A558" t="str">
            <v>VV</v>
          </cell>
        </row>
        <row r="559">
          <cell r="A559" t="str">
            <v>VV</v>
          </cell>
        </row>
        <row r="560">
          <cell r="A560" t="str">
            <v>VV</v>
          </cell>
        </row>
        <row r="561">
          <cell r="A561" t="str">
            <v>VV</v>
          </cell>
        </row>
        <row r="562">
          <cell r="A562" t="str">
            <v>VV</v>
          </cell>
        </row>
        <row r="563">
          <cell r="A563" t="str">
            <v>VV</v>
          </cell>
        </row>
        <row r="564">
          <cell r="A564" t="str">
            <v>VV</v>
          </cell>
        </row>
        <row r="565">
          <cell r="A565" t="str">
            <v>VV</v>
          </cell>
        </row>
        <row r="566">
          <cell r="A566" t="str">
            <v>VV</v>
          </cell>
        </row>
        <row r="567">
          <cell r="A567" t="str">
            <v>VV</v>
          </cell>
        </row>
        <row r="568">
          <cell r="A568" t="str">
            <v>VV</v>
          </cell>
        </row>
        <row r="569">
          <cell r="A569" t="str">
            <v>VV</v>
          </cell>
        </row>
        <row r="570">
          <cell r="A570" t="str">
            <v>VV</v>
          </cell>
        </row>
        <row r="571">
          <cell r="A571" t="str">
            <v>VV</v>
          </cell>
        </row>
        <row r="572">
          <cell r="A572" t="str">
            <v>VV</v>
          </cell>
        </row>
        <row r="573">
          <cell r="A573" t="str">
            <v>VV</v>
          </cell>
        </row>
        <row r="574">
          <cell r="A574" t="str">
            <v>VV</v>
          </cell>
        </row>
        <row r="575">
          <cell r="A575" t="str">
            <v>VV</v>
          </cell>
        </row>
        <row r="576">
          <cell r="A576" t="str">
            <v>VV</v>
          </cell>
        </row>
        <row r="577">
          <cell r="A577" t="str">
            <v>VV</v>
          </cell>
        </row>
        <row r="578">
          <cell r="A578" t="str">
            <v>VV</v>
          </cell>
        </row>
        <row r="579">
          <cell r="A579" t="str">
            <v>VV</v>
          </cell>
        </row>
        <row r="580">
          <cell r="A580" t="str">
            <v>VV</v>
          </cell>
        </row>
        <row r="581">
          <cell r="A581" t="str">
            <v>VV</v>
          </cell>
        </row>
        <row r="582">
          <cell r="A582" t="str">
            <v>VV</v>
          </cell>
        </row>
        <row r="583">
          <cell r="A583" t="str">
            <v>VV</v>
          </cell>
        </row>
        <row r="584">
          <cell r="A584" t="str">
            <v>VV</v>
          </cell>
        </row>
        <row r="585">
          <cell r="A585" t="str">
            <v>VV</v>
          </cell>
        </row>
        <row r="586">
          <cell r="A586" t="str">
            <v>VV</v>
          </cell>
        </row>
        <row r="587">
          <cell r="A587" t="str">
            <v>VV</v>
          </cell>
        </row>
        <row r="588">
          <cell r="A588" t="str">
            <v>VV</v>
          </cell>
        </row>
        <row r="589">
          <cell r="A589" t="str">
            <v>VV</v>
          </cell>
        </row>
        <row r="590">
          <cell r="A590" t="str">
            <v>VV</v>
          </cell>
        </row>
        <row r="591">
          <cell r="A591" t="str">
            <v>VV</v>
          </cell>
        </row>
        <row r="592">
          <cell r="A592" t="str">
            <v>VV</v>
          </cell>
        </row>
        <row r="593">
          <cell r="A593" t="str">
            <v>VV</v>
          </cell>
        </row>
        <row r="594">
          <cell r="A594" t="str">
            <v>VV</v>
          </cell>
        </row>
        <row r="595">
          <cell r="A595" t="str">
            <v>VV</v>
          </cell>
        </row>
        <row r="596">
          <cell r="A596" t="str">
            <v>VV</v>
          </cell>
        </row>
        <row r="597">
          <cell r="A597" t="str">
            <v>VV</v>
          </cell>
        </row>
        <row r="598">
          <cell r="A598" t="str">
            <v>VV</v>
          </cell>
        </row>
        <row r="599">
          <cell r="A599" t="str">
            <v>VV</v>
          </cell>
        </row>
        <row r="600">
          <cell r="A600" t="str">
            <v>VV</v>
          </cell>
        </row>
        <row r="601">
          <cell r="A601" t="str">
            <v>VV</v>
          </cell>
        </row>
        <row r="602">
          <cell r="A602" t="str">
            <v>VV</v>
          </cell>
        </row>
        <row r="603">
          <cell r="A603" t="str">
            <v>VV</v>
          </cell>
        </row>
        <row r="604">
          <cell r="A604" t="str">
            <v>VV</v>
          </cell>
        </row>
        <row r="605">
          <cell r="A605" t="str">
            <v>VV</v>
          </cell>
        </row>
        <row r="606">
          <cell r="A606" t="str">
            <v>VV</v>
          </cell>
        </row>
        <row r="607">
          <cell r="A607" t="str">
            <v>VV</v>
          </cell>
        </row>
        <row r="608">
          <cell r="A608" t="str">
            <v>VV</v>
          </cell>
        </row>
        <row r="609">
          <cell r="A609" t="str">
            <v>VV</v>
          </cell>
        </row>
        <row r="610">
          <cell r="A610" t="str">
            <v>VV</v>
          </cell>
        </row>
        <row r="611">
          <cell r="A611" t="str">
            <v>VV</v>
          </cell>
        </row>
        <row r="612">
          <cell r="A612" t="str">
            <v>VV</v>
          </cell>
        </row>
        <row r="613">
          <cell r="A613" t="str">
            <v>VV</v>
          </cell>
        </row>
        <row r="614">
          <cell r="A614" t="str">
            <v>VV</v>
          </cell>
        </row>
        <row r="615">
          <cell r="A615" t="str">
            <v>VV</v>
          </cell>
        </row>
        <row r="616">
          <cell r="A616" t="str">
            <v>VV</v>
          </cell>
        </row>
        <row r="617">
          <cell r="A617" t="str">
            <v>VV</v>
          </cell>
        </row>
        <row r="618">
          <cell r="A618" t="str">
            <v>VV</v>
          </cell>
        </row>
        <row r="619">
          <cell r="A619" t="str">
            <v>VV</v>
          </cell>
        </row>
        <row r="620">
          <cell r="A620" t="str">
            <v>VV</v>
          </cell>
        </row>
        <row r="621">
          <cell r="A621" t="str">
            <v>VV</v>
          </cell>
        </row>
        <row r="622">
          <cell r="A622" t="str">
            <v>VV</v>
          </cell>
        </row>
        <row r="623">
          <cell r="A623" t="str">
            <v>VV</v>
          </cell>
        </row>
        <row r="624">
          <cell r="A624" t="str">
            <v>VV</v>
          </cell>
        </row>
        <row r="625">
          <cell r="A625" t="str">
            <v>VV</v>
          </cell>
        </row>
        <row r="626">
          <cell r="A626" t="str">
            <v>VV</v>
          </cell>
        </row>
        <row r="627">
          <cell r="A627" t="str">
            <v>VV</v>
          </cell>
        </row>
        <row r="628">
          <cell r="A628" t="str">
            <v>VV</v>
          </cell>
        </row>
        <row r="629">
          <cell r="A629" t="str">
            <v>VV</v>
          </cell>
        </row>
        <row r="630">
          <cell r="A630" t="str">
            <v>VV</v>
          </cell>
        </row>
        <row r="631">
          <cell r="A631" t="str">
            <v>VV</v>
          </cell>
        </row>
        <row r="632">
          <cell r="A632" t="str">
            <v>VV</v>
          </cell>
        </row>
        <row r="633">
          <cell r="A633" t="str">
            <v>VV</v>
          </cell>
        </row>
        <row r="634">
          <cell r="A634" t="str">
            <v>VV</v>
          </cell>
        </row>
        <row r="635">
          <cell r="A635" t="str">
            <v>VV</v>
          </cell>
        </row>
        <row r="636">
          <cell r="A636" t="str">
            <v>VV</v>
          </cell>
        </row>
        <row r="637">
          <cell r="A637" t="str">
            <v>VV</v>
          </cell>
        </row>
        <row r="638">
          <cell r="A638" t="str">
            <v>VV</v>
          </cell>
        </row>
        <row r="639">
          <cell r="A639" t="str">
            <v>VV</v>
          </cell>
        </row>
        <row r="640">
          <cell r="A640" t="str">
            <v>VV</v>
          </cell>
        </row>
        <row r="641">
          <cell r="A641" t="str">
            <v>VV</v>
          </cell>
        </row>
        <row r="642">
          <cell r="A642" t="str">
            <v>VV</v>
          </cell>
        </row>
        <row r="643">
          <cell r="A643" t="str">
            <v>VV</v>
          </cell>
        </row>
        <row r="644">
          <cell r="A644" t="str">
            <v>VV</v>
          </cell>
        </row>
        <row r="645">
          <cell r="A645" t="str">
            <v>VV</v>
          </cell>
        </row>
        <row r="646">
          <cell r="A646" t="str">
            <v>VV</v>
          </cell>
        </row>
        <row r="647">
          <cell r="A647" t="str">
            <v>VV</v>
          </cell>
        </row>
        <row r="648">
          <cell r="A648" t="str">
            <v>VV</v>
          </cell>
        </row>
        <row r="649">
          <cell r="A649" t="str">
            <v>VV</v>
          </cell>
        </row>
        <row r="650">
          <cell r="A650" t="str">
            <v>VV</v>
          </cell>
        </row>
        <row r="651">
          <cell r="A651" t="str">
            <v>VV</v>
          </cell>
        </row>
        <row r="652">
          <cell r="A652" t="str">
            <v>VV</v>
          </cell>
        </row>
        <row r="653">
          <cell r="A653" t="str">
            <v>VV</v>
          </cell>
        </row>
        <row r="654">
          <cell r="A654" t="str">
            <v>VV</v>
          </cell>
        </row>
        <row r="655">
          <cell r="A655" t="str">
            <v>VV</v>
          </cell>
        </row>
        <row r="656">
          <cell r="A656" t="str">
            <v>VV</v>
          </cell>
        </row>
        <row r="657">
          <cell r="A657" t="str">
            <v>VV</v>
          </cell>
        </row>
        <row r="658">
          <cell r="A658" t="str">
            <v>VV</v>
          </cell>
        </row>
        <row r="659">
          <cell r="A659" t="str">
            <v>VV</v>
          </cell>
        </row>
        <row r="660">
          <cell r="A660" t="str">
            <v>VV</v>
          </cell>
        </row>
        <row r="661">
          <cell r="A661" t="str">
            <v>VV</v>
          </cell>
        </row>
        <row r="662">
          <cell r="A662" t="str">
            <v>VV</v>
          </cell>
        </row>
        <row r="663">
          <cell r="A663" t="str">
            <v>VV</v>
          </cell>
        </row>
        <row r="664">
          <cell r="A664" t="str">
            <v>VV</v>
          </cell>
        </row>
        <row r="665">
          <cell r="A665" t="str">
            <v>VV</v>
          </cell>
        </row>
        <row r="666">
          <cell r="A666" t="str">
            <v>VV</v>
          </cell>
        </row>
        <row r="667">
          <cell r="A667" t="str">
            <v>VV</v>
          </cell>
        </row>
        <row r="668">
          <cell r="A668" t="str">
            <v>VV</v>
          </cell>
        </row>
        <row r="669">
          <cell r="A669" t="str">
            <v>VV</v>
          </cell>
        </row>
        <row r="670">
          <cell r="A670" t="str">
            <v>VV</v>
          </cell>
        </row>
        <row r="671">
          <cell r="A671" t="str">
            <v>VV</v>
          </cell>
        </row>
        <row r="672">
          <cell r="A672" t="str">
            <v>VV</v>
          </cell>
        </row>
        <row r="673">
          <cell r="A673" t="str">
            <v>VV</v>
          </cell>
        </row>
        <row r="674">
          <cell r="A674" t="str">
            <v>VV</v>
          </cell>
        </row>
        <row r="675">
          <cell r="A675" t="str">
            <v>VV</v>
          </cell>
        </row>
        <row r="676">
          <cell r="A676" t="str">
            <v>VV</v>
          </cell>
        </row>
        <row r="677">
          <cell r="A677" t="str">
            <v>VV</v>
          </cell>
        </row>
        <row r="678">
          <cell r="A678" t="str">
            <v>VV</v>
          </cell>
        </row>
        <row r="679">
          <cell r="A679" t="str">
            <v>VV</v>
          </cell>
        </row>
        <row r="680">
          <cell r="A680" t="str">
            <v>VV</v>
          </cell>
        </row>
        <row r="681">
          <cell r="A681" t="str">
            <v>VV</v>
          </cell>
        </row>
        <row r="682">
          <cell r="A682" t="str">
            <v>VV</v>
          </cell>
        </row>
        <row r="683">
          <cell r="A683" t="str">
            <v>VV</v>
          </cell>
        </row>
        <row r="684">
          <cell r="A684" t="str">
            <v>VV</v>
          </cell>
        </row>
        <row r="685">
          <cell r="A685" t="str">
            <v>VV</v>
          </cell>
        </row>
        <row r="686">
          <cell r="A686" t="str">
            <v>VV</v>
          </cell>
        </row>
        <row r="687">
          <cell r="A687" t="str">
            <v>VV</v>
          </cell>
        </row>
        <row r="688">
          <cell r="A688" t="str">
            <v>VV</v>
          </cell>
        </row>
        <row r="689">
          <cell r="A689" t="str">
            <v>VV</v>
          </cell>
        </row>
        <row r="690">
          <cell r="A690" t="str">
            <v>VV</v>
          </cell>
        </row>
        <row r="691">
          <cell r="A691" t="str">
            <v>VV</v>
          </cell>
        </row>
        <row r="692">
          <cell r="A692" t="str">
            <v>VV</v>
          </cell>
        </row>
        <row r="693">
          <cell r="A693" t="str">
            <v>VV</v>
          </cell>
        </row>
        <row r="694">
          <cell r="A694" t="str">
            <v>VV</v>
          </cell>
        </row>
        <row r="695">
          <cell r="A695" t="str">
            <v>VV</v>
          </cell>
        </row>
        <row r="696">
          <cell r="A696" t="str">
            <v>VV</v>
          </cell>
        </row>
        <row r="697">
          <cell r="A697" t="str">
            <v>VV</v>
          </cell>
        </row>
        <row r="698">
          <cell r="A698" t="str">
            <v>VV</v>
          </cell>
        </row>
        <row r="699">
          <cell r="A699" t="str">
            <v>VV</v>
          </cell>
        </row>
        <row r="700">
          <cell r="A700" t="str">
            <v>VV</v>
          </cell>
        </row>
        <row r="701">
          <cell r="A701" t="str">
            <v>VV</v>
          </cell>
        </row>
        <row r="702">
          <cell r="A702" t="str">
            <v>VV</v>
          </cell>
        </row>
        <row r="703">
          <cell r="A703" t="str">
            <v>VV</v>
          </cell>
        </row>
        <row r="704">
          <cell r="A704" t="str">
            <v>VV</v>
          </cell>
        </row>
        <row r="705">
          <cell r="A705" t="str">
            <v>VV</v>
          </cell>
        </row>
        <row r="706">
          <cell r="A706" t="str">
            <v>VV</v>
          </cell>
        </row>
        <row r="707">
          <cell r="A707" t="str">
            <v>VV</v>
          </cell>
        </row>
        <row r="708">
          <cell r="A708" t="str">
            <v>VV</v>
          </cell>
        </row>
        <row r="709">
          <cell r="A709" t="str">
            <v>VV</v>
          </cell>
        </row>
        <row r="710">
          <cell r="A710" t="str">
            <v>VV</v>
          </cell>
        </row>
        <row r="711">
          <cell r="A711" t="str">
            <v>VV</v>
          </cell>
        </row>
        <row r="712">
          <cell r="A712" t="str">
            <v>VV</v>
          </cell>
        </row>
        <row r="713">
          <cell r="A713" t="str">
            <v>VV</v>
          </cell>
        </row>
        <row r="714">
          <cell r="A714" t="str">
            <v>VV</v>
          </cell>
        </row>
        <row r="715">
          <cell r="A715" t="str">
            <v>VV</v>
          </cell>
        </row>
        <row r="716">
          <cell r="A716" t="str">
            <v>VV</v>
          </cell>
        </row>
        <row r="717">
          <cell r="A717" t="str">
            <v>VV</v>
          </cell>
        </row>
        <row r="718">
          <cell r="A718" t="str">
            <v>VV</v>
          </cell>
        </row>
        <row r="719">
          <cell r="A719" t="str">
            <v>VV</v>
          </cell>
        </row>
        <row r="720">
          <cell r="A720" t="str">
            <v>VV</v>
          </cell>
        </row>
        <row r="721">
          <cell r="A721" t="str">
            <v>VV</v>
          </cell>
        </row>
        <row r="722">
          <cell r="A722" t="str">
            <v>VV</v>
          </cell>
        </row>
        <row r="723">
          <cell r="A723" t="str">
            <v>VV</v>
          </cell>
        </row>
        <row r="724">
          <cell r="A724" t="str">
            <v>VV</v>
          </cell>
        </row>
        <row r="725">
          <cell r="A725" t="str">
            <v>VV</v>
          </cell>
        </row>
        <row r="726">
          <cell r="A726" t="str">
            <v>VV</v>
          </cell>
        </row>
        <row r="727">
          <cell r="A727" t="str">
            <v>VV</v>
          </cell>
        </row>
        <row r="728">
          <cell r="A728" t="str">
            <v>VV</v>
          </cell>
        </row>
        <row r="729">
          <cell r="A729" t="str">
            <v>VV</v>
          </cell>
        </row>
        <row r="730">
          <cell r="A730" t="str">
            <v>VV</v>
          </cell>
        </row>
        <row r="731">
          <cell r="A731" t="str">
            <v>VV</v>
          </cell>
        </row>
        <row r="732">
          <cell r="A732" t="str">
            <v>VV</v>
          </cell>
        </row>
        <row r="733">
          <cell r="A733" t="str">
            <v>VV</v>
          </cell>
        </row>
        <row r="734">
          <cell r="A734" t="str">
            <v>VV</v>
          </cell>
        </row>
        <row r="735">
          <cell r="A735" t="str">
            <v>VV</v>
          </cell>
        </row>
        <row r="736">
          <cell r="A736" t="str">
            <v>VV</v>
          </cell>
        </row>
        <row r="737">
          <cell r="A737" t="str">
            <v>VV</v>
          </cell>
        </row>
        <row r="738">
          <cell r="A738" t="str">
            <v>VV</v>
          </cell>
        </row>
        <row r="739">
          <cell r="A739" t="str">
            <v>VV</v>
          </cell>
        </row>
        <row r="740">
          <cell r="A740" t="str">
            <v>VV</v>
          </cell>
        </row>
        <row r="741">
          <cell r="A741" t="str">
            <v>VV</v>
          </cell>
        </row>
        <row r="742">
          <cell r="A742" t="str">
            <v>VV</v>
          </cell>
        </row>
        <row r="743">
          <cell r="A743" t="str">
            <v>VV</v>
          </cell>
        </row>
        <row r="744">
          <cell r="A744" t="str">
            <v>VV</v>
          </cell>
        </row>
        <row r="745">
          <cell r="A745" t="str">
            <v>VV</v>
          </cell>
        </row>
        <row r="746">
          <cell r="A746" t="str">
            <v>VV</v>
          </cell>
        </row>
        <row r="747">
          <cell r="A747" t="str">
            <v>VV</v>
          </cell>
        </row>
        <row r="748">
          <cell r="A748" t="str">
            <v>VV</v>
          </cell>
        </row>
        <row r="749">
          <cell r="A749" t="str">
            <v>VV</v>
          </cell>
        </row>
        <row r="750">
          <cell r="A750" t="str">
            <v>VV</v>
          </cell>
        </row>
        <row r="751">
          <cell r="A751" t="str">
            <v>VV</v>
          </cell>
        </row>
        <row r="752">
          <cell r="A752" t="str">
            <v>VV</v>
          </cell>
        </row>
        <row r="753">
          <cell r="A753" t="str">
            <v>VV</v>
          </cell>
        </row>
        <row r="754">
          <cell r="A754" t="str">
            <v>VV</v>
          </cell>
        </row>
        <row r="755">
          <cell r="A755" t="str">
            <v>VV</v>
          </cell>
        </row>
        <row r="756">
          <cell r="A756" t="str">
            <v>VV</v>
          </cell>
        </row>
        <row r="757">
          <cell r="A757" t="str">
            <v>VV</v>
          </cell>
        </row>
        <row r="758">
          <cell r="A758" t="str">
            <v>VV</v>
          </cell>
        </row>
        <row r="759">
          <cell r="A759" t="str">
            <v>VV</v>
          </cell>
        </row>
        <row r="760">
          <cell r="A760" t="str">
            <v>VV</v>
          </cell>
        </row>
        <row r="761">
          <cell r="A761" t="str">
            <v>VV</v>
          </cell>
        </row>
        <row r="762">
          <cell r="A762" t="str">
            <v>VV</v>
          </cell>
        </row>
        <row r="763">
          <cell r="A763" t="str">
            <v>VV</v>
          </cell>
        </row>
        <row r="764">
          <cell r="A764" t="str">
            <v>VV</v>
          </cell>
        </row>
        <row r="765">
          <cell r="A765" t="str">
            <v>VV</v>
          </cell>
        </row>
        <row r="766">
          <cell r="A766" t="str">
            <v>VV</v>
          </cell>
        </row>
        <row r="767">
          <cell r="A767" t="str">
            <v>VV</v>
          </cell>
        </row>
        <row r="768">
          <cell r="A768" t="str">
            <v>VV</v>
          </cell>
        </row>
        <row r="769">
          <cell r="A769" t="str">
            <v>VV</v>
          </cell>
        </row>
        <row r="770">
          <cell r="A770" t="str">
            <v>VV</v>
          </cell>
        </row>
        <row r="771">
          <cell r="A771" t="str">
            <v>VV</v>
          </cell>
        </row>
        <row r="772">
          <cell r="A772" t="str">
            <v>VV</v>
          </cell>
        </row>
        <row r="773">
          <cell r="A773" t="str">
            <v>VV</v>
          </cell>
        </row>
        <row r="774">
          <cell r="A774" t="str">
            <v>VV</v>
          </cell>
        </row>
        <row r="775">
          <cell r="A775" t="str">
            <v>VV</v>
          </cell>
        </row>
        <row r="776">
          <cell r="A776" t="str">
            <v>VV</v>
          </cell>
        </row>
        <row r="777">
          <cell r="A777" t="str">
            <v>VV</v>
          </cell>
        </row>
        <row r="778">
          <cell r="A778" t="str">
            <v>VV</v>
          </cell>
        </row>
        <row r="779">
          <cell r="A779" t="str">
            <v>VV</v>
          </cell>
        </row>
        <row r="780">
          <cell r="A780" t="str">
            <v>VV</v>
          </cell>
        </row>
        <row r="781">
          <cell r="A781" t="str">
            <v>VV</v>
          </cell>
        </row>
        <row r="782">
          <cell r="A782" t="str">
            <v>VV</v>
          </cell>
        </row>
        <row r="783">
          <cell r="A783" t="str">
            <v>VV</v>
          </cell>
        </row>
        <row r="784">
          <cell r="A784" t="str">
            <v>VV</v>
          </cell>
        </row>
        <row r="785">
          <cell r="A785" t="str">
            <v>VV</v>
          </cell>
        </row>
        <row r="786">
          <cell r="A786" t="str">
            <v>VV</v>
          </cell>
        </row>
        <row r="787">
          <cell r="A787" t="str">
            <v>VV</v>
          </cell>
        </row>
        <row r="788">
          <cell r="A788" t="str">
            <v>VV</v>
          </cell>
        </row>
        <row r="789">
          <cell r="A789" t="str">
            <v>VV</v>
          </cell>
        </row>
        <row r="790">
          <cell r="A790" t="str">
            <v>VV</v>
          </cell>
        </row>
        <row r="791">
          <cell r="A791" t="str">
            <v>VV</v>
          </cell>
        </row>
        <row r="792">
          <cell r="A792" t="str">
            <v>VV</v>
          </cell>
        </row>
        <row r="793">
          <cell r="A793" t="str">
            <v>VV</v>
          </cell>
        </row>
        <row r="794">
          <cell r="A794" t="str">
            <v>VV</v>
          </cell>
        </row>
        <row r="795">
          <cell r="A795" t="str">
            <v>VV</v>
          </cell>
        </row>
        <row r="796">
          <cell r="A796" t="str">
            <v>VV</v>
          </cell>
        </row>
        <row r="797">
          <cell r="A797" t="str">
            <v>VV</v>
          </cell>
        </row>
        <row r="798">
          <cell r="A798" t="str">
            <v>VV</v>
          </cell>
        </row>
        <row r="799">
          <cell r="A799" t="str">
            <v>VV</v>
          </cell>
        </row>
        <row r="800">
          <cell r="A800" t="str">
            <v>VV</v>
          </cell>
        </row>
        <row r="801">
          <cell r="A801" t="str">
            <v>VV</v>
          </cell>
        </row>
        <row r="802">
          <cell r="A802" t="str">
            <v>VV</v>
          </cell>
        </row>
        <row r="803">
          <cell r="A803" t="str">
            <v>VV</v>
          </cell>
        </row>
        <row r="804">
          <cell r="A804" t="str">
            <v>VV</v>
          </cell>
        </row>
        <row r="805">
          <cell r="A805" t="str">
            <v>VV</v>
          </cell>
        </row>
        <row r="806">
          <cell r="A806" t="str">
            <v>VV</v>
          </cell>
        </row>
        <row r="807">
          <cell r="A807" t="str">
            <v>VV</v>
          </cell>
        </row>
        <row r="808">
          <cell r="A808" t="str">
            <v>VV</v>
          </cell>
        </row>
        <row r="809">
          <cell r="A809" t="str">
            <v>VV</v>
          </cell>
        </row>
        <row r="810">
          <cell r="A810" t="str">
            <v>VV</v>
          </cell>
        </row>
        <row r="811">
          <cell r="A811" t="str">
            <v>VV</v>
          </cell>
        </row>
        <row r="812">
          <cell r="A812" t="str">
            <v>VV</v>
          </cell>
        </row>
        <row r="813">
          <cell r="A813" t="str">
            <v>VV</v>
          </cell>
        </row>
        <row r="814">
          <cell r="A814" t="str">
            <v>VV</v>
          </cell>
        </row>
        <row r="815">
          <cell r="A815" t="str">
            <v>VV</v>
          </cell>
        </row>
        <row r="816">
          <cell r="A816" t="str">
            <v>VV</v>
          </cell>
        </row>
        <row r="817">
          <cell r="A817" t="str">
            <v>VV</v>
          </cell>
        </row>
        <row r="818">
          <cell r="A818" t="str">
            <v>VV</v>
          </cell>
        </row>
        <row r="819">
          <cell r="A819" t="str">
            <v>VV</v>
          </cell>
        </row>
        <row r="820">
          <cell r="A820" t="str">
            <v>VV</v>
          </cell>
        </row>
        <row r="821">
          <cell r="A821" t="str">
            <v>VV</v>
          </cell>
        </row>
        <row r="822">
          <cell r="A822" t="str">
            <v>VV</v>
          </cell>
        </row>
        <row r="823">
          <cell r="A823" t="str">
            <v>VV</v>
          </cell>
        </row>
        <row r="824">
          <cell r="A824" t="str">
            <v>VV</v>
          </cell>
        </row>
        <row r="825">
          <cell r="A825" t="str">
            <v>VV</v>
          </cell>
        </row>
        <row r="826">
          <cell r="A826" t="str">
            <v>VV</v>
          </cell>
        </row>
        <row r="827">
          <cell r="A827" t="str">
            <v>VV</v>
          </cell>
        </row>
        <row r="828">
          <cell r="A828" t="str">
            <v>VV</v>
          </cell>
        </row>
        <row r="829">
          <cell r="A829" t="str">
            <v>VV</v>
          </cell>
        </row>
        <row r="830">
          <cell r="A830" t="str">
            <v>VV</v>
          </cell>
        </row>
        <row r="831">
          <cell r="A831" t="str">
            <v>VV</v>
          </cell>
        </row>
        <row r="832">
          <cell r="A832" t="str">
            <v>VV</v>
          </cell>
        </row>
        <row r="833">
          <cell r="A833" t="str">
            <v>VV</v>
          </cell>
        </row>
        <row r="834">
          <cell r="A834" t="str">
            <v>VV</v>
          </cell>
        </row>
        <row r="835">
          <cell r="A835" t="str">
            <v>VV</v>
          </cell>
        </row>
        <row r="836">
          <cell r="A836" t="str">
            <v>VV</v>
          </cell>
        </row>
        <row r="837">
          <cell r="A837" t="str">
            <v>VV</v>
          </cell>
        </row>
        <row r="838">
          <cell r="A838" t="str">
            <v>VV</v>
          </cell>
        </row>
        <row r="839">
          <cell r="A839" t="str">
            <v>VV</v>
          </cell>
        </row>
        <row r="840">
          <cell r="A840" t="str">
            <v>VV</v>
          </cell>
        </row>
        <row r="841">
          <cell r="A841" t="str">
            <v>VV</v>
          </cell>
        </row>
        <row r="842">
          <cell r="A842" t="str">
            <v>VV</v>
          </cell>
        </row>
        <row r="843">
          <cell r="A843" t="str">
            <v>VV</v>
          </cell>
        </row>
        <row r="844">
          <cell r="A844" t="str">
            <v>TS</v>
          </cell>
        </row>
        <row r="845">
          <cell r="A845" t="str">
            <v>P</v>
          </cell>
          <cell r="O845">
            <v>0</v>
          </cell>
        </row>
        <row r="846">
          <cell r="A846" t="str">
            <v>PP</v>
          </cell>
        </row>
        <row r="847">
          <cell r="A847" t="str">
            <v>VV</v>
          </cell>
        </row>
        <row r="848">
          <cell r="A848" t="str">
            <v>VV</v>
          </cell>
        </row>
        <row r="849">
          <cell r="A849" t="str">
            <v>VV</v>
          </cell>
        </row>
        <row r="850">
          <cell r="A850" t="str">
            <v>VV</v>
          </cell>
        </row>
        <row r="851">
          <cell r="A851" t="str">
            <v>VV</v>
          </cell>
        </row>
        <row r="852">
          <cell r="A852" t="str">
            <v>VV</v>
          </cell>
        </row>
        <row r="853">
          <cell r="A853" t="str">
            <v>VV</v>
          </cell>
        </row>
        <row r="854">
          <cell r="A854" t="str">
            <v>VV</v>
          </cell>
        </row>
        <row r="855">
          <cell r="A855" t="str">
            <v>VV</v>
          </cell>
        </row>
        <row r="856">
          <cell r="A856" t="str">
            <v>VV</v>
          </cell>
        </row>
        <row r="857">
          <cell r="A857" t="str">
            <v>VV</v>
          </cell>
        </row>
        <row r="858">
          <cell r="A858" t="str">
            <v>VV</v>
          </cell>
        </row>
        <row r="859">
          <cell r="A859" t="str">
            <v>VV</v>
          </cell>
        </row>
        <row r="860">
          <cell r="A860" t="str">
            <v>VV</v>
          </cell>
        </row>
        <row r="861">
          <cell r="A861" t="str">
            <v>VV</v>
          </cell>
        </row>
        <row r="862">
          <cell r="A862" t="str">
            <v>VV</v>
          </cell>
        </row>
        <row r="863">
          <cell r="A863" t="str">
            <v>VV</v>
          </cell>
        </row>
        <row r="864">
          <cell r="A864" t="str">
            <v>VV</v>
          </cell>
        </row>
        <row r="865">
          <cell r="A865" t="str">
            <v>VV</v>
          </cell>
        </row>
        <row r="866">
          <cell r="A866" t="str">
            <v>VV</v>
          </cell>
        </row>
        <row r="867">
          <cell r="A867" t="str">
            <v>VV</v>
          </cell>
        </row>
        <row r="868">
          <cell r="A868" t="str">
            <v>VV</v>
          </cell>
        </row>
        <row r="869">
          <cell r="A869" t="str">
            <v>VV</v>
          </cell>
        </row>
        <row r="870">
          <cell r="A870" t="str">
            <v>VV</v>
          </cell>
        </row>
        <row r="871">
          <cell r="A871" t="str">
            <v>VV</v>
          </cell>
        </row>
        <row r="872">
          <cell r="A872" t="str">
            <v>VV</v>
          </cell>
        </row>
        <row r="873">
          <cell r="A873" t="str">
            <v>VV</v>
          </cell>
        </row>
        <row r="874">
          <cell r="A874" t="str">
            <v>VV</v>
          </cell>
        </row>
        <row r="875">
          <cell r="A875" t="str">
            <v>VV</v>
          </cell>
        </row>
        <row r="876">
          <cell r="A876" t="str">
            <v>VV</v>
          </cell>
        </row>
        <row r="877">
          <cell r="A877" t="str">
            <v>VV</v>
          </cell>
        </row>
        <row r="878">
          <cell r="A878" t="str">
            <v>VV</v>
          </cell>
        </row>
        <row r="879">
          <cell r="A879" t="str">
            <v>VV</v>
          </cell>
        </row>
        <row r="880">
          <cell r="A880" t="str">
            <v>VV</v>
          </cell>
        </row>
        <row r="881">
          <cell r="A881" t="str">
            <v>VV</v>
          </cell>
        </row>
        <row r="882">
          <cell r="A882" t="str">
            <v>VV</v>
          </cell>
        </row>
        <row r="883">
          <cell r="A883" t="str">
            <v>VV</v>
          </cell>
        </row>
        <row r="884">
          <cell r="A884" t="str">
            <v>VV</v>
          </cell>
        </row>
        <row r="885">
          <cell r="A885" t="str">
            <v>VV</v>
          </cell>
        </row>
        <row r="886">
          <cell r="A886" t="str">
            <v>VV</v>
          </cell>
        </row>
        <row r="887">
          <cell r="A887" t="str">
            <v>VV</v>
          </cell>
        </row>
        <row r="888">
          <cell r="A888" t="str">
            <v>VV</v>
          </cell>
        </row>
        <row r="889">
          <cell r="A889" t="str">
            <v>VV</v>
          </cell>
        </row>
        <row r="890">
          <cell r="A890" t="str">
            <v>VV</v>
          </cell>
        </row>
        <row r="891">
          <cell r="A891" t="str">
            <v>VV</v>
          </cell>
        </row>
        <row r="892">
          <cell r="A892" t="str">
            <v>VV</v>
          </cell>
        </row>
        <row r="893">
          <cell r="A893" t="str">
            <v>VV</v>
          </cell>
        </row>
        <row r="894">
          <cell r="A894" t="str">
            <v>VV</v>
          </cell>
        </row>
        <row r="895">
          <cell r="A895" t="str">
            <v>VV</v>
          </cell>
        </row>
        <row r="896">
          <cell r="A896" t="str">
            <v>VV</v>
          </cell>
        </row>
        <row r="897">
          <cell r="A897" t="str">
            <v>VV</v>
          </cell>
        </row>
        <row r="898">
          <cell r="A898" t="str">
            <v>VV</v>
          </cell>
        </row>
        <row r="899">
          <cell r="A899" t="str">
            <v>VV</v>
          </cell>
        </row>
        <row r="900">
          <cell r="A900" t="str">
            <v>VV</v>
          </cell>
        </row>
        <row r="901">
          <cell r="A901" t="str">
            <v>VV</v>
          </cell>
        </row>
        <row r="902">
          <cell r="A902" t="str">
            <v>VV</v>
          </cell>
        </row>
        <row r="903">
          <cell r="A903" t="str">
            <v>VV</v>
          </cell>
        </row>
        <row r="904">
          <cell r="A904" t="str">
            <v>VV</v>
          </cell>
        </row>
        <row r="905">
          <cell r="A905" t="str">
            <v>VV</v>
          </cell>
        </row>
        <row r="906">
          <cell r="A906" t="str">
            <v>VV</v>
          </cell>
        </row>
        <row r="907">
          <cell r="A907" t="str">
            <v>VV</v>
          </cell>
        </row>
        <row r="908">
          <cell r="A908" t="str">
            <v>VV</v>
          </cell>
        </row>
        <row r="909">
          <cell r="A909" t="str">
            <v>VV</v>
          </cell>
        </row>
        <row r="910">
          <cell r="A910" t="str">
            <v>VV</v>
          </cell>
        </row>
        <row r="911">
          <cell r="A911" t="str">
            <v>VV</v>
          </cell>
        </row>
        <row r="912">
          <cell r="A912" t="str">
            <v>VV</v>
          </cell>
        </row>
        <row r="913">
          <cell r="A913" t="str">
            <v>VV</v>
          </cell>
        </row>
        <row r="914">
          <cell r="A914" t="str">
            <v>VV</v>
          </cell>
        </row>
        <row r="915">
          <cell r="A915" t="str">
            <v>VV</v>
          </cell>
        </row>
        <row r="916">
          <cell r="A916" t="str">
            <v>VV</v>
          </cell>
        </row>
        <row r="917">
          <cell r="A917" t="str">
            <v>VV</v>
          </cell>
        </row>
        <row r="918">
          <cell r="A918" t="str">
            <v>VV</v>
          </cell>
        </row>
        <row r="919">
          <cell r="A919" t="str">
            <v>VV</v>
          </cell>
        </row>
        <row r="920">
          <cell r="A920" t="str">
            <v>VV</v>
          </cell>
        </row>
        <row r="921">
          <cell r="A921" t="str">
            <v>VV</v>
          </cell>
        </row>
        <row r="922">
          <cell r="A922" t="str">
            <v>VV</v>
          </cell>
        </row>
        <row r="923">
          <cell r="A923" t="str">
            <v>VV</v>
          </cell>
        </row>
        <row r="924">
          <cell r="A924" t="str">
            <v>VV</v>
          </cell>
        </row>
        <row r="925">
          <cell r="A925" t="str">
            <v>VV</v>
          </cell>
        </row>
        <row r="926">
          <cell r="A926" t="str">
            <v>VV</v>
          </cell>
        </row>
        <row r="927">
          <cell r="A927" t="str">
            <v>VV</v>
          </cell>
        </row>
        <row r="928">
          <cell r="A928" t="str">
            <v>VV</v>
          </cell>
        </row>
        <row r="929">
          <cell r="A929" t="str">
            <v>VV</v>
          </cell>
        </row>
        <row r="930">
          <cell r="A930" t="str">
            <v>VV</v>
          </cell>
        </row>
        <row r="931">
          <cell r="A931" t="str">
            <v>VV</v>
          </cell>
        </row>
        <row r="932">
          <cell r="A932" t="str">
            <v>VV</v>
          </cell>
        </row>
        <row r="933">
          <cell r="A933" t="str">
            <v>VV</v>
          </cell>
        </row>
        <row r="934">
          <cell r="A934" t="str">
            <v>VV</v>
          </cell>
        </row>
        <row r="935">
          <cell r="A935" t="str">
            <v>VV</v>
          </cell>
        </row>
        <row r="936">
          <cell r="A936" t="str">
            <v>VV</v>
          </cell>
        </row>
        <row r="937">
          <cell r="A937" t="str">
            <v>VV</v>
          </cell>
        </row>
        <row r="938">
          <cell r="A938" t="str">
            <v>VV</v>
          </cell>
        </row>
        <row r="939">
          <cell r="A939" t="str">
            <v>VV</v>
          </cell>
        </row>
        <row r="940">
          <cell r="A940" t="str">
            <v>VV</v>
          </cell>
        </row>
        <row r="941">
          <cell r="A941" t="str">
            <v>VV</v>
          </cell>
        </row>
        <row r="942">
          <cell r="A942" t="str">
            <v>VV</v>
          </cell>
        </row>
        <row r="943">
          <cell r="A943" t="str">
            <v>VV</v>
          </cell>
        </row>
        <row r="944">
          <cell r="A944" t="str">
            <v>VV</v>
          </cell>
        </row>
        <row r="945">
          <cell r="A945" t="str">
            <v>VV</v>
          </cell>
        </row>
        <row r="946">
          <cell r="A946" t="str">
            <v>VV</v>
          </cell>
        </row>
        <row r="947">
          <cell r="A947" t="str">
            <v>VV</v>
          </cell>
        </row>
        <row r="948">
          <cell r="A948" t="str">
            <v>VV</v>
          </cell>
        </row>
        <row r="949">
          <cell r="A949" t="str">
            <v>VV</v>
          </cell>
        </row>
        <row r="950">
          <cell r="A950" t="str">
            <v>VV</v>
          </cell>
        </row>
        <row r="951">
          <cell r="A951" t="str">
            <v>VV</v>
          </cell>
        </row>
        <row r="952">
          <cell r="A952" t="str">
            <v>VV</v>
          </cell>
        </row>
        <row r="953">
          <cell r="A953" t="str">
            <v>VV</v>
          </cell>
        </row>
        <row r="954">
          <cell r="A954" t="str">
            <v>VV</v>
          </cell>
        </row>
        <row r="955">
          <cell r="A955" t="str">
            <v>VV</v>
          </cell>
        </row>
        <row r="956">
          <cell r="A956" t="str">
            <v>VV</v>
          </cell>
        </row>
        <row r="957">
          <cell r="A957" t="str">
            <v>VV</v>
          </cell>
        </row>
        <row r="958">
          <cell r="A958" t="str">
            <v>VV</v>
          </cell>
        </row>
        <row r="959">
          <cell r="A959" t="str">
            <v>VV</v>
          </cell>
        </row>
        <row r="960">
          <cell r="A960" t="str">
            <v>VV</v>
          </cell>
        </row>
        <row r="961">
          <cell r="A961" t="str">
            <v>VV</v>
          </cell>
        </row>
        <row r="962">
          <cell r="A962" t="str">
            <v>VV</v>
          </cell>
        </row>
        <row r="963">
          <cell r="A963" t="str">
            <v>VV</v>
          </cell>
        </row>
        <row r="964">
          <cell r="A964" t="str">
            <v>VV</v>
          </cell>
        </row>
        <row r="965">
          <cell r="A965" t="str">
            <v>VV</v>
          </cell>
        </row>
        <row r="966">
          <cell r="A966" t="str">
            <v>VV</v>
          </cell>
        </row>
        <row r="967">
          <cell r="A967" t="str">
            <v>VV</v>
          </cell>
        </row>
        <row r="968">
          <cell r="A968" t="str">
            <v>VV</v>
          </cell>
        </row>
        <row r="969">
          <cell r="A969" t="str">
            <v>VV</v>
          </cell>
        </row>
        <row r="970">
          <cell r="A970" t="str">
            <v>VV</v>
          </cell>
        </row>
        <row r="971">
          <cell r="A971" t="str">
            <v>VV</v>
          </cell>
        </row>
        <row r="972">
          <cell r="A972" t="str">
            <v>VV</v>
          </cell>
        </row>
        <row r="973">
          <cell r="A973" t="str">
            <v>VV</v>
          </cell>
        </row>
        <row r="974">
          <cell r="A974" t="str">
            <v>VV</v>
          </cell>
        </row>
        <row r="975">
          <cell r="A975" t="str">
            <v>VV</v>
          </cell>
        </row>
        <row r="976">
          <cell r="A976" t="str">
            <v>VV</v>
          </cell>
        </row>
        <row r="977">
          <cell r="A977" t="str">
            <v>VV</v>
          </cell>
        </row>
        <row r="978">
          <cell r="A978" t="str">
            <v>VV</v>
          </cell>
        </row>
        <row r="979">
          <cell r="A979" t="str">
            <v>VV</v>
          </cell>
        </row>
        <row r="980">
          <cell r="A980" t="str">
            <v>VV</v>
          </cell>
        </row>
        <row r="981">
          <cell r="A981" t="str">
            <v>VV</v>
          </cell>
        </row>
        <row r="982">
          <cell r="A982" t="str">
            <v>VV</v>
          </cell>
        </row>
        <row r="983">
          <cell r="A983" t="str">
            <v>VV</v>
          </cell>
        </row>
        <row r="984">
          <cell r="A984" t="str">
            <v>VV</v>
          </cell>
        </row>
        <row r="985">
          <cell r="A985" t="str">
            <v>VV</v>
          </cell>
        </row>
        <row r="986">
          <cell r="A986" t="str">
            <v>VV</v>
          </cell>
        </row>
        <row r="987">
          <cell r="A987" t="str">
            <v>VV</v>
          </cell>
        </row>
        <row r="988">
          <cell r="A988" t="str">
            <v>VV</v>
          </cell>
        </row>
        <row r="989">
          <cell r="A989" t="str">
            <v>VV</v>
          </cell>
        </row>
        <row r="990">
          <cell r="A990" t="str">
            <v>VV</v>
          </cell>
        </row>
        <row r="991">
          <cell r="A991" t="str">
            <v>VV</v>
          </cell>
        </row>
        <row r="992">
          <cell r="A992" t="str">
            <v>VV</v>
          </cell>
        </row>
        <row r="993">
          <cell r="A993" t="str">
            <v>VV</v>
          </cell>
        </row>
        <row r="994">
          <cell r="A994" t="str">
            <v>VV</v>
          </cell>
        </row>
        <row r="995">
          <cell r="A995" t="str">
            <v>VV</v>
          </cell>
        </row>
        <row r="996">
          <cell r="A996" t="str">
            <v>VV</v>
          </cell>
        </row>
        <row r="997">
          <cell r="A997" t="str">
            <v>VV</v>
          </cell>
        </row>
        <row r="998">
          <cell r="A998" t="str">
            <v>VV</v>
          </cell>
        </row>
        <row r="999">
          <cell r="A999" t="str">
            <v>VV</v>
          </cell>
        </row>
        <row r="1000">
          <cell r="A1000" t="str">
            <v>VV</v>
          </cell>
        </row>
        <row r="1001">
          <cell r="A1001" t="str">
            <v>VV</v>
          </cell>
        </row>
        <row r="1002">
          <cell r="A1002" t="str">
            <v>VV</v>
          </cell>
        </row>
        <row r="1003">
          <cell r="A1003" t="str">
            <v>VV</v>
          </cell>
        </row>
        <row r="1004">
          <cell r="A1004" t="str">
            <v>VV</v>
          </cell>
        </row>
        <row r="1005">
          <cell r="A1005" t="str">
            <v>VV</v>
          </cell>
        </row>
        <row r="1006">
          <cell r="A1006" t="str">
            <v>VV</v>
          </cell>
        </row>
        <row r="1007">
          <cell r="A1007" t="str">
            <v>VV</v>
          </cell>
        </row>
        <row r="1008">
          <cell r="A1008" t="str">
            <v>VV</v>
          </cell>
        </row>
        <row r="1009">
          <cell r="A1009" t="str">
            <v>VV</v>
          </cell>
        </row>
        <row r="1010">
          <cell r="A1010" t="str">
            <v>VV</v>
          </cell>
        </row>
        <row r="1011">
          <cell r="A1011" t="str">
            <v>VV</v>
          </cell>
        </row>
        <row r="1012">
          <cell r="A1012" t="str">
            <v>VV</v>
          </cell>
        </row>
        <row r="1013">
          <cell r="A1013" t="str">
            <v>VV</v>
          </cell>
        </row>
        <row r="1014">
          <cell r="A1014" t="str">
            <v>VV</v>
          </cell>
        </row>
        <row r="1015">
          <cell r="A1015" t="str">
            <v>VV</v>
          </cell>
        </row>
        <row r="1016">
          <cell r="A1016" t="str">
            <v>VV</v>
          </cell>
        </row>
        <row r="1017">
          <cell r="A1017" t="str">
            <v>VV</v>
          </cell>
        </row>
        <row r="1018">
          <cell r="A1018" t="str">
            <v>VV</v>
          </cell>
        </row>
        <row r="1019">
          <cell r="A1019" t="str">
            <v>VV</v>
          </cell>
        </row>
        <row r="1020">
          <cell r="A1020" t="str">
            <v>VV</v>
          </cell>
        </row>
        <row r="1021">
          <cell r="A1021" t="str">
            <v>VV</v>
          </cell>
        </row>
        <row r="1022">
          <cell r="A1022" t="str">
            <v>VV</v>
          </cell>
        </row>
        <row r="1023">
          <cell r="A1023" t="str">
            <v>VV</v>
          </cell>
        </row>
        <row r="1024">
          <cell r="A1024" t="str">
            <v>VV</v>
          </cell>
        </row>
        <row r="1025">
          <cell r="A1025" t="str">
            <v>VV</v>
          </cell>
        </row>
        <row r="1026">
          <cell r="A1026" t="str">
            <v>VV</v>
          </cell>
        </row>
        <row r="1027">
          <cell r="A1027" t="str">
            <v>VV</v>
          </cell>
        </row>
        <row r="1028">
          <cell r="A1028" t="str">
            <v>VV</v>
          </cell>
        </row>
        <row r="1029">
          <cell r="A1029" t="str">
            <v>VV</v>
          </cell>
        </row>
        <row r="1030">
          <cell r="A1030" t="str">
            <v>VV</v>
          </cell>
        </row>
        <row r="1031">
          <cell r="A1031" t="str">
            <v>VV</v>
          </cell>
        </row>
        <row r="1032">
          <cell r="A1032" t="str">
            <v>VV</v>
          </cell>
        </row>
        <row r="1033">
          <cell r="A1033" t="str">
            <v>TS</v>
          </cell>
        </row>
        <row r="1034">
          <cell r="A1034" t="str">
            <v>P</v>
          </cell>
          <cell r="O1034">
            <v>0</v>
          </cell>
        </row>
        <row r="1035">
          <cell r="A1035" t="str">
            <v>PP</v>
          </cell>
        </row>
        <row r="1036">
          <cell r="A1036" t="str">
            <v>VV</v>
          </cell>
        </row>
        <row r="1037">
          <cell r="A1037" t="str">
            <v>VV</v>
          </cell>
        </row>
        <row r="1038">
          <cell r="A1038" t="str">
            <v>VV</v>
          </cell>
        </row>
        <row r="1039">
          <cell r="A1039" t="str">
            <v>VV</v>
          </cell>
        </row>
        <row r="1040">
          <cell r="A1040" t="str">
            <v>VV</v>
          </cell>
        </row>
        <row r="1041">
          <cell r="A1041" t="str">
            <v>VV</v>
          </cell>
        </row>
        <row r="1042">
          <cell r="A1042" t="str">
            <v>VV</v>
          </cell>
        </row>
        <row r="1043">
          <cell r="A1043" t="str">
            <v>VV</v>
          </cell>
        </row>
        <row r="1044">
          <cell r="A1044" t="str">
            <v>VV</v>
          </cell>
        </row>
        <row r="1045">
          <cell r="A1045" t="str">
            <v>VV</v>
          </cell>
        </row>
        <row r="1046">
          <cell r="A1046" t="str">
            <v>VV</v>
          </cell>
        </row>
        <row r="1047">
          <cell r="A1047" t="str">
            <v>VV</v>
          </cell>
        </row>
        <row r="1048">
          <cell r="A1048" t="str">
            <v>VV</v>
          </cell>
        </row>
        <row r="1049">
          <cell r="A1049" t="str">
            <v>VV</v>
          </cell>
        </row>
        <row r="1050">
          <cell r="A1050" t="str">
            <v>VV</v>
          </cell>
        </row>
        <row r="1051">
          <cell r="A1051" t="str">
            <v>VV</v>
          </cell>
        </row>
        <row r="1052">
          <cell r="A1052" t="str">
            <v>VV</v>
          </cell>
        </row>
        <row r="1053">
          <cell r="A1053" t="str">
            <v>VV</v>
          </cell>
        </row>
        <row r="1054">
          <cell r="A1054" t="str">
            <v>VV</v>
          </cell>
        </row>
        <row r="1055">
          <cell r="A1055" t="str">
            <v>VV</v>
          </cell>
        </row>
        <row r="1056">
          <cell r="A1056" t="str">
            <v>VV</v>
          </cell>
        </row>
        <row r="1057">
          <cell r="A1057" t="str">
            <v>VV</v>
          </cell>
        </row>
        <row r="1058">
          <cell r="A1058" t="str">
            <v>VV</v>
          </cell>
        </row>
        <row r="1059">
          <cell r="A1059" t="str">
            <v>VV</v>
          </cell>
        </row>
        <row r="1060">
          <cell r="A1060" t="str">
            <v>VV</v>
          </cell>
        </row>
        <row r="1061">
          <cell r="A1061" t="str">
            <v>VV</v>
          </cell>
        </row>
        <row r="1062">
          <cell r="A1062" t="str">
            <v>VV</v>
          </cell>
        </row>
        <row r="1063">
          <cell r="A1063" t="str">
            <v>VV</v>
          </cell>
        </row>
        <row r="1064">
          <cell r="A1064" t="str">
            <v>VV</v>
          </cell>
        </row>
        <row r="1065">
          <cell r="A1065" t="str">
            <v>VV</v>
          </cell>
        </row>
        <row r="1066">
          <cell r="A1066" t="str">
            <v>VV</v>
          </cell>
        </row>
        <row r="1067">
          <cell r="A1067" t="str">
            <v>VV</v>
          </cell>
        </row>
        <row r="1068">
          <cell r="A1068" t="str">
            <v>VV</v>
          </cell>
        </row>
        <row r="1069">
          <cell r="A1069" t="str">
            <v>VV</v>
          </cell>
        </row>
        <row r="1070">
          <cell r="A1070" t="str">
            <v>VV</v>
          </cell>
        </row>
        <row r="1071">
          <cell r="A1071" t="str">
            <v>VV</v>
          </cell>
        </row>
        <row r="1072">
          <cell r="A1072" t="str">
            <v>VV</v>
          </cell>
        </row>
        <row r="1073">
          <cell r="A1073" t="str">
            <v>VV</v>
          </cell>
        </row>
        <row r="1074">
          <cell r="A1074" t="str">
            <v>VV</v>
          </cell>
        </row>
        <row r="1075">
          <cell r="A1075" t="str">
            <v>VV</v>
          </cell>
        </row>
        <row r="1076">
          <cell r="A1076" t="str">
            <v>VV</v>
          </cell>
        </row>
        <row r="1077">
          <cell r="A1077" t="str">
            <v>VV</v>
          </cell>
        </row>
        <row r="1078">
          <cell r="A1078" t="str">
            <v>VV</v>
          </cell>
        </row>
        <row r="1079">
          <cell r="A1079" t="str">
            <v>VV</v>
          </cell>
        </row>
        <row r="1080">
          <cell r="A1080" t="str">
            <v>VV</v>
          </cell>
        </row>
        <row r="1081">
          <cell r="A1081" t="str">
            <v>VV</v>
          </cell>
        </row>
        <row r="1082">
          <cell r="A1082" t="str">
            <v>VV</v>
          </cell>
        </row>
        <row r="1083">
          <cell r="A1083" t="str">
            <v>VV</v>
          </cell>
        </row>
        <row r="1084">
          <cell r="A1084" t="str">
            <v>VV</v>
          </cell>
        </row>
        <row r="1085">
          <cell r="A1085" t="str">
            <v>VV</v>
          </cell>
        </row>
        <row r="1086">
          <cell r="A1086" t="str">
            <v>VV</v>
          </cell>
        </row>
        <row r="1087">
          <cell r="A1087" t="str">
            <v>VV</v>
          </cell>
        </row>
        <row r="1088">
          <cell r="A1088" t="str">
            <v>VV</v>
          </cell>
        </row>
        <row r="1089">
          <cell r="A1089" t="str">
            <v>VV</v>
          </cell>
        </row>
        <row r="1090">
          <cell r="A1090" t="str">
            <v>VV</v>
          </cell>
        </row>
        <row r="1091">
          <cell r="A1091" t="str">
            <v>VV</v>
          </cell>
        </row>
        <row r="1092">
          <cell r="A1092" t="str">
            <v>VV</v>
          </cell>
        </row>
        <row r="1093">
          <cell r="A1093" t="str">
            <v>VV</v>
          </cell>
        </row>
        <row r="1094">
          <cell r="A1094" t="str">
            <v>VV</v>
          </cell>
        </row>
        <row r="1095">
          <cell r="A1095" t="str">
            <v>VV</v>
          </cell>
        </row>
        <row r="1096">
          <cell r="A1096" t="str">
            <v>VV</v>
          </cell>
        </row>
        <row r="1097">
          <cell r="A1097" t="str">
            <v>VV</v>
          </cell>
        </row>
        <row r="1098">
          <cell r="A1098" t="str">
            <v>VV</v>
          </cell>
        </row>
        <row r="1099">
          <cell r="A1099" t="str">
            <v>VV</v>
          </cell>
        </row>
        <row r="1100">
          <cell r="A1100" t="str">
            <v>VV</v>
          </cell>
        </row>
        <row r="1101">
          <cell r="A1101" t="str">
            <v>VV</v>
          </cell>
        </row>
        <row r="1102">
          <cell r="A1102" t="str">
            <v>VV</v>
          </cell>
        </row>
        <row r="1103">
          <cell r="A1103" t="str">
            <v>VV</v>
          </cell>
        </row>
        <row r="1104">
          <cell r="A1104" t="str">
            <v>VV</v>
          </cell>
        </row>
        <row r="1105">
          <cell r="A1105" t="str">
            <v>VV</v>
          </cell>
        </row>
        <row r="1106">
          <cell r="A1106" t="str">
            <v>VV</v>
          </cell>
        </row>
        <row r="1107">
          <cell r="A1107" t="str">
            <v>VV</v>
          </cell>
        </row>
        <row r="1108">
          <cell r="A1108" t="str">
            <v>VV</v>
          </cell>
        </row>
        <row r="1109">
          <cell r="A1109" t="str">
            <v>VV</v>
          </cell>
        </row>
        <row r="1110">
          <cell r="A1110" t="str">
            <v>VV</v>
          </cell>
        </row>
        <row r="1111">
          <cell r="A1111" t="str">
            <v>VV</v>
          </cell>
        </row>
        <row r="1112">
          <cell r="A1112" t="str">
            <v>VV</v>
          </cell>
        </row>
        <row r="1113">
          <cell r="A1113" t="str">
            <v>VV</v>
          </cell>
        </row>
        <row r="1114">
          <cell r="A1114" t="str">
            <v>VV</v>
          </cell>
        </row>
        <row r="1115">
          <cell r="A1115" t="str">
            <v>VV</v>
          </cell>
        </row>
        <row r="1116">
          <cell r="A1116" t="str">
            <v>VV</v>
          </cell>
        </row>
        <row r="1117">
          <cell r="A1117" t="str">
            <v>VV</v>
          </cell>
        </row>
        <row r="1118">
          <cell r="A1118" t="str">
            <v>VV</v>
          </cell>
        </row>
        <row r="1119">
          <cell r="A1119" t="str">
            <v>VV</v>
          </cell>
        </row>
        <row r="1120">
          <cell r="A1120" t="str">
            <v>VV</v>
          </cell>
        </row>
        <row r="1121">
          <cell r="A1121" t="str">
            <v>VV</v>
          </cell>
        </row>
        <row r="1122">
          <cell r="A1122" t="str">
            <v>VV</v>
          </cell>
        </row>
        <row r="1123">
          <cell r="A1123" t="str">
            <v>VV</v>
          </cell>
        </row>
        <row r="1124">
          <cell r="A1124" t="str">
            <v>VV</v>
          </cell>
        </row>
        <row r="1125">
          <cell r="A1125" t="str">
            <v>VV</v>
          </cell>
        </row>
        <row r="1126">
          <cell r="A1126" t="str">
            <v>VV</v>
          </cell>
        </row>
        <row r="1127">
          <cell r="A1127" t="str">
            <v>VV</v>
          </cell>
        </row>
        <row r="1128">
          <cell r="A1128" t="str">
            <v>VV</v>
          </cell>
        </row>
        <row r="1129">
          <cell r="A1129" t="str">
            <v>VV</v>
          </cell>
        </row>
        <row r="1130">
          <cell r="A1130" t="str">
            <v>VV</v>
          </cell>
        </row>
        <row r="1131">
          <cell r="A1131" t="str">
            <v>VV</v>
          </cell>
        </row>
        <row r="1132">
          <cell r="A1132" t="str">
            <v>VV</v>
          </cell>
        </row>
        <row r="1133">
          <cell r="A1133" t="str">
            <v>VV</v>
          </cell>
        </row>
        <row r="1134">
          <cell r="A1134" t="str">
            <v>VV</v>
          </cell>
        </row>
        <row r="1135">
          <cell r="A1135" t="str">
            <v>VV</v>
          </cell>
        </row>
        <row r="1136">
          <cell r="A1136" t="str">
            <v>VV</v>
          </cell>
        </row>
        <row r="1137">
          <cell r="A1137" t="str">
            <v>VV</v>
          </cell>
        </row>
        <row r="1138">
          <cell r="A1138" t="str">
            <v>VV</v>
          </cell>
        </row>
        <row r="1139">
          <cell r="A1139" t="str">
            <v>VV</v>
          </cell>
        </row>
        <row r="1140">
          <cell r="A1140" t="str">
            <v>VV</v>
          </cell>
        </row>
        <row r="1141">
          <cell r="A1141" t="str">
            <v>VV</v>
          </cell>
        </row>
        <row r="1142">
          <cell r="A1142" t="str">
            <v>VV</v>
          </cell>
        </row>
        <row r="1143">
          <cell r="A1143" t="str">
            <v>VV</v>
          </cell>
        </row>
        <row r="1144">
          <cell r="A1144" t="str">
            <v>VV</v>
          </cell>
        </row>
        <row r="1145">
          <cell r="A1145" t="str">
            <v>VV</v>
          </cell>
        </row>
        <row r="1146">
          <cell r="A1146" t="str">
            <v>VV</v>
          </cell>
        </row>
        <row r="1147">
          <cell r="A1147" t="str">
            <v>VV</v>
          </cell>
        </row>
        <row r="1148">
          <cell r="A1148" t="str">
            <v>VV</v>
          </cell>
        </row>
        <row r="1149">
          <cell r="A1149" t="str">
            <v>VV</v>
          </cell>
        </row>
        <row r="1150">
          <cell r="A1150" t="str">
            <v>VV</v>
          </cell>
        </row>
        <row r="1151">
          <cell r="A1151" t="str">
            <v>VV</v>
          </cell>
        </row>
        <row r="1152">
          <cell r="A1152" t="str">
            <v>VV</v>
          </cell>
        </row>
        <row r="1153">
          <cell r="A1153" t="str">
            <v>VV</v>
          </cell>
        </row>
        <row r="1154">
          <cell r="A1154" t="str">
            <v>VV</v>
          </cell>
        </row>
        <row r="1155">
          <cell r="A1155" t="str">
            <v>VV</v>
          </cell>
        </row>
        <row r="1156">
          <cell r="A1156" t="str">
            <v>VV</v>
          </cell>
        </row>
        <row r="1157">
          <cell r="A1157" t="str">
            <v>VV</v>
          </cell>
        </row>
        <row r="1158">
          <cell r="A1158" t="str">
            <v>VV</v>
          </cell>
        </row>
        <row r="1159">
          <cell r="A1159" t="str">
            <v>VV</v>
          </cell>
        </row>
        <row r="1160">
          <cell r="A1160" t="str">
            <v>VV</v>
          </cell>
        </row>
        <row r="1161">
          <cell r="A1161" t="str">
            <v>VV</v>
          </cell>
        </row>
        <row r="1162">
          <cell r="A1162" t="str">
            <v>VV</v>
          </cell>
        </row>
        <row r="1163">
          <cell r="A1163" t="str">
            <v>VV</v>
          </cell>
        </row>
        <row r="1164">
          <cell r="A1164" t="str">
            <v>VV</v>
          </cell>
        </row>
        <row r="1165">
          <cell r="A1165" t="str">
            <v>VV</v>
          </cell>
        </row>
        <row r="1166">
          <cell r="A1166" t="str">
            <v>VV</v>
          </cell>
        </row>
        <row r="1167">
          <cell r="A1167" t="str">
            <v>VV</v>
          </cell>
        </row>
        <row r="1168">
          <cell r="A1168" t="str">
            <v>VV</v>
          </cell>
        </row>
        <row r="1169">
          <cell r="A1169" t="str">
            <v>VV</v>
          </cell>
        </row>
        <row r="1170">
          <cell r="A1170" t="str">
            <v>VV</v>
          </cell>
        </row>
        <row r="1171">
          <cell r="A1171" t="str">
            <v>VV</v>
          </cell>
        </row>
        <row r="1172">
          <cell r="A1172" t="str">
            <v>VV</v>
          </cell>
        </row>
        <row r="1173">
          <cell r="A1173" t="str">
            <v>VV</v>
          </cell>
        </row>
        <row r="1174">
          <cell r="A1174" t="str">
            <v>VV</v>
          </cell>
        </row>
        <row r="1175">
          <cell r="A1175" t="str">
            <v>VV</v>
          </cell>
        </row>
        <row r="1176">
          <cell r="A1176" t="str">
            <v>VV</v>
          </cell>
        </row>
        <row r="1177">
          <cell r="A1177" t="str">
            <v>VV</v>
          </cell>
        </row>
        <row r="1178">
          <cell r="A1178" t="str">
            <v>VV</v>
          </cell>
        </row>
        <row r="1179">
          <cell r="A1179" t="str">
            <v>VV</v>
          </cell>
        </row>
        <row r="1180">
          <cell r="A1180" t="str">
            <v>VV</v>
          </cell>
        </row>
        <row r="1181">
          <cell r="A1181" t="str">
            <v>VV</v>
          </cell>
        </row>
        <row r="1182">
          <cell r="A1182" t="str">
            <v>VV</v>
          </cell>
        </row>
        <row r="1183">
          <cell r="A1183" t="str">
            <v>VV</v>
          </cell>
        </row>
        <row r="1184">
          <cell r="A1184" t="str">
            <v>VV</v>
          </cell>
        </row>
        <row r="1185">
          <cell r="A1185" t="str">
            <v>VV</v>
          </cell>
        </row>
        <row r="1186">
          <cell r="A1186" t="str">
            <v>VV</v>
          </cell>
        </row>
        <row r="1187">
          <cell r="A1187" t="str">
            <v>VV</v>
          </cell>
        </row>
        <row r="1188">
          <cell r="A1188" t="str">
            <v>VV</v>
          </cell>
        </row>
        <row r="1189">
          <cell r="A1189" t="str">
            <v>VV</v>
          </cell>
        </row>
        <row r="1190">
          <cell r="A1190" t="str">
            <v>VV</v>
          </cell>
        </row>
        <row r="1191">
          <cell r="A1191" t="str">
            <v>VV</v>
          </cell>
        </row>
        <row r="1192">
          <cell r="A1192" t="str">
            <v>VV</v>
          </cell>
        </row>
        <row r="1193">
          <cell r="A1193" t="str">
            <v>VV</v>
          </cell>
        </row>
        <row r="1194">
          <cell r="A1194" t="str">
            <v>VV</v>
          </cell>
        </row>
        <row r="1195">
          <cell r="A1195" t="str">
            <v>VV</v>
          </cell>
        </row>
        <row r="1196">
          <cell r="A1196" t="str">
            <v>VV</v>
          </cell>
        </row>
        <row r="1197">
          <cell r="A1197" t="str">
            <v>VV</v>
          </cell>
        </row>
        <row r="1198">
          <cell r="A1198" t="str">
            <v>VV</v>
          </cell>
        </row>
        <row r="1199">
          <cell r="A1199" t="str">
            <v>VV</v>
          </cell>
        </row>
        <row r="1200">
          <cell r="A1200" t="str">
            <v>VV</v>
          </cell>
        </row>
        <row r="1201">
          <cell r="A1201" t="str">
            <v>VV</v>
          </cell>
        </row>
        <row r="1202">
          <cell r="A1202" t="str">
            <v>TS</v>
          </cell>
        </row>
        <row r="1203">
          <cell r="A1203" t="str">
            <v>P</v>
          </cell>
          <cell r="O1203">
            <v>0</v>
          </cell>
        </row>
        <row r="1204">
          <cell r="A1204" t="str">
            <v>PP</v>
          </cell>
        </row>
        <row r="1205">
          <cell r="A1205" t="str">
            <v>VV</v>
          </cell>
        </row>
        <row r="1206">
          <cell r="A1206" t="str">
            <v>VV</v>
          </cell>
        </row>
        <row r="1207">
          <cell r="A1207" t="str">
            <v>VV</v>
          </cell>
        </row>
        <row r="1208">
          <cell r="A1208" t="str">
            <v>VV</v>
          </cell>
        </row>
        <row r="1209">
          <cell r="A1209" t="str">
            <v>VV</v>
          </cell>
        </row>
        <row r="1210">
          <cell r="A1210" t="str">
            <v>VV</v>
          </cell>
        </row>
        <row r="1211">
          <cell r="A1211" t="str">
            <v>VV</v>
          </cell>
        </row>
        <row r="1212">
          <cell r="A1212" t="str">
            <v>VV</v>
          </cell>
        </row>
        <row r="1213">
          <cell r="A1213" t="str">
            <v>VV</v>
          </cell>
        </row>
        <row r="1214">
          <cell r="A1214" t="str">
            <v>VV</v>
          </cell>
        </row>
        <row r="1215">
          <cell r="A1215" t="str">
            <v>VV</v>
          </cell>
        </row>
        <row r="1216">
          <cell r="A1216" t="str">
            <v>VV</v>
          </cell>
        </row>
        <row r="1217">
          <cell r="A1217" t="str">
            <v>VV</v>
          </cell>
        </row>
        <row r="1218">
          <cell r="A1218" t="str">
            <v>VV</v>
          </cell>
        </row>
        <row r="1219">
          <cell r="A1219" t="str">
            <v>VV</v>
          </cell>
        </row>
        <row r="1220">
          <cell r="A1220" t="str">
            <v>VV</v>
          </cell>
        </row>
        <row r="1221">
          <cell r="A1221" t="str">
            <v>VV</v>
          </cell>
        </row>
        <row r="1222">
          <cell r="A1222" t="str">
            <v>VV</v>
          </cell>
        </row>
        <row r="1223">
          <cell r="A1223" t="str">
            <v>VV</v>
          </cell>
        </row>
        <row r="1224">
          <cell r="A1224" t="str">
            <v>VV</v>
          </cell>
        </row>
        <row r="1225">
          <cell r="A1225" t="str">
            <v>VV</v>
          </cell>
        </row>
        <row r="1226">
          <cell r="A1226" t="str">
            <v>VV</v>
          </cell>
        </row>
        <row r="1227">
          <cell r="A1227" t="str">
            <v>VV</v>
          </cell>
        </row>
        <row r="1228">
          <cell r="A1228" t="str">
            <v>VV</v>
          </cell>
        </row>
        <row r="1229">
          <cell r="A1229" t="str">
            <v>VV</v>
          </cell>
        </row>
        <row r="1230">
          <cell r="A1230" t="str">
            <v>VV</v>
          </cell>
        </row>
        <row r="1231">
          <cell r="A1231" t="str">
            <v>VV</v>
          </cell>
        </row>
        <row r="1232">
          <cell r="A1232" t="str">
            <v>VV</v>
          </cell>
        </row>
        <row r="1233">
          <cell r="A1233" t="str">
            <v>VV</v>
          </cell>
        </row>
        <row r="1234">
          <cell r="A1234" t="str">
            <v>VV</v>
          </cell>
        </row>
        <row r="1235">
          <cell r="A1235" t="str">
            <v>VV</v>
          </cell>
        </row>
        <row r="1236">
          <cell r="A1236" t="str">
            <v>VV</v>
          </cell>
        </row>
        <row r="1237">
          <cell r="A1237" t="str">
            <v>VV</v>
          </cell>
        </row>
        <row r="1238">
          <cell r="A1238" t="str">
            <v>VV</v>
          </cell>
        </row>
        <row r="1239">
          <cell r="A1239" t="str">
            <v>VV</v>
          </cell>
        </row>
        <row r="1240">
          <cell r="A1240" t="str">
            <v>VV</v>
          </cell>
        </row>
        <row r="1241">
          <cell r="A1241" t="str">
            <v>VV</v>
          </cell>
        </row>
        <row r="1242">
          <cell r="A1242" t="str">
            <v>VV</v>
          </cell>
        </row>
        <row r="1243">
          <cell r="A1243" t="str">
            <v>VV</v>
          </cell>
        </row>
        <row r="1244">
          <cell r="A1244" t="str">
            <v>VV</v>
          </cell>
        </row>
        <row r="1245">
          <cell r="A1245" t="str">
            <v>VV</v>
          </cell>
        </row>
        <row r="1246">
          <cell r="A1246" t="str">
            <v>VV</v>
          </cell>
        </row>
        <row r="1247">
          <cell r="A1247" t="str">
            <v>VV</v>
          </cell>
        </row>
        <row r="1248">
          <cell r="A1248" t="str">
            <v>VV</v>
          </cell>
        </row>
        <row r="1249">
          <cell r="A1249" t="str">
            <v>VV</v>
          </cell>
        </row>
        <row r="1250">
          <cell r="A1250" t="str">
            <v>VV</v>
          </cell>
        </row>
        <row r="1251">
          <cell r="A1251" t="str">
            <v>VV</v>
          </cell>
        </row>
        <row r="1252">
          <cell r="A1252" t="str">
            <v>VV</v>
          </cell>
        </row>
        <row r="1253">
          <cell r="A1253" t="str">
            <v>VV</v>
          </cell>
        </row>
        <row r="1254">
          <cell r="A1254" t="str">
            <v>VV</v>
          </cell>
        </row>
        <row r="1255">
          <cell r="A1255" t="str">
            <v>VV</v>
          </cell>
        </row>
        <row r="1256">
          <cell r="A1256" t="str">
            <v>TS</v>
          </cell>
        </row>
      </sheetData>
      <sheetData sheetId="27">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TS</v>
          </cell>
        </row>
        <row r="15">
          <cell r="A15" t="str">
            <v>P</v>
          </cell>
          <cell r="O15">
            <v>0</v>
          </cell>
        </row>
        <row r="16">
          <cell r="A16" t="str">
            <v>PP</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TS</v>
          </cell>
        </row>
        <row r="32">
          <cell r="A32" t="str">
            <v>P</v>
          </cell>
          <cell r="O32">
            <v>0</v>
          </cell>
        </row>
        <row r="33">
          <cell r="A33" t="str">
            <v>PP</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TS</v>
          </cell>
        </row>
        <row r="44">
          <cell r="A44" t="str">
            <v>P</v>
          </cell>
          <cell r="O44">
            <v>0</v>
          </cell>
        </row>
        <row r="45">
          <cell r="A45" t="str">
            <v>PP</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TS</v>
          </cell>
        </row>
        <row r="62">
          <cell r="A62" t="str">
            <v>P</v>
          </cell>
          <cell r="O62">
            <v>0</v>
          </cell>
        </row>
        <row r="63">
          <cell r="A63" t="str">
            <v>PP</v>
          </cell>
        </row>
        <row r="64">
          <cell r="A64" t="str">
            <v>VV</v>
          </cell>
        </row>
        <row r="65">
          <cell r="A65" t="str">
            <v>VV</v>
          </cell>
        </row>
        <row r="66">
          <cell r="A66" t="str">
            <v>VV</v>
          </cell>
        </row>
        <row r="67">
          <cell r="A67" t="str">
            <v>VV</v>
          </cell>
        </row>
        <row r="68">
          <cell r="A68" t="str">
            <v>VV</v>
          </cell>
        </row>
        <row r="69">
          <cell r="A69" t="str">
            <v>VV</v>
          </cell>
        </row>
        <row r="70">
          <cell r="A70" t="str">
            <v>TS</v>
          </cell>
        </row>
        <row r="71">
          <cell r="A71" t="str">
            <v>P</v>
          </cell>
          <cell r="O71">
            <v>0</v>
          </cell>
        </row>
        <row r="72">
          <cell r="A72" t="str">
            <v>PP</v>
          </cell>
        </row>
        <row r="73">
          <cell r="A73" t="str">
            <v>VV</v>
          </cell>
        </row>
        <row r="74">
          <cell r="A74" t="str">
            <v>VV</v>
          </cell>
        </row>
        <row r="75">
          <cell r="A75" t="str">
            <v>VV</v>
          </cell>
        </row>
        <row r="76">
          <cell r="A76" t="str">
            <v>VV</v>
          </cell>
        </row>
        <row r="77">
          <cell r="A77" t="str">
            <v>VV</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TS</v>
          </cell>
        </row>
        <row r="93">
          <cell r="A93" t="str">
            <v>SD</v>
          </cell>
        </row>
        <row r="94">
          <cell r="A94" t="str">
            <v>P</v>
          </cell>
          <cell r="O94">
            <v>0</v>
          </cell>
        </row>
        <row r="95">
          <cell r="A95" t="str">
            <v>PP</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VV</v>
          </cell>
        </row>
        <row r="108">
          <cell r="A108" t="str">
            <v>VV</v>
          </cell>
        </row>
        <row r="109">
          <cell r="A109" t="str">
            <v>VV</v>
          </cell>
        </row>
        <row r="110">
          <cell r="A110" t="str">
            <v>TS</v>
          </cell>
        </row>
        <row r="111">
          <cell r="A111" t="str">
            <v>P</v>
          </cell>
          <cell r="O111">
            <v>0</v>
          </cell>
        </row>
        <row r="112">
          <cell r="A112" t="str">
            <v>PP</v>
          </cell>
        </row>
        <row r="113">
          <cell r="A113" t="str">
            <v>VV</v>
          </cell>
        </row>
        <row r="114">
          <cell r="A114" t="str">
            <v>VV</v>
          </cell>
        </row>
        <row r="115">
          <cell r="A115" t="str">
            <v>VV</v>
          </cell>
        </row>
        <row r="116">
          <cell r="A116" t="str">
            <v>VV</v>
          </cell>
        </row>
        <row r="117">
          <cell r="A117" t="str">
            <v>VV</v>
          </cell>
        </row>
        <row r="118">
          <cell r="A118" t="str">
            <v>VV</v>
          </cell>
        </row>
        <row r="119">
          <cell r="A119" t="str">
            <v>VV</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TS</v>
          </cell>
        </row>
        <row r="129">
          <cell r="A129" t="str">
            <v>SD</v>
          </cell>
        </row>
        <row r="130">
          <cell r="A130" t="str">
            <v>P</v>
          </cell>
          <cell r="O130">
            <v>0</v>
          </cell>
        </row>
        <row r="131">
          <cell r="A131" t="str">
            <v>PP</v>
          </cell>
        </row>
        <row r="132">
          <cell r="A132" t="str">
            <v>VV</v>
          </cell>
        </row>
        <row r="133">
          <cell r="A133" t="str">
            <v>VV</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TS</v>
          </cell>
        </row>
        <row r="147">
          <cell r="A147" t="str">
            <v>P</v>
          </cell>
          <cell r="O147">
            <v>0</v>
          </cell>
        </row>
        <row r="148">
          <cell r="A148" t="str">
            <v>PP</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VV</v>
          </cell>
        </row>
        <row r="164">
          <cell r="A164" t="str">
            <v>TS</v>
          </cell>
        </row>
        <row r="165">
          <cell r="A165" t="str">
            <v>P</v>
          </cell>
          <cell r="O165">
            <v>0</v>
          </cell>
        </row>
        <row r="166">
          <cell r="A166" t="str">
            <v>PP</v>
          </cell>
        </row>
        <row r="167">
          <cell r="A167" t="str">
            <v>VV</v>
          </cell>
        </row>
        <row r="168">
          <cell r="A168" t="str">
            <v>VV</v>
          </cell>
        </row>
        <row r="169">
          <cell r="A169" t="str">
            <v>TS</v>
          </cell>
        </row>
        <row r="170">
          <cell r="A170" t="str">
            <v>P</v>
          </cell>
          <cell r="O170">
            <v>0</v>
          </cell>
        </row>
        <row r="171">
          <cell r="A171" t="str">
            <v>PP</v>
          </cell>
        </row>
        <row r="172">
          <cell r="A172" t="str">
            <v>VV</v>
          </cell>
        </row>
        <row r="173">
          <cell r="A173" t="str">
            <v>VV</v>
          </cell>
        </row>
        <row r="174">
          <cell r="A174" t="str">
            <v>VV</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VV</v>
          </cell>
        </row>
        <row r="185">
          <cell r="A185" t="str">
            <v>VV</v>
          </cell>
        </row>
        <row r="186">
          <cell r="A186" t="str">
            <v>TS</v>
          </cell>
        </row>
        <row r="187">
          <cell r="A187" t="str">
            <v>P</v>
          </cell>
          <cell r="O187">
            <v>0</v>
          </cell>
        </row>
        <row r="188">
          <cell r="A188" t="str">
            <v>PP</v>
          </cell>
        </row>
        <row r="189">
          <cell r="A189" t="str">
            <v>VV</v>
          </cell>
        </row>
        <row r="190">
          <cell r="A190" t="str">
            <v>TS</v>
          </cell>
        </row>
      </sheetData>
      <sheetData sheetId="28">
        <row r="1">
          <cell r="A1" t="str">
            <v>EstiCon</v>
          </cell>
        </row>
        <row r="3">
          <cell r="A3" t="str">
            <v>S</v>
          </cell>
          <cell r="I3">
            <v>0</v>
          </cell>
          <cell r="O3">
            <v>0</v>
          </cell>
        </row>
        <row r="4">
          <cell r="A4" t="str">
            <v>O</v>
          </cell>
          <cell r="O4">
            <v>0.15</v>
          </cell>
        </row>
        <row r="5">
          <cell r="A5" t="str">
            <v>O1</v>
          </cell>
          <cell r="O5">
            <v>0.21</v>
          </cell>
        </row>
        <row r="6">
          <cell r="A6" t="str">
            <v>Typ</v>
          </cell>
        </row>
        <row r="8">
          <cell r="A8">
            <v>0</v>
          </cell>
        </row>
        <row r="9">
          <cell r="A9" t="str">
            <v>SD</v>
          </cell>
        </row>
        <row r="10">
          <cell r="A10" t="str">
            <v>P</v>
          </cell>
          <cell r="O10">
            <v>0</v>
          </cell>
        </row>
        <row r="11">
          <cell r="A11" t="str">
            <v>PP</v>
          </cell>
        </row>
        <row r="12">
          <cell r="A12" t="str">
            <v>VV</v>
          </cell>
        </row>
        <row r="13">
          <cell r="A13" t="str">
            <v>VV</v>
          </cell>
        </row>
        <row r="14">
          <cell r="A14" t="str">
            <v>TS</v>
          </cell>
        </row>
        <row r="15">
          <cell r="A15" t="str">
            <v>P</v>
          </cell>
          <cell r="O15">
            <v>0</v>
          </cell>
        </row>
        <row r="16">
          <cell r="A16" t="str">
            <v>PP</v>
          </cell>
        </row>
        <row r="17">
          <cell r="A17" t="str">
            <v>VV</v>
          </cell>
        </row>
        <row r="18">
          <cell r="A18" t="str">
            <v>VV</v>
          </cell>
        </row>
        <row r="19">
          <cell r="A19" t="str">
            <v>VV</v>
          </cell>
        </row>
        <row r="20">
          <cell r="A20" t="str">
            <v>VV</v>
          </cell>
        </row>
        <row r="21">
          <cell r="A21" t="str">
            <v>VV</v>
          </cell>
        </row>
        <row r="22">
          <cell r="A22" t="str">
            <v>VV</v>
          </cell>
        </row>
        <row r="23">
          <cell r="A23" t="str">
            <v>TS</v>
          </cell>
        </row>
        <row r="24">
          <cell r="A24" t="str">
            <v>P</v>
          </cell>
          <cell r="O24">
            <v>0</v>
          </cell>
        </row>
        <row r="25">
          <cell r="A25" t="str">
            <v>PP</v>
          </cell>
        </row>
        <row r="26">
          <cell r="A26" t="str">
            <v>VV</v>
          </cell>
        </row>
        <row r="27">
          <cell r="A27" t="str">
            <v>VV</v>
          </cell>
        </row>
        <row r="28">
          <cell r="A28" t="str">
            <v>VV</v>
          </cell>
        </row>
        <row r="29">
          <cell r="A29" t="str">
            <v>VV</v>
          </cell>
        </row>
        <row r="30">
          <cell r="A30" t="str">
            <v>VV</v>
          </cell>
        </row>
        <row r="31">
          <cell r="A31" t="str">
            <v>VV</v>
          </cell>
        </row>
        <row r="32">
          <cell r="A32" t="str">
            <v>TS</v>
          </cell>
        </row>
        <row r="33">
          <cell r="A33" t="str">
            <v>P</v>
          </cell>
          <cell r="O33">
            <v>0</v>
          </cell>
        </row>
        <row r="34">
          <cell r="A34" t="str">
            <v>PP</v>
          </cell>
        </row>
        <row r="35">
          <cell r="A35" t="str">
            <v>VV</v>
          </cell>
        </row>
        <row r="36">
          <cell r="A36" t="str">
            <v>VV</v>
          </cell>
        </row>
        <row r="37">
          <cell r="A37" t="str">
            <v>VV</v>
          </cell>
        </row>
        <row r="38">
          <cell r="A38" t="str">
            <v>VV</v>
          </cell>
        </row>
        <row r="39">
          <cell r="A39" t="str">
            <v>VV</v>
          </cell>
        </row>
        <row r="40">
          <cell r="A40" t="str">
            <v>VV</v>
          </cell>
        </row>
        <row r="41">
          <cell r="A41" t="str">
            <v>TS</v>
          </cell>
        </row>
        <row r="42">
          <cell r="A42" t="str">
            <v>P</v>
          </cell>
          <cell r="O42">
            <v>0</v>
          </cell>
        </row>
        <row r="43">
          <cell r="A43" t="str">
            <v>PP</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TS</v>
          </cell>
        </row>
        <row r="53">
          <cell r="A53" t="str">
            <v>SD</v>
          </cell>
        </row>
        <row r="54">
          <cell r="A54" t="str">
            <v>P</v>
          </cell>
          <cell r="O54">
            <v>0</v>
          </cell>
        </row>
        <row r="55">
          <cell r="A55" t="str">
            <v>PP</v>
          </cell>
        </row>
        <row r="56">
          <cell r="A56" t="str">
            <v>VV</v>
          </cell>
        </row>
        <row r="57">
          <cell r="A57" t="str">
            <v>VV</v>
          </cell>
        </row>
        <row r="58">
          <cell r="A58" t="str">
            <v>VV</v>
          </cell>
        </row>
        <row r="59">
          <cell r="A59" t="str">
            <v>VV</v>
          </cell>
        </row>
        <row r="60">
          <cell r="A60" t="str">
            <v>VV</v>
          </cell>
        </row>
        <row r="61">
          <cell r="A61" t="str">
            <v>VV</v>
          </cell>
        </row>
        <row r="62">
          <cell r="A62" t="str">
            <v>TS</v>
          </cell>
        </row>
        <row r="63">
          <cell r="A63" t="str">
            <v>P</v>
          </cell>
          <cell r="O63">
            <v>0</v>
          </cell>
        </row>
        <row r="64">
          <cell r="A64" t="str">
            <v>PP</v>
          </cell>
        </row>
        <row r="65">
          <cell r="A65" t="str">
            <v>VV</v>
          </cell>
        </row>
        <row r="66">
          <cell r="A66" t="str">
            <v>VV</v>
          </cell>
        </row>
        <row r="67">
          <cell r="A67" t="str">
            <v>VV</v>
          </cell>
        </row>
        <row r="68">
          <cell r="A68" t="str">
            <v>VV</v>
          </cell>
        </row>
        <row r="69">
          <cell r="A69" t="str">
            <v>VV</v>
          </cell>
        </row>
        <row r="70">
          <cell r="A70" t="str">
            <v>VV</v>
          </cell>
        </row>
        <row r="71">
          <cell r="A71" t="str">
            <v>TS</v>
          </cell>
        </row>
        <row r="72">
          <cell r="A72" t="str">
            <v>SD</v>
          </cell>
        </row>
        <row r="73">
          <cell r="A73" t="str">
            <v>P</v>
          </cell>
          <cell r="O73">
            <v>0</v>
          </cell>
        </row>
        <row r="74">
          <cell r="A74" t="str">
            <v>PP</v>
          </cell>
        </row>
        <row r="75">
          <cell r="A75" t="str">
            <v>VV</v>
          </cell>
        </row>
        <row r="76">
          <cell r="A76" t="str">
            <v>VV</v>
          </cell>
        </row>
        <row r="77">
          <cell r="A77" t="str">
            <v>VV</v>
          </cell>
        </row>
        <row r="78">
          <cell r="A78" t="str">
            <v>VV</v>
          </cell>
        </row>
        <row r="79">
          <cell r="A79" t="str">
            <v>VV</v>
          </cell>
        </row>
        <row r="80">
          <cell r="A80" t="str">
            <v>VV</v>
          </cell>
        </row>
        <row r="81">
          <cell r="A81" t="str">
            <v>TS</v>
          </cell>
        </row>
        <row r="82">
          <cell r="A82" t="str">
            <v>P</v>
          </cell>
          <cell r="O82">
            <v>0</v>
          </cell>
        </row>
        <row r="83">
          <cell r="A83" t="str">
            <v>PP</v>
          </cell>
        </row>
        <row r="84">
          <cell r="A84" t="str">
            <v>VV</v>
          </cell>
        </row>
        <row r="85">
          <cell r="A85" t="str">
            <v>VV</v>
          </cell>
        </row>
        <row r="86">
          <cell r="A86" t="str">
            <v>VV</v>
          </cell>
        </row>
        <row r="87">
          <cell r="A87" t="str">
            <v>VV</v>
          </cell>
        </row>
        <row r="88">
          <cell r="A88" t="str">
            <v>VV</v>
          </cell>
        </row>
        <row r="89">
          <cell r="A89" t="str">
            <v>VV</v>
          </cell>
        </row>
        <row r="90">
          <cell r="A90" t="str">
            <v>TS</v>
          </cell>
        </row>
        <row r="91">
          <cell r="A91" t="str">
            <v>P</v>
          </cell>
          <cell r="O91">
            <v>0</v>
          </cell>
        </row>
        <row r="92">
          <cell r="A92" t="str">
            <v>PP</v>
          </cell>
        </row>
        <row r="93">
          <cell r="A93" t="str">
            <v>VV</v>
          </cell>
        </row>
        <row r="94">
          <cell r="A94" t="str">
            <v>VV</v>
          </cell>
        </row>
        <row r="95">
          <cell r="A95" t="str">
            <v>TS</v>
          </cell>
        </row>
        <row r="96">
          <cell r="A96" t="str">
            <v>P</v>
          </cell>
          <cell r="O96">
            <v>0</v>
          </cell>
        </row>
        <row r="97">
          <cell r="A97" t="str">
            <v>PP</v>
          </cell>
        </row>
        <row r="98">
          <cell r="A98" t="str">
            <v>VV</v>
          </cell>
        </row>
        <row r="99">
          <cell r="A99" t="str">
            <v>VV</v>
          </cell>
        </row>
        <row r="100">
          <cell r="A100" t="str">
            <v>VV</v>
          </cell>
        </row>
        <row r="101">
          <cell r="A101" t="str">
            <v>VV</v>
          </cell>
        </row>
        <row r="102">
          <cell r="A102" t="str">
            <v>VV</v>
          </cell>
        </row>
        <row r="103">
          <cell r="A103" t="str">
            <v>VV</v>
          </cell>
        </row>
        <row r="104">
          <cell r="A104" t="str">
            <v>TS</v>
          </cell>
        </row>
      </sheetData>
      <sheetData sheetId="29">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TS</v>
          </cell>
        </row>
        <row r="15">
          <cell r="A15" t="str">
            <v>P</v>
          </cell>
          <cell r="O15">
            <v>0</v>
          </cell>
        </row>
        <row r="16">
          <cell r="A16" t="str">
            <v>PP</v>
          </cell>
        </row>
        <row r="17">
          <cell r="A17" t="str">
            <v>VV</v>
          </cell>
        </row>
        <row r="18">
          <cell r="A18" t="str">
            <v>VV</v>
          </cell>
        </row>
        <row r="19">
          <cell r="A19" t="str">
            <v>VV</v>
          </cell>
        </row>
        <row r="20">
          <cell r="A20" t="str">
            <v>VV</v>
          </cell>
        </row>
        <row r="21">
          <cell r="A21" t="str">
            <v>TS</v>
          </cell>
        </row>
        <row r="22">
          <cell r="A22" t="str">
            <v>P</v>
          </cell>
          <cell r="O22">
            <v>0</v>
          </cell>
        </row>
        <row r="23">
          <cell r="A23" t="str">
            <v>PP</v>
          </cell>
        </row>
        <row r="24">
          <cell r="A24" t="str">
            <v>VV</v>
          </cell>
        </row>
        <row r="25">
          <cell r="A25" t="str">
            <v>VV</v>
          </cell>
        </row>
        <row r="26">
          <cell r="A26" t="str">
            <v>VV</v>
          </cell>
        </row>
        <row r="27">
          <cell r="A27" t="str">
            <v>VV</v>
          </cell>
        </row>
        <row r="28">
          <cell r="A28" t="str">
            <v>TS</v>
          </cell>
        </row>
        <row r="29">
          <cell r="A29" t="str">
            <v>SD</v>
          </cell>
        </row>
        <row r="30">
          <cell r="A30" t="str">
            <v>P</v>
          </cell>
          <cell r="O30">
            <v>0</v>
          </cell>
        </row>
        <row r="31">
          <cell r="A31" t="str">
            <v>PP</v>
          </cell>
        </row>
        <row r="32">
          <cell r="A32" t="str">
            <v>VV</v>
          </cell>
        </row>
        <row r="33">
          <cell r="A33" t="str">
            <v>VV</v>
          </cell>
        </row>
        <row r="34">
          <cell r="A34" t="str">
            <v>VV</v>
          </cell>
        </row>
        <row r="35">
          <cell r="A35" t="str">
            <v>VV</v>
          </cell>
        </row>
        <row r="36">
          <cell r="A36" t="str">
            <v>TS</v>
          </cell>
        </row>
        <row r="37">
          <cell r="A37" t="str">
            <v>P</v>
          </cell>
          <cell r="O37">
            <v>0</v>
          </cell>
        </row>
        <row r="38">
          <cell r="A38" t="str">
            <v>PP</v>
          </cell>
        </row>
        <row r="39">
          <cell r="A39" t="str">
            <v>VV</v>
          </cell>
        </row>
        <row r="40">
          <cell r="A40" t="str">
            <v>VV</v>
          </cell>
        </row>
        <row r="41">
          <cell r="A41" t="str">
            <v>TS</v>
          </cell>
        </row>
        <row r="42">
          <cell r="A42" t="str">
            <v>SD</v>
          </cell>
        </row>
        <row r="43">
          <cell r="A43" t="str">
            <v>P</v>
          </cell>
          <cell r="O43">
            <v>0</v>
          </cell>
        </row>
        <row r="44">
          <cell r="A44" t="str">
            <v>PP</v>
          </cell>
        </row>
        <row r="45">
          <cell r="A45" t="str">
            <v>VV</v>
          </cell>
        </row>
        <row r="46">
          <cell r="A46" t="str">
            <v>VV</v>
          </cell>
        </row>
        <row r="47">
          <cell r="A47" t="str">
            <v>TS</v>
          </cell>
        </row>
        <row r="48">
          <cell r="A48" t="str">
            <v>P</v>
          </cell>
          <cell r="O48">
            <v>0</v>
          </cell>
        </row>
        <row r="49">
          <cell r="A49" t="str">
            <v>PP</v>
          </cell>
        </row>
        <row r="50">
          <cell r="A50" t="str">
            <v>VV</v>
          </cell>
        </row>
        <row r="51">
          <cell r="A51" t="str">
            <v>VV</v>
          </cell>
        </row>
        <row r="52">
          <cell r="A52" t="str">
            <v>TS</v>
          </cell>
        </row>
      </sheetData>
      <sheetData sheetId="30">
        <row r="1">
          <cell r="A1" t="str">
            <v>EstiCon</v>
          </cell>
        </row>
        <row r="3">
          <cell r="A3" t="str">
            <v>S</v>
          </cell>
          <cell r="I3">
            <v>0</v>
          </cell>
          <cell r="O3">
            <v>0</v>
          </cell>
        </row>
        <row r="4">
          <cell r="A4" t="str">
            <v>O</v>
          </cell>
          <cell r="O4">
            <v>0.15</v>
          </cell>
        </row>
        <row r="5">
          <cell r="A5" t="str">
            <v>Typ</v>
          </cell>
          <cell r="O5">
            <v>0.21</v>
          </cell>
        </row>
        <row r="7">
          <cell r="A7">
            <v>0</v>
          </cell>
        </row>
      </sheetData>
      <sheetData sheetId="31">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TS</v>
          </cell>
        </row>
        <row r="15">
          <cell r="A15" t="str">
            <v>P</v>
          </cell>
          <cell r="O15">
            <v>0</v>
          </cell>
        </row>
        <row r="16">
          <cell r="A16" t="str">
            <v>PP</v>
          </cell>
        </row>
        <row r="17">
          <cell r="A17" t="str">
            <v>VV</v>
          </cell>
        </row>
        <row r="18">
          <cell r="A18" t="str">
            <v>VV</v>
          </cell>
        </row>
        <row r="19">
          <cell r="A19" t="str">
            <v>TS</v>
          </cell>
        </row>
        <row r="20">
          <cell r="A20" t="str">
            <v>P</v>
          </cell>
          <cell r="O20">
            <v>0</v>
          </cell>
        </row>
        <row r="21">
          <cell r="A21" t="str">
            <v>PP</v>
          </cell>
        </row>
        <row r="22">
          <cell r="A22" t="str">
            <v>VV</v>
          </cell>
        </row>
        <row r="23">
          <cell r="A23" t="str">
            <v>VV</v>
          </cell>
        </row>
        <row r="24">
          <cell r="A24" t="str">
            <v>VV</v>
          </cell>
        </row>
        <row r="25">
          <cell r="A25" t="str">
            <v>VV</v>
          </cell>
        </row>
        <row r="26">
          <cell r="A26" t="str">
            <v>TS</v>
          </cell>
        </row>
        <row r="27">
          <cell r="A27" t="str">
            <v>P</v>
          </cell>
          <cell r="O27">
            <v>0</v>
          </cell>
        </row>
        <row r="28">
          <cell r="A28" t="str">
            <v>PP</v>
          </cell>
        </row>
        <row r="29">
          <cell r="A29" t="str">
            <v>VV</v>
          </cell>
        </row>
        <row r="30">
          <cell r="A30" t="str">
            <v>VV</v>
          </cell>
        </row>
        <row r="31">
          <cell r="A31" t="str">
            <v>VV</v>
          </cell>
        </row>
        <row r="32">
          <cell r="A32" t="str">
            <v>VV</v>
          </cell>
        </row>
        <row r="33">
          <cell r="A33" t="str">
            <v>VV</v>
          </cell>
        </row>
        <row r="34">
          <cell r="A34" t="str">
            <v>TS</v>
          </cell>
        </row>
        <row r="35">
          <cell r="A35" t="str">
            <v>P</v>
          </cell>
          <cell r="O35">
            <v>0</v>
          </cell>
        </row>
        <row r="36">
          <cell r="A36" t="str">
            <v>PP</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TS</v>
          </cell>
        </row>
        <row r="50">
          <cell r="A50" t="str">
            <v>P</v>
          </cell>
          <cell r="O50">
            <v>0</v>
          </cell>
        </row>
        <row r="51">
          <cell r="A51" t="str">
            <v>PP</v>
          </cell>
        </row>
        <row r="52">
          <cell r="A52" t="str">
            <v>VV</v>
          </cell>
        </row>
        <row r="53">
          <cell r="A53" t="str">
            <v>VV</v>
          </cell>
        </row>
        <row r="54">
          <cell r="A54" t="str">
            <v>TS</v>
          </cell>
        </row>
        <row r="55">
          <cell r="A55" t="str">
            <v>P</v>
          </cell>
          <cell r="O55">
            <v>0</v>
          </cell>
        </row>
        <row r="56">
          <cell r="A56" t="str">
            <v>PP</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TS</v>
          </cell>
        </row>
        <row r="77">
          <cell r="A77" t="str">
            <v>P</v>
          </cell>
          <cell r="O77">
            <v>0</v>
          </cell>
        </row>
        <row r="78">
          <cell r="A78" t="str">
            <v>PP</v>
          </cell>
        </row>
        <row r="79">
          <cell r="A79" t="str">
            <v>VV</v>
          </cell>
        </row>
        <row r="80">
          <cell r="A80" t="str">
            <v>VV</v>
          </cell>
        </row>
        <row r="81">
          <cell r="A81" t="str">
            <v>VV</v>
          </cell>
        </row>
        <row r="82">
          <cell r="A82" t="str">
            <v>TS</v>
          </cell>
        </row>
        <row r="83">
          <cell r="A83" t="str">
            <v>P</v>
          </cell>
          <cell r="O83">
            <v>0</v>
          </cell>
        </row>
        <row r="84">
          <cell r="A84" t="str">
            <v>PP</v>
          </cell>
        </row>
        <row r="85">
          <cell r="A85" t="str">
            <v>VV</v>
          </cell>
        </row>
        <row r="86">
          <cell r="A86" t="str">
            <v>VV</v>
          </cell>
        </row>
        <row r="87">
          <cell r="A87" t="str">
            <v>VV</v>
          </cell>
        </row>
        <row r="88">
          <cell r="A88" t="str">
            <v>TS</v>
          </cell>
        </row>
        <row r="89">
          <cell r="A89" t="str">
            <v>SD</v>
          </cell>
        </row>
        <row r="90">
          <cell r="A90" t="str">
            <v>P</v>
          </cell>
          <cell r="O90">
            <v>0</v>
          </cell>
        </row>
        <row r="91">
          <cell r="A91" t="str">
            <v>PP</v>
          </cell>
        </row>
        <row r="92">
          <cell r="A92" t="str">
            <v>VV</v>
          </cell>
        </row>
        <row r="93">
          <cell r="A93" t="str">
            <v>VV</v>
          </cell>
        </row>
        <row r="94">
          <cell r="A94" t="str">
            <v>TS</v>
          </cell>
        </row>
        <row r="95">
          <cell r="A95" t="str">
            <v>P</v>
          </cell>
          <cell r="O95">
            <v>0</v>
          </cell>
        </row>
        <row r="96">
          <cell r="A96" t="str">
            <v>PP</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TS</v>
          </cell>
        </row>
        <row r="105">
          <cell r="A105" t="str">
            <v>SD</v>
          </cell>
        </row>
        <row r="106">
          <cell r="A106" t="str">
            <v>P</v>
          </cell>
          <cell r="O106">
            <v>0</v>
          </cell>
        </row>
        <row r="107">
          <cell r="A107" t="str">
            <v>PP</v>
          </cell>
        </row>
        <row r="108">
          <cell r="A108" t="str">
            <v>VV</v>
          </cell>
        </row>
        <row r="109">
          <cell r="A109" t="str">
            <v>VV</v>
          </cell>
        </row>
        <row r="110">
          <cell r="A110" t="str">
            <v>VV</v>
          </cell>
        </row>
        <row r="111">
          <cell r="A111" t="str">
            <v>VV</v>
          </cell>
        </row>
        <row r="112">
          <cell r="A112" t="str">
            <v>VV</v>
          </cell>
        </row>
        <row r="113">
          <cell r="A113" t="str">
            <v>VV</v>
          </cell>
        </row>
        <row r="114">
          <cell r="A114" t="str">
            <v>VV</v>
          </cell>
        </row>
        <row r="115">
          <cell r="A115" t="str">
            <v>VV</v>
          </cell>
        </row>
        <row r="116">
          <cell r="A116" t="str">
            <v>VV</v>
          </cell>
        </row>
        <row r="117">
          <cell r="A117" t="str">
            <v>VV</v>
          </cell>
        </row>
        <row r="118">
          <cell r="A118" t="str">
            <v>TS</v>
          </cell>
        </row>
        <row r="119">
          <cell r="A119" t="str">
            <v>P</v>
          </cell>
          <cell r="O119">
            <v>0</v>
          </cell>
        </row>
        <row r="120">
          <cell r="A120" t="str">
            <v>PP</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TS</v>
          </cell>
        </row>
        <row r="132">
          <cell r="A132" t="str">
            <v>P</v>
          </cell>
          <cell r="O132">
            <v>0</v>
          </cell>
        </row>
        <row r="133">
          <cell r="A133" t="str">
            <v>PP</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TS</v>
          </cell>
        </row>
        <row r="145">
          <cell r="A145" t="str">
            <v>SD</v>
          </cell>
        </row>
        <row r="146">
          <cell r="A146" t="str">
            <v>P</v>
          </cell>
          <cell r="O146">
            <v>0</v>
          </cell>
        </row>
        <row r="147">
          <cell r="A147" t="str">
            <v>PP</v>
          </cell>
        </row>
        <row r="148">
          <cell r="A148" t="str">
            <v>VV</v>
          </cell>
        </row>
        <row r="149">
          <cell r="A149" t="str">
            <v>VV</v>
          </cell>
        </row>
        <row r="150">
          <cell r="A150" t="str">
            <v>VV</v>
          </cell>
        </row>
        <row r="151">
          <cell r="A151" t="str">
            <v>VV</v>
          </cell>
        </row>
        <row r="152">
          <cell r="A152" t="str">
            <v>TS</v>
          </cell>
        </row>
        <row r="153">
          <cell r="A153" t="str">
            <v>P</v>
          </cell>
          <cell r="O153">
            <v>0</v>
          </cell>
        </row>
        <row r="154">
          <cell r="A154" t="str">
            <v>PP</v>
          </cell>
        </row>
        <row r="155">
          <cell r="A155" t="str">
            <v>VV</v>
          </cell>
        </row>
        <row r="156">
          <cell r="A156" t="str">
            <v>VV</v>
          </cell>
        </row>
        <row r="157">
          <cell r="A157" t="str">
            <v>TS</v>
          </cell>
        </row>
        <row r="158">
          <cell r="A158" t="str">
            <v>P</v>
          </cell>
          <cell r="O158">
            <v>0</v>
          </cell>
        </row>
        <row r="159">
          <cell r="A159" t="str">
            <v>PP</v>
          </cell>
        </row>
        <row r="160">
          <cell r="A160" t="str">
            <v>VV</v>
          </cell>
        </row>
        <row r="161">
          <cell r="A161" t="str">
            <v>VV</v>
          </cell>
        </row>
        <row r="162">
          <cell r="A162" t="str">
            <v>VV</v>
          </cell>
        </row>
        <row r="163">
          <cell r="A163" t="str">
            <v>VV</v>
          </cell>
        </row>
        <row r="164">
          <cell r="A164" t="str">
            <v>VV</v>
          </cell>
        </row>
        <row r="165">
          <cell r="A165" t="str">
            <v>VV</v>
          </cell>
        </row>
        <row r="166">
          <cell r="A166" t="str">
            <v>VV</v>
          </cell>
        </row>
        <row r="167">
          <cell r="A167" t="str">
            <v>VV</v>
          </cell>
        </row>
        <row r="168">
          <cell r="A168" t="str">
            <v>VV</v>
          </cell>
        </row>
        <row r="169">
          <cell r="A169" t="str">
            <v>VV</v>
          </cell>
        </row>
        <row r="170">
          <cell r="A170" t="str">
            <v>TS</v>
          </cell>
        </row>
        <row r="171">
          <cell r="A171" t="str">
            <v>P</v>
          </cell>
          <cell r="O171">
            <v>0</v>
          </cell>
        </row>
        <row r="172">
          <cell r="A172" t="str">
            <v>PP</v>
          </cell>
        </row>
        <row r="173">
          <cell r="A173" t="str">
            <v>VV</v>
          </cell>
        </row>
        <row r="174">
          <cell r="A174" t="str">
            <v>VV</v>
          </cell>
        </row>
        <row r="175">
          <cell r="A175" t="str">
            <v>VV</v>
          </cell>
        </row>
        <row r="176">
          <cell r="A176" t="str">
            <v>TS</v>
          </cell>
        </row>
        <row r="177">
          <cell r="A177" t="str">
            <v>P</v>
          </cell>
          <cell r="O177">
            <v>0</v>
          </cell>
        </row>
        <row r="178">
          <cell r="A178" t="str">
            <v>PP</v>
          </cell>
        </row>
        <row r="179">
          <cell r="A179" t="str">
            <v>VV</v>
          </cell>
        </row>
        <row r="180">
          <cell r="A180" t="str">
            <v>VV</v>
          </cell>
        </row>
        <row r="181">
          <cell r="A181" t="str">
            <v>VV</v>
          </cell>
        </row>
        <row r="182">
          <cell r="A182" t="str">
            <v>VV</v>
          </cell>
        </row>
        <row r="183">
          <cell r="A183" t="str">
            <v>VV</v>
          </cell>
        </row>
        <row r="184">
          <cell r="A184" t="str">
            <v>VV</v>
          </cell>
        </row>
        <row r="185">
          <cell r="A185" t="str">
            <v>VV</v>
          </cell>
        </row>
        <row r="186">
          <cell r="A186" t="str">
            <v>VV</v>
          </cell>
        </row>
        <row r="187">
          <cell r="A187" t="str">
            <v>VV</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VV</v>
          </cell>
        </row>
        <row r="198">
          <cell r="A198" t="str">
            <v>VV</v>
          </cell>
        </row>
        <row r="199">
          <cell r="A199" t="str">
            <v>VV</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TS</v>
          </cell>
        </row>
        <row r="208">
          <cell r="A208" t="str">
            <v>P</v>
          </cell>
          <cell r="O208">
            <v>0</v>
          </cell>
        </row>
        <row r="209">
          <cell r="A209" t="str">
            <v>PP</v>
          </cell>
        </row>
        <row r="210">
          <cell r="A210" t="str">
            <v>VV</v>
          </cell>
        </row>
        <row r="211">
          <cell r="A211" t="str">
            <v>VV</v>
          </cell>
        </row>
        <row r="212">
          <cell r="A212" t="str">
            <v>VV</v>
          </cell>
        </row>
        <row r="213">
          <cell r="A213" t="str">
            <v>VV</v>
          </cell>
        </row>
        <row r="214">
          <cell r="A214" t="str">
            <v>VV</v>
          </cell>
        </row>
        <row r="215">
          <cell r="A215" t="str">
            <v>VV</v>
          </cell>
        </row>
        <row r="216">
          <cell r="A216" t="str">
            <v>VV</v>
          </cell>
        </row>
        <row r="217">
          <cell r="A217" t="str">
            <v>VV</v>
          </cell>
        </row>
        <row r="218">
          <cell r="A218" t="str">
            <v>VV</v>
          </cell>
        </row>
        <row r="219">
          <cell r="A219" t="str">
            <v>VV</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VV</v>
          </cell>
        </row>
        <row r="232">
          <cell r="A232" t="str">
            <v>VV</v>
          </cell>
        </row>
        <row r="233">
          <cell r="A233" t="str">
            <v>VV</v>
          </cell>
        </row>
        <row r="234">
          <cell r="A234" t="str">
            <v>VV</v>
          </cell>
        </row>
        <row r="235">
          <cell r="A235" t="str">
            <v>VV</v>
          </cell>
        </row>
        <row r="236">
          <cell r="A236" t="str">
            <v>VV</v>
          </cell>
        </row>
        <row r="237">
          <cell r="A237" t="str">
            <v>VV</v>
          </cell>
        </row>
        <row r="238">
          <cell r="A238" t="str">
            <v>TS</v>
          </cell>
        </row>
      </sheetData>
      <sheetData sheetId="32">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TS</v>
          </cell>
        </row>
        <row r="54">
          <cell r="A54" t="str">
            <v>P</v>
          </cell>
          <cell r="O54">
            <v>0</v>
          </cell>
        </row>
        <row r="55">
          <cell r="A55" t="str">
            <v>PP</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TS</v>
          </cell>
        </row>
        <row r="79">
          <cell r="A79" t="str">
            <v>P</v>
          </cell>
          <cell r="O79">
            <v>0</v>
          </cell>
        </row>
        <row r="80">
          <cell r="A80" t="str">
            <v>PP</v>
          </cell>
        </row>
        <row r="81">
          <cell r="A81" t="str">
            <v>VV</v>
          </cell>
        </row>
        <row r="82">
          <cell r="A82" t="str">
            <v>VV</v>
          </cell>
        </row>
        <row r="83">
          <cell r="A83" t="str">
            <v>TS</v>
          </cell>
        </row>
        <row r="84">
          <cell r="A84" t="str">
            <v>SD</v>
          </cell>
        </row>
        <row r="85">
          <cell r="A85" t="str">
            <v>P</v>
          </cell>
          <cell r="O85">
            <v>0</v>
          </cell>
        </row>
        <row r="86">
          <cell r="A86" t="str">
            <v>PP</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VV</v>
          </cell>
        </row>
        <row r="97">
          <cell r="A97" t="str">
            <v>VV</v>
          </cell>
        </row>
        <row r="98">
          <cell r="A98" t="str">
            <v>VV</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VV</v>
          </cell>
        </row>
        <row r="108">
          <cell r="A108" t="str">
            <v>VV</v>
          </cell>
        </row>
        <row r="109">
          <cell r="A109" t="str">
            <v>TS</v>
          </cell>
        </row>
        <row r="110">
          <cell r="A110" t="str">
            <v>P</v>
          </cell>
          <cell r="O110">
            <v>0</v>
          </cell>
        </row>
        <row r="111">
          <cell r="A111" t="str">
            <v>PP</v>
          </cell>
        </row>
        <row r="112">
          <cell r="A112" t="str">
            <v>VV</v>
          </cell>
        </row>
        <row r="113">
          <cell r="A113" t="str">
            <v>VV</v>
          </cell>
        </row>
        <row r="114">
          <cell r="A114" t="str">
            <v>VV</v>
          </cell>
        </row>
        <row r="115">
          <cell r="A115" t="str">
            <v>VV</v>
          </cell>
        </row>
        <row r="116">
          <cell r="A116" t="str">
            <v>VV</v>
          </cell>
        </row>
        <row r="117">
          <cell r="A117" t="str">
            <v>VV</v>
          </cell>
        </row>
        <row r="118">
          <cell r="A118" t="str">
            <v>VV</v>
          </cell>
        </row>
        <row r="119">
          <cell r="A119" t="str">
            <v>VV</v>
          </cell>
        </row>
        <row r="120">
          <cell r="A120" t="str">
            <v>VV</v>
          </cell>
        </row>
        <row r="121">
          <cell r="A121" t="str">
            <v>VV</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VV</v>
          </cell>
        </row>
        <row r="134">
          <cell r="A134" t="str">
            <v>TS</v>
          </cell>
        </row>
        <row r="135">
          <cell r="A135" t="str">
            <v>P</v>
          </cell>
          <cell r="O135">
            <v>0</v>
          </cell>
        </row>
        <row r="136">
          <cell r="A136" t="str">
            <v>PP</v>
          </cell>
        </row>
        <row r="137">
          <cell r="A137" t="str">
            <v>VV</v>
          </cell>
        </row>
        <row r="138">
          <cell r="A138" t="str">
            <v>VV</v>
          </cell>
        </row>
        <row r="139">
          <cell r="A139" t="str">
            <v>VV</v>
          </cell>
        </row>
        <row r="140">
          <cell r="A140" t="str">
            <v>VV</v>
          </cell>
        </row>
        <row r="141">
          <cell r="A141" t="str">
            <v>VV</v>
          </cell>
        </row>
        <row r="142">
          <cell r="A142" t="str">
            <v>VV</v>
          </cell>
        </row>
        <row r="143">
          <cell r="A143" t="str">
            <v>VV</v>
          </cell>
        </row>
        <row r="144">
          <cell r="A144" t="str">
            <v>VV</v>
          </cell>
        </row>
        <row r="145">
          <cell r="A145" t="str">
            <v>VV</v>
          </cell>
        </row>
        <row r="146">
          <cell r="A146" t="str">
            <v>VV</v>
          </cell>
        </row>
        <row r="147">
          <cell r="A147" t="str">
            <v>VV</v>
          </cell>
        </row>
        <row r="148">
          <cell r="A148" t="str">
            <v>VV</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TS</v>
          </cell>
        </row>
        <row r="160">
          <cell r="A160" t="str">
            <v>P</v>
          </cell>
          <cell r="O160">
            <v>0</v>
          </cell>
        </row>
        <row r="161">
          <cell r="A161" t="str">
            <v>PP</v>
          </cell>
        </row>
        <row r="162">
          <cell r="A162" t="str">
            <v>VV</v>
          </cell>
        </row>
        <row r="163">
          <cell r="A163" t="str">
            <v>VV</v>
          </cell>
        </row>
        <row r="164">
          <cell r="A164" t="str">
            <v>VV</v>
          </cell>
        </row>
        <row r="165">
          <cell r="A165" t="str">
            <v>VV</v>
          </cell>
        </row>
        <row r="166">
          <cell r="A166" t="str">
            <v>VV</v>
          </cell>
        </row>
        <row r="167">
          <cell r="A167" t="str">
            <v>VV</v>
          </cell>
        </row>
        <row r="168">
          <cell r="A168" t="str">
            <v>VV</v>
          </cell>
        </row>
        <row r="169">
          <cell r="A169" t="str">
            <v>VV</v>
          </cell>
        </row>
        <row r="170">
          <cell r="A170" t="str">
            <v>VV</v>
          </cell>
        </row>
        <row r="171">
          <cell r="A171" t="str">
            <v>VV</v>
          </cell>
        </row>
        <row r="172">
          <cell r="A172" t="str">
            <v>VV</v>
          </cell>
        </row>
        <row r="173">
          <cell r="A173" t="str">
            <v>VV</v>
          </cell>
        </row>
        <row r="174">
          <cell r="A174" t="str">
            <v>VV</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TS</v>
          </cell>
        </row>
        <row r="185">
          <cell r="A185" t="str">
            <v>SD</v>
          </cell>
        </row>
        <row r="186">
          <cell r="A186" t="str">
            <v>P</v>
          </cell>
          <cell r="O186">
            <v>0</v>
          </cell>
        </row>
        <row r="187">
          <cell r="A187" t="str">
            <v>PP</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VV</v>
          </cell>
        </row>
        <row r="198">
          <cell r="A198" t="str">
            <v>VV</v>
          </cell>
        </row>
        <row r="199">
          <cell r="A199" t="str">
            <v>VV</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VV</v>
          </cell>
        </row>
        <row r="208">
          <cell r="A208" t="str">
            <v>VV</v>
          </cell>
        </row>
        <row r="209">
          <cell r="A209" t="str">
            <v>TS</v>
          </cell>
        </row>
        <row r="210">
          <cell r="A210" t="str">
            <v>P</v>
          </cell>
          <cell r="O210">
            <v>0</v>
          </cell>
        </row>
        <row r="211">
          <cell r="A211" t="str">
            <v>PP</v>
          </cell>
        </row>
        <row r="212">
          <cell r="A212" t="str">
            <v>VV</v>
          </cell>
        </row>
        <row r="213">
          <cell r="A213" t="str">
            <v>VV</v>
          </cell>
        </row>
        <row r="214">
          <cell r="A214" t="str">
            <v>VV</v>
          </cell>
        </row>
        <row r="215">
          <cell r="A215" t="str">
            <v>VV</v>
          </cell>
        </row>
        <row r="216">
          <cell r="A216" t="str">
            <v>VV</v>
          </cell>
        </row>
        <row r="217">
          <cell r="A217" t="str">
            <v>VV</v>
          </cell>
        </row>
        <row r="218">
          <cell r="A218" t="str">
            <v>VV</v>
          </cell>
        </row>
        <row r="219">
          <cell r="A219" t="str">
            <v>VV</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VV</v>
          </cell>
        </row>
        <row r="232">
          <cell r="A232" t="str">
            <v>VV</v>
          </cell>
        </row>
        <row r="233">
          <cell r="A233" t="str">
            <v>VV</v>
          </cell>
        </row>
        <row r="234">
          <cell r="A234" t="str">
            <v>TS</v>
          </cell>
        </row>
        <row r="235">
          <cell r="A235" t="str">
            <v>P</v>
          </cell>
          <cell r="O235">
            <v>0</v>
          </cell>
        </row>
        <row r="236">
          <cell r="A236" t="str">
            <v>PP</v>
          </cell>
        </row>
        <row r="237">
          <cell r="A237" t="str">
            <v>VV</v>
          </cell>
        </row>
        <row r="238">
          <cell r="A238" t="str">
            <v>VV</v>
          </cell>
        </row>
        <row r="239">
          <cell r="A239" t="str">
            <v>VV</v>
          </cell>
        </row>
        <row r="240">
          <cell r="A240" t="str">
            <v>VV</v>
          </cell>
        </row>
        <row r="241">
          <cell r="A241" t="str">
            <v>VV</v>
          </cell>
        </row>
        <row r="242">
          <cell r="A242" t="str">
            <v>VV</v>
          </cell>
        </row>
        <row r="243">
          <cell r="A243" t="str">
            <v>VV</v>
          </cell>
        </row>
        <row r="244">
          <cell r="A244" t="str">
            <v>VV</v>
          </cell>
        </row>
        <row r="245">
          <cell r="A245" t="str">
            <v>VV</v>
          </cell>
        </row>
        <row r="246">
          <cell r="A246" t="str">
            <v>VV</v>
          </cell>
        </row>
        <row r="247">
          <cell r="A247" t="str">
            <v>VV</v>
          </cell>
        </row>
        <row r="248">
          <cell r="A248" t="str">
            <v>VV</v>
          </cell>
        </row>
        <row r="249">
          <cell r="A249" t="str">
            <v>VV</v>
          </cell>
        </row>
        <row r="250">
          <cell r="A250" t="str">
            <v>VV</v>
          </cell>
        </row>
        <row r="251">
          <cell r="A251" t="str">
            <v>VV</v>
          </cell>
        </row>
        <row r="252">
          <cell r="A252" t="str">
            <v>VV</v>
          </cell>
        </row>
        <row r="253">
          <cell r="A253" t="str">
            <v>VV</v>
          </cell>
        </row>
        <row r="254">
          <cell r="A254" t="str">
            <v>VV</v>
          </cell>
        </row>
        <row r="255">
          <cell r="A255" t="str">
            <v>VV</v>
          </cell>
        </row>
        <row r="256">
          <cell r="A256" t="str">
            <v>VV</v>
          </cell>
        </row>
        <row r="257">
          <cell r="A257" t="str">
            <v>VV</v>
          </cell>
        </row>
        <row r="258">
          <cell r="A258" t="str">
            <v>VV</v>
          </cell>
        </row>
        <row r="259">
          <cell r="A259" t="str">
            <v>VV</v>
          </cell>
        </row>
        <row r="260">
          <cell r="A260" t="str">
            <v>VV</v>
          </cell>
        </row>
        <row r="261">
          <cell r="A261" t="str">
            <v>VV</v>
          </cell>
        </row>
        <row r="262">
          <cell r="A262" t="str">
            <v>VV</v>
          </cell>
        </row>
        <row r="263">
          <cell r="A263" t="str">
            <v>VV</v>
          </cell>
        </row>
        <row r="264">
          <cell r="A264" t="str">
            <v>VV</v>
          </cell>
        </row>
        <row r="265">
          <cell r="A265" t="str">
            <v>VV</v>
          </cell>
        </row>
        <row r="266">
          <cell r="A266" t="str">
            <v>VV</v>
          </cell>
        </row>
        <row r="267">
          <cell r="A267" t="str">
            <v>VV</v>
          </cell>
        </row>
        <row r="268">
          <cell r="A268" t="str">
            <v>VV</v>
          </cell>
        </row>
        <row r="269">
          <cell r="A269" t="str">
            <v>VV</v>
          </cell>
        </row>
        <row r="270">
          <cell r="A270" t="str">
            <v>VV</v>
          </cell>
        </row>
        <row r="271">
          <cell r="A271" t="str">
            <v>VV</v>
          </cell>
        </row>
        <row r="272">
          <cell r="A272" t="str">
            <v>VV</v>
          </cell>
        </row>
        <row r="273">
          <cell r="A273" t="str">
            <v>VV</v>
          </cell>
        </row>
        <row r="274">
          <cell r="A274" t="str">
            <v>VV</v>
          </cell>
        </row>
        <row r="275">
          <cell r="A275" t="str">
            <v>VV</v>
          </cell>
        </row>
        <row r="276">
          <cell r="A276" t="str">
            <v>VV</v>
          </cell>
        </row>
        <row r="277">
          <cell r="A277" t="str">
            <v>VV</v>
          </cell>
        </row>
        <row r="278">
          <cell r="A278" t="str">
            <v>VV</v>
          </cell>
        </row>
        <row r="279">
          <cell r="A279" t="str">
            <v>VV</v>
          </cell>
        </row>
        <row r="280">
          <cell r="A280" t="str">
            <v>VV</v>
          </cell>
        </row>
        <row r="281">
          <cell r="A281" t="str">
            <v>VV</v>
          </cell>
        </row>
        <row r="282">
          <cell r="A282" t="str">
            <v>VV</v>
          </cell>
        </row>
        <row r="283">
          <cell r="A283" t="str">
            <v>VV</v>
          </cell>
        </row>
        <row r="284">
          <cell r="A284" t="str">
            <v>VV</v>
          </cell>
        </row>
        <row r="285">
          <cell r="A285" t="str">
            <v>VV</v>
          </cell>
        </row>
        <row r="286">
          <cell r="A286" t="str">
            <v>VV</v>
          </cell>
        </row>
        <row r="287">
          <cell r="A287" t="str">
            <v>VV</v>
          </cell>
        </row>
        <row r="288">
          <cell r="A288" t="str">
            <v>VV</v>
          </cell>
        </row>
        <row r="289">
          <cell r="A289" t="str">
            <v>VV</v>
          </cell>
        </row>
        <row r="290">
          <cell r="A290" t="str">
            <v>VV</v>
          </cell>
        </row>
        <row r="291">
          <cell r="A291" t="str">
            <v>VV</v>
          </cell>
        </row>
        <row r="292">
          <cell r="A292" t="str">
            <v>VV</v>
          </cell>
        </row>
        <row r="293">
          <cell r="A293" t="str">
            <v>VV</v>
          </cell>
        </row>
        <row r="294">
          <cell r="A294" t="str">
            <v>VV</v>
          </cell>
        </row>
        <row r="295">
          <cell r="A295" t="str">
            <v>VV</v>
          </cell>
        </row>
        <row r="296">
          <cell r="A296" t="str">
            <v>VV</v>
          </cell>
        </row>
        <row r="297">
          <cell r="A297" t="str">
            <v>VV</v>
          </cell>
        </row>
        <row r="298">
          <cell r="A298" t="str">
            <v>VV</v>
          </cell>
        </row>
        <row r="299">
          <cell r="A299" t="str">
            <v>VV</v>
          </cell>
        </row>
        <row r="300">
          <cell r="A300" t="str">
            <v>VV</v>
          </cell>
        </row>
        <row r="301">
          <cell r="A301" t="str">
            <v>VV</v>
          </cell>
        </row>
        <row r="302">
          <cell r="A302" t="str">
            <v>VV</v>
          </cell>
        </row>
        <row r="303">
          <cell r="A303" t="str">
            <v>VV</v>
          </cell>
        </row>
        <row r="304">
          <cell r="A304" t="str">
            <v>VV</v>
          </cell>
        </row>
        <row r="305">
          <cell r="A305" t="str">
            <v>VV</v>
          </cell>
        </row>
        <row r="306">
          <cell r="A306" t="str">
            <v>VV</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VV</v>
          </cell>
        </row>
        <row r="320">
          <cell r="A320" t="str">
            <v>VV</v>
          </cell>
        </row>
        <row r="321">
          <cell r="A321" t="str">
            <v>VV</v>
          </cell>
        </row>
        <row r="322">
          <cell r="A322" t="str">
            <v>VV</v>
          </cell>
        </row>
        <row r="323">
          <cell r="A323" t="str">
            <v>VV</v>
          </cell>
        </row>
        <row r="324">
          <cell r="A324" t="str">
            <v>VV</v>
          </cell>
        </row>
        <row r="325">
          <cell r="A325" t="str">
            <v>VV</v>
          </cell>
        </row>
        <row r="326">
          <cell r="A326" t="str">
            <v>VV</v>
          </cell>
        </row>
        <row r="327">
          <cell r="A327" t="str">
            <v>VV</v>
          </cell>
        </row>
        <row r="328">
          <cell r="A328" t="str">
            <v>VV</v>
          </cell>
        </row>
        <row r="329">
          <cell r="A329" t="str">
            <v>VV</v>
          </cell>
        </row>
        <row r="330">
          <cell r="A330" t="str">
            <v>VV</v>
          </cell>
        </row>
        <row r="331">
          <cell r="A331" t="str">
            <v>VV</v>
          </cell>
        </row>
        <row r="332">
          <cell r="A332" t="str">
            <v>VV</v>
          </cell>
        </row>
        <row r="333">
          <cell r="A333" t="str">
            <v>VV</v>
          </cell>
        </row>
        <row r="334">
          <cell r="A334" t="str">
            <v>VV</v>
          </cell>
        </row>
        <row r="335">
          <cell r="A335" t="str">
            <v>VV</v>
          </cell>
        </row>
        <row r="336">
          <cell r="A336" t="str">
            <v>VV</v>
          </cell>
        </row>
        <row r="337">
          <cell r="A337" t="str">
            <v>VV</v>
          </cell>
        </row>
        <row r="338">
          <cell r="A338" t="str">
            <v>TS</v>
          </cell>
        </row>
        <row r="339">
          <cell r="A339" t="str">
            <v>SD</v>
          </cell>
        </row>
        <row r="340">
          <cell r="A340" t="str">
            <v>P</v>
          </cell>
          <cell r="O340">
            <v>0</v>
          </cell>
        </row>
        <row r="341">
          <cell r="A341" t="str">
            <v>PP</v>
          </cell>
        </row>
        <row r="342">
          <cell r="A342" t="str">
            <v>VV</v>
          </cell>
        </row>
        <row r="343">
          <cell r="A343" t="str">
            <v>VV</v>
          </cell>
        </row>
        <row r="344">
          <cell r="A344" t="str">
            <v>VV</v>
          </cell>
        </row>
        <row r="345">
          <cell r="A345" t="str">
            <v>VV</v>
          </cell>
        </row>
        <row r="346">
          <cell r="A346" t="str">
            <v>VV</v>
          </cell>
        </row>
        <row r="347">
          <cell r="A347" t="str">
            <v>VV</v>
          </cell>
        </row>
        <row r="348">
          <cell r="A348" t="str">
            <v>VV</v>
          </cell>
        </row>
        <row r="349">
          <cell r="A349" t="str">
            <v>VV</v>
          </cell>
        </row>
        <row r="350">
          <cell r="A350" t="str">
            <v>VV</v>
          </cell>
        </row>
        <row r="351">
          <cell r="A351" t="str">
            <v>VV</v>
          </cell>
        </row>
        <row r="352">
          <cell r="A352" t="str">
            <v>VV</v>
          </cell>
        </row>
        <row r="353">
          <cell r="A353" t="str">
            <v>VV</v>
          </cell>
        </row>
        <row r="354">
          <cell r="A354" t="str">
            <v>VV</v>
          </cell>
        </row>
        <row r="355">
          <cell r="A355" t="str">
            <v>VV</v>
          </cell>
        </row>
        <row r="356">
          <cell r="A356" t="str">
            <v>VV</v>
          </cell>
        </row>
        <row r="357">
          <cell r="A357" t="str">
            <v>VV</v>
          </cell>
        </row>
        <row r="358">
          <cell r="A358" t="str">
            <v>VV</v>
          </cell>
        </row>
        <row r="359">
          <cell r="A359" t="str">
            <v>VV</v>
          </cell>
        </row>
        <row r="360">
          <cell r="A360" t="str">
            <v>VV</v>
          </cell>
        </row>
        <row r="361">
          <cell r="A361" t="str">
            <v>VV</v>
          </cell>
        </row>
        <row r="362">
          <cell r="A362" t="str">
            <v>VV</v>
          </cell>
        </row>
        <row r="363">
          <cell r="A363" t="str">
            <v>VV</v>
          </cell>
        </row>
        <row r="364">
          <cell r="A364" t="str">
            <v>TS</v>
          </cell>
        </row>
        <row r="365">
          <cell r="A365" t="str">
            <v>SD</v>
          </cell>
        </row>
        <row r="366">
          <cell r="A366" t="str">
            <v>P</v>
          </cell>
          <cell r="O366">
            <v>0</v>
          </cell>
        </row>
        <row r="367">
          <cell r="A367" t="str">
            <v>PP</v>
          </cell>
        </row>
        <row r="368">
          <cell r="A368" t="str">
            <v>VV</v>
          </cell>
        </row>
        <row r="369">
          <cell r="A369" t="str">
            <v>TS</v>
          </cell>
        </row>
        <row r="370">
          <cell r="A370" t="str">
            <v>P</v>
          </cell>
          <cell r="O370">
            <v>0</v>
          </cell>
        </row>
        <row r="371">
          <cell r="A371" t="str">
            <v>PP</v>
          </cell>
        </row>
        <row r="372">
          <cell r="A372" t="str">
            <v>VV</v>
          </cell>
        </row>
        <row r="373">
          <cell r="A373" t="str">
            <v>TS</v>
          </cell>
        </row>
        <row r="374">
          <cell r="A374" t="str">
            <v>P</v>
          </cell>
          <cell r="O374">
            <v>0</v>
          </cell>
        </row>
        <row r="375">
          <cell r="A375" t="str">
            <v>PP</v>
          </cell>
        </row>
        <row r="376">
          <cell r="A376" t="str">
            <v>VV</v>
          </cell>
        </row>
        <row r="377">
          <cell r="A377" t="str">
            <v>TS</v>
          </cell>
        </row>
        <row r="378">
          <cell r="A378" t="str">
            <v>P</v>
          </cell>
          <cell r="O378">
            <v>0</v>
          </cell>
        </row>
        <row r="379">
          <cell r="A379" t="str">
            <v>PP</v>
          </cell>
        </row>
        <row r="380">
          <cell r="A380" t="str">
            <v>VV</v>
          </cell>
        </row>
        <row r="381">
          <cell r="A381" t="str">
            <v>TS</v>
          </cell>
        </row>
        <row r="382">
          <cell r="A382" t="str">
            <v>P</v>
          </cell>
          <cell r="O382">
            <v>0</v>
          </cell>
        </row>
        <row r="383">
          <cell r="A383" t="str">
            <v>PP</v>
          </cell>
        </row>
        <row r="384">
          <cell r="A384" t="str">
            <v>VV</v>
          </cell>
        </row>
        <row r="385">
          <cell r="A385" t="str">
            <v>TS</v>
          </cell>
        </row>
        <row r="386">
          <cell r="A386" t="str">
            <v>P</v>
          </cell>
          <cell r="O386">
            <v>0</v>
          </cell>
        </row>
        <row r="387">
          <cell r="A387" t="str">
            <v>PP</v>
          </cell>
        </row>
        <row r="388">
          <cell r="A388" t="str">
            <v>VV</v>
          </cell>
        </row>
        <row r="389">
          <cell r="A389" t="str">
            <v>TS</v>
          </cell>
        </row>
      </sheetData>
      <sheetData sheetId="33">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TS</v>
          </cell>
        </row>
        <row r="48">
          <cell r="A48" t="str">
            <v>P</v>
          </cell>
          <cell r="O48">
            <v>0</v>
          </cell>
        </row>
        <row r="49">
          <cell r="A49" t="str">
            <v>PP</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TS</v>
          </cell>
        </row>
        <row r="70">
          <cell r="A70" t="str">
            <v>P</v>
          </cell>
          <cell r="O70">
            <v>0</v>
          </cell>
        </row>
        <row r="71">
          <cell r="A71" t="str">
            <v>PP</v>
          </cell>
        </row>
        <row r="72">
          <cell r="A72" t="str">
            <v>VV</v>
          </cell>
        </row>
        <row r="73">
          <cell r="A73" t="str">
            <v>VV</v>
          </cell>
        </row>
        <row r="74">
          <cell r="A74" t="str">
            <v>TS</v>
          </cell>
        </row>
        <row r="75">
          <cell r="A75" t="str">
            <v>SD</v>
          </cell>
        </row>
        <row r="76">
          <cell r="A76" t="str">
            <v>P</v>
          </cell>
          <cell r="O76">
            <v>0</v>
          </cell>
        </row>
        <row r="77">
          <cell r="A77" t="str">
            <v>PP</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VV</v>
          </cell>
        </row>
        <row r="97">
          <cell r="A97" t="str">
            <v>TS</v>
          </cell>
        </row>
        <row r="98">
          <cell r="A98" t="str">
            <v>P</v>
          </cell>
          <cell r="O98">
            <v>0</v>
          </cell>
        </row>
        <row r="99">
          <cell r="A99" t="str">
            <v>PP</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VV</v>
          </cell>
        </row>
        <row r="108">
          <cell r="A108" t="str">
            <v>VV</v>
          </cell>
        </row>
        <row r="109">
          <cell r="A109" t="str">
            <v>VV</v>
          </cell>
        </row>
        <row r="110">
          <cell r="A110" t="str">
            <v>VV</v>
          </cell>
        </row>
        <row r="111">
          <cell r="A111" t="str">
            <v>VV</v>
          </cell>
        </row>
        <row r="112">
          <cell r="A112" t="str">
            <v>VV</v>
          </cell>
        </row>
        <row r="113">
          <cell r="A113" t="str">
            <v>VV</v>
          </cell>
        </row>
        <row r="114">
          <cell r="A114" t="str">
            <v>VV</v>
          </cell>
        </row>
        <row r="115">
          <cell r="A115" t="str">
            <v>VV</v>
          </cell>
        </row>
        <row r="116">
          <cell r="A116" t="str">
            <v>VV</v>
          </cell>
        </row>
        <row r="117">
          <cell r="A117" t="str">
            <v>VV</v>
          </cell>
        </row>
        <row r="118">
          <cell r="A118" t="str">
            <v>VV</v>
          </cell>
        </row>
        <row r="119">
          <cell r="A119" t="str">
            <v>TS</v>
          </cell>
        </row>
        <row r="120">
          <cell r="A120" t="str">
            <v>P</v>
          </cell>
          <cell r="O120">
            <v>0</v>
          </cell>
        </row>
        <row r="121">
          <cell r="A121" t="str">
            <v>PP</v>
          </cell>
        </row>
        <row r="122">
          <cell r="A122" t="str">
            <v>VV</v>
          </cell>
        </row>
        <row r="123">
          <cell r="A123" t="str">
            <v>VV</v>
          </cell>
        </row>
        <row r="124">
          <cell r="A124" t="str">
            <v>VV</v>
          </cell>
        </row>
        <row r="125">
          <cell r="A125" t="str">
            <v>VV</v>
          </cell>
        </row>
        <row r="126">
          <cell r="A126" t="str">
            <v>VV</v>
          </cell>
        </row>
        <row r="127">
          <cell r="A127" t="str">
            <v>VV</v>
          </cell>
        </row>
        <row r="128">
          <cell r="A128" t="str">
            <v>VV</v>
          </cell>
        </row>
        <row r="129">
          <cell r="A129" t="str">
            <v>VV</v>
          </cell>
        </row>
        <row r="130">
          <cell r="A130" t="str">
            <v>VV</v>
          </cell>
        </row>
        <row r="131">
          <cell r="A131" t="str">
            <v>VV</v>
          </cell>
        </row>
        <row r="132">
          <cell r="A132" t="str">
            <v>VV</v>
          </cell>
        </row>
        <row r="133">
          <cell r="A133" t="str">
            <v>VV</v>
          </cell>
        </row>
        <row r="134">
          <cell r="A134" t="str">
            <v>VV</v>
          </cell>
        </row>
        <row r="135">
          <cell r="A135" t="str">
            <v>VV</v>
          </cell>
        </row>
        <row r="136">
          <cell r="A136" t="str">
            <v>VV</v>
          </cell>
        </row>
        <row r="137">
          <cell r="A137" t="str">
            <v>VV</v>
          </cell>
        </row>
        <row r="138">
          <cell r="A138" t="str">
            <v>VV</v>
          </cell>
        </row>
        <row r="139">
          <cell r="A139" t="str">
            <v>VV</v>
          </cell>
        </row>
        <row r="140">
          <cell r="A140" t="str">
            <v>VV</v>
          </cell>
        </row>
        <row r="141">
          <cell r="A141" t="str">
            <v>TS</v>
          </cell>
        </row>
        <row r="142">
          <cell r="A142" t="str">
            <v>P</v>
          </cell>
          <cell r="O142">
            <v>0</v>
          </cell>
        </row>
        <row r="143">
          <cell r="A143" t="str">
            <v>PP</v>
          </cell>
        </row>
        <row r="144">
          <cell r="A144" t="str">
            <v>VV</v>
          </cell>
        </row>
        <row r="145">
          <cell r="A145" t="str">
            <v>VV</v>
          </cell>
        </row>
        <row r="146">
          <cell r="A146" t="str">
            <v>VV</v>
          </cell>
        </row>
        <row r="147">
          <cell r="A147" t="str">
            <v>VV</v>
          </cell>
        </row>
        <row r="148">
          <cell r="A148" t="str">
            <v>VV</v>
          </cell>
        </row>
        <row r="149">
          <cell r="A149" t="str">
            <v>VV</v>
          </cell>
        </row>
        <row r="150">
          <cell r="A150" t="str">
            <v>VV</v>
          </cell>
        </row>
        <row r="151">
          <cell r="A151" t="str">
            <v>VV</v>
          </cell>
        </row>
        <row r="152">
          <cell r="A152" t="str">
            <v>VV</v>
          </cell>
        </row>
        <row r="153">
          <cell r="A153" t="str">
            <v>VV</v>
          </cell>
        </row>
        <row r="154">
          <cell r="A154" t="str">
            <v>VV</v>
          </cell>
        </row>
        <row r="155">
          <cell r="A155" t="str">
            <v>VV</v>
          </cell>
        </row>
        <row r="156">
          <cell r="A156" t="str">
            <v>VV</v>
          </cell>
        </row>
        <row r="157">
          <cell r="A157" t="str">
            <v>VV</v>
          </cell>
        </row>
        <row r="158">
          <cell r="A158" t="str">
            <v>VV</v>
          </cell>
        </row>
        <row r="159">
          <cell r="A159" t="str">
            <v>VV</v>
          </cell>
        </row>
        <row r="160">
          <cell r="A160" t="str">
            <v>VV</v>
          </cell>
        </row>
        <row r="161">
          <cell r="A161" t="str">
            <v>VV</v>
          </cell>
        </row>
        <row r="162">
          <cell r="A162" t="str">
            <v>VV</v>
          </cell>
        </row>
        <row r="163">
          <cell r="A163" t="str">
            <v>TS</v>
          </cell>
        </row>
        <row r="164">
          <cell r="A164" t="str">
            <v>SD</v>
          </cell>
        </row>
        <row r="165">
          <cell r="A165" t="str">
            <v>P</v>
          </cell>
          <cell r="O165">
            <v>0</v>
          </cell>
        </row>
        <row r="166">
          <cell r="A166" t="str">
            <v>PP</v>
          </cell>
        </row>
        <row r="167">
          <cell r="A167" t="str">
            <v>VV</v>
          </cell>
        </row>
        <row r="168">
          <cell r="A168" t="str">
            <v>VV</v>
          </cell>
        </row>
        <row r="169">
          <cell r="A169" t="str">
            <v>VV</v>
          </cell>
        </row>
        <row r="170">
          <cell r="A170" t="str">
            <v>VV</v>
          </cell>
        </row>
        <row r="171">
          <cell r="A171" t="str">
            <v>VV</v>
          </cell>
        </row>
        <row r="172">
          <cell r="A172" t="str">
            <v>VV</v>
          </cell>
        </row>
        <row r="173">
          <cell r="A173" t="str">
            <v>VV</v>
          </cell>
        </row>
        <row r="174">
          <cell r="A174" t="str">
            <v>VV</v>
          </cell>
        </row>
        <row r="175">
          <cell r="A175" t="str">
            <v>VV</v>
          </cell>
        </row>
        <row r="176">
          <cell r="A176" t="str">
            <v>VV</v>
          </cell>
        </row>
        <row r="177">
          <cell r="A177" t="str">
            <v>VV</v>
          </cell>
        </row>
        <row r="178">
          <cell r="A178" t="str">
            <v>VV</v>
          </cell>
        </row>
        <row r="179">
          <cell r="A179" t="str">
            <v>VV</v>
          </cell>
        </row>
        <row r="180">
          <cell r="A180" t="str">
            <v>VV</v>
          </cell>
        </row>
        <row r="181">
          <cell r="A181" t="str">
            <v>VV</v>
          </cell>
        </row>
        <row r="182">
          <cell r="A182" t="str">
            <v>VV</v>
          </cell>
        </row>
        <row r="183">
          <cell r="A183" t="str">
            <v>VV</v>
          </cell>
        </row>
        <row r="184">
          <cell r="A184" t="str">
            <v>VV</v>
          </cell>
        </row>
        <row r="185">
          <cell r="A185" t="str">
            <v>TS</v>
          </cell>
        </row>
        <row r="186">
          <cell r="A186" t="str">
            <v>P</v>
          </cell>
          <cell r="O186">
            <v>0</v>
          </cell>
        </row>
        <row r="187">
          <cell r="A187" t="str">
            <v>PP</v>
          </cell>
        </row>
        <row r="188">
          <cell r="A188" t="str">
            <v>VV</v>
          </cell>
        </row>
        <row r="189">
          <cell r="A189" t="str">
            <v>VV</v>
          </cell>
        </row>
        <row r="190">
          <cell r="A190" t="str">
            <v>VV</v>
          </cell>
        </row>
        <row r="191">
          <cell r="A191" t="str">
            <v>VV</v>
          </cell>
        </row>
        <row r="192">
          <cell r="A192" t="str">
            <v>VV</v>
          </cell>
        </row>
        <row r="193">
          <cell r="A193" t="str">
            <v>VV</v>
          </cell>
        </row>
        <row r="194">
          <cell r="A194" t="str">
            <v>VV</v>
          </cell>
        </row>
        <row r="195">
          <cell r="A195" t="str">
            <v>VV</v>
          </cell>
        </row>
        <row r="196">
          <cell r="A196" t="str">
            <v>VV</v>
          </cell>
        </row>
        <row r="197">
          <cell r="A197" t="str">
            <v>VV</v>
          </cell>
        </row>
        <row r="198">
          <cell r="A198" t="str">
            <v>VV</v>
          </cell>
        </row>
        <row r="199">
          <cell r="A199" t="str">
            <v>VV</v>
          </cell>
        </row>
        <row r="200">
          <cell r="A200" t="str">
            <v>VV</v>
          </cell>
        </row>
        <row r="201">
          <cell r="A201" t="str">
            <v>VV</v>
          </cell>
        </row>
        <row r="202">
          <cell r="A202" t="str">
            <v>VV</v>
          </cell>
        </row>
        <row r="203">
          <cell r="A203" t="str">
            <v>VV</v>
          </cell>
        </row>
        <row r="204">
          <cell r="A204" t="str">
            <v>VV</v>
          </cell>
        </row>
        <row r="205">
          <cell r="A205" t="str">
            <v>VV</v>
          </cell>
        </row>
        <row r="206">
          <cell r="A206" t="str">
            <v>VV</v>
          </cell>
        </row>
        <row r="207">
          <cell r="A207" t="str">
            <v>TS</v>
          </cell>
        </row>
        <row r="208">
          <cell r="A208" t="str">
            <v>P</v>
          </cell>
          <cell r="O208">
            <v>0</v>
          </cell>
        </row>
        <row r="209">
          <cell r="A209" t="str">
            <v>PP</v>
          </cell>
        </row>
        <row r="210">
          <cell r="A210" t="str">
            <v>VV</v>
          </cell>
        </row>
        <row r="211">
          <cell r="A211" t="str">
            <v>VV</v>
          </cell>
        </row>
        <row r="212">
          <cell r="A212" t="str">
            <v>VV</v>
          </cell>
        </row>
        <row r="213">
          <cell r="A213" t="str">
            <v>VV</v>
          </cell>
        </row>
        <row r="214">
          <cell r="A214" t="str">
            <v>VV</v>
          </cell>
        </row>
        <row r="215">
          <cell r="A215" t="str">
            <v>VV</v>
          </cell>
        </row>
        <row r="216">
          <cell r="A216" t="str">
            <v>VV</v>
          </cell>
        </row>
        <row r="217">
          <cell r="A217" t="str">
            <v>VV</v>
          </cell>
        </row>
        <row r="218">
          <cell r="A218" t="str">
            <v>VV</v>
          </cell>
        </row>
        <row r="219">
          <cell r="A219" t="str">
            <v>VV</v>
          </cell>
        </row>
        <row r="220">
          <cell r="A220" t="str">
            <v>VV</v>
          </cell>
        </row>
        <row r="221">
          <cell r="A221" t="str">
            <v>VV</v>
          </cell>
        </row>
        <row r="222">
          <cell r="A222" t="str">
            <v>VV</v>
          </cell>
        </row>
        <row r="223">
          <cell r="A223" t="str">
            <v>VV</v>
          </cell>
        </row>
        <row r="224">
          <cell r="A224" t="str">
            <v>VV</v>
          </cell>
        </row>
        <row r="225">
          <cell r="A225" t="str">
            <v>VV</v>
          </cell>
        </row>
        <row r="226">
          <cell r="A226" t="str">
            <v>VV</v>
          </cell>
        </row>
        <row r="227">
          <cell r="A227" t="str">
            <v>VV</v>
          </cell>
        </row>
        <row r="228">
          <cell r="A228" t="str">
            <v>VV</v>
          </cell>
        </row>
        <row r="229">
          <cell r="A229" t="str">
            <v>VV</v>
          </cell>
        </row>
        <row r="230">
          <cell r="A230" t="str">
            <v>VV</v>
          </cell>
        </row>
        <row r="231">
          <cell r="A231" t="str">
            <v>VV</v>
          </cell>
        </row>
        <row r="232">
          <cell r="A232" t="str">
            <v>VV</v>
          </cell>
        </row>
        <row r="233">
          <cell r="A233" t="str">
            <v>VV</v>
          </cell>
        </row>
        <row r="234">
          <cell r="A234" t="str">
            <v>VV</v>
          </cell>
        </row>
        <row r="235">
          <cell r="A235" t="str">
            <v>VV</v>
          </cell>
        </row>
        <row r="236">
          <cell r="A236" t="str">
            <v>VV</v>
          </cell>
        </row>
        <row r="237">
          <cell r="A237" t="str">
            <v>VV</v>
          </cell>
        </row>
        <row r="238">
          <cell r="A238" t="str">
            <v>VV</v>
          </cell>
        </row>
        <row r="239">
          <cell r="A239" t="str">
            <v>VV</v>
          </cell>
        </row>
        <row r="240">
          <cell r="A240" t="str">
            <v>VV</v>
          </cell>
        </row>
        <row r="241">
          <cell r="A241" t="str">
            <v>VV</v>
          </cell>
        </row>
        <row r="242">
          <cell r="A242" t="str">
            <v>VV</v>
          </cell>
        </row>
        <row r="243">
          <cell r="A243" t="str">
            <v>VV</v>
          </cell>
        </row>
        <row r="244">
          <cell r="A244" t="str">
            <v>VV</v>
          </cell>
        </row>
        <row r="245">
          <cell r="A245" t="str">
            <v>VV</v>
          </cell>
        </row>
        <row r="246">
          <cell r="A246" t="str">
            <v>VV</v>
          </cell>
        </row>
        <row r="247">
          <cell r="A247" t="str">
            <v>VV</v>
          </cell>
        </row>
        <row r="248">
          <cell r="A248" t="str">
            <v>VV</v>
          </cell>
        </row>
        <row r="249">
          <cell r="A249" t="str">
            <v>VV</v>
          </cell>
        </row>
        <row r="250">
          <cell r="A250" t="str">
            <v>VV</v>
          </cell>
        </row>
        <row r="251">
          <cell r="A251" t="str">
            <v>VV</v>
          </cell>
        </row>
        <row r="252">
          <cell r="A252" t="str">
            <v>VV</v>
          </cell>
        </row>
        <row r="253">
          <cell r="A253" t="str">
            <v>VV</v>
          </cell>
        </row>
        <row r="254">
          <cell r="A254" t="str">
            <v>VV</v>
          </cell>
        </row>
        <row r="255">
          <cell r="A255" t="str">
            <v>VV</v>
          </cell>
        </row>
        <row r="256">
          <cell r="A256" t="str">
            <v>VV</v>
          </cell>
        </row>
        <row r="257">
          <cell r="A257" t="str">
            <v>VV</v>
          </cell>
        </row>
        <row r="258">
          <cell r="A258" t="str">
            <v>VV</v>
          </cell>
        </row>
        <row r="259">
          <cell r="A259" t="str">
            <v>VV</v>
          </cell>
        </row>
        <row r="260">
          <cell r="A260" t="str">
            <v>VV</v>
          </cell>
        </row>
        <row r="261">
          <cell r="A261" t="str">
            <v>VV</v>
          </cell>
        </row>
        <row r="262">
          <cell r="A262" t="str">
            <v>VV</v>
          </cell>
        </row>
        <row r="263">
          <cell r="A263" t="str">
            <v>VV</v>
          </cell>
        </row>
        <row r="264">
          <cell r="A264" t="str">
            <v>VV</v>
          </cell>
        </row>
        <row r="265">
          <cell r="A265" t="str">
            <v>VV</v>
          </cell>
        </row>
        <row r="266">
          <cell r="A266" t="str">
            <v>VV</v>
          </cell>
        </row>
        <row r="267">
          <cell r="A267" t="str">
            <v>VV</v>
          </cell>
        </row>
        <row r="268">
          <cell r="A268" t="str">
            <v>VV</v>
          </cell>
        </row>
        <row r="269">
          <cell r="A269" t="str">
            <v>VV</v>
          </cell>
        </row>
        <row r="270">
          <cell r="A270" t="str">
            <v>VV</v>
          </cell>
        </row>
        <row r="271">
          <cell r="A271" t="str">
            <v>VV</v>
          </cell>
        </row>
        <row r="272">
          <cell r="A272" t="str">
            <v>VV</v>
          </cell>
        </row>
        <row r="273">
          <cell r="A273" t="str">
            <v>VV</v>
          </cell>
        </row>
        <row r="274">
          <cell r="A274" t="str">
            <v>VV</v>
          </cell>
        </row>
        <row r="275">
          <cell r="A275" t="str">
            <v>VV</v>
          </cell>
        </row>
        <row r="276">
          <cell r="A276" t="str">
            <v>VV</v>
          </cell>
        </row>
        <row r="277">
          <cell r="A277" t="str">
            <v>VV</v>
          </cell>
        </row>
        <row r="278">
          <cell r="A278" t="str">
            <v>VV</v>
          </cell>
        </row>
        <row r="279">
          <cell r="A279" t="str">
            <v>VV</v>
          </cell>
        </row>
        <row r="280">
          <cell r="A280" t="str">
            <v>VV</v>
          </cell>
        </row>
        <row r="281">
          <cell r="A281" t="str">
            <v>VV</v>
          </cell>
        </row>
        <row r="282">
          <cell r="A282" t="str">
            <v>VV</v>
          </cell>
        </row>
        <row r="283">
          <cell r="A283" t="str">
            <v>VV</v>
          </cell>
        </row>
        <row r="284">
          <cell r="A284" t="str">
            <v>VV</v>
          </cell>
        </row>
        <row r="285">
          <cell r="A285" t="str">
            <v>VV</v>
          </cell>
        </row>
        <row r="286">
          <cell r="A286" t="str">
            <v>VV</v>
          </cell>
        </row>
        <row r="287">
          <cell r="A287" t="str">
            <v>VV</v>
          </cell>
        </row>
        <row r="288">
          <cell r="A288" t="str">
            <v>VV</v>
          </cell>
        </row>
        <row r="289">
          <cell r="A289" t="str">
            <v>VV</v>
          </cell>
        </row>
        <row r="290">
          <cell r="A290" t="str">
            <v>VV</v>
          </cell>
        </row>
        <row r="291">
          <cell r="A291" t="str">
            <v>VV</v>
          </cell>
        </row>
        <row r="292">
          <cell r="A292" t="str">
            <v>VV</v>
          </cell>
        </row>
        <row r="293">
          <cell r="A293" t="str">
            <v>VV</v>
          </cell>
        </row>
        <row r="294">
          <cell r="A294" t="str">
            <v>VV</v>
          </cell>
        </row>
        <row r="295">
          <cell r="A295" t="str">
            <v>VV</v>
          </cell>
        </row>
        <row r="296">
          <cell r="A296" t="str">
            <v>TS</v>
          </cell>
        </row>
        <row r="297">
          <cell r="A297" t="str">
            <v>SD</v>
          </cell>
        </row>
        <row r="298">
          <cell r="A298" t="str">
            <v>P</v>
          </cell>
          <cell r="O298">
            <v>0</v>
          </cell>
        </row>
        <row r="299">
          <cell r="A299" t="str">
            <v>PP</v>
          </cell>
        </row>
        <row r="300">
          <cell r="A300" t="str">
            <v>VV</v>
          </cell>
        </row>
        <row r="301">
          <cell r="A301" t="str">
            <v>VV</v>
          </cell>
        </row>
        <row r="302">
          <cell r="A302" t="str">
            <v>VV</v>
          </cell>
        </row>
        <row r="303">
          <cell r="A303" t="str">
            <v>VV</v>
          </cell>
        </row>
        <row r="304">
          <cell r="A304" t="str">
            <v>VV</v>
          </cell>
        </row>
        <row r="305">
          <cell r="A305" t="str">
            <v>VV</v>
          </cell>
        </row>
        <row r="306">
          <cell r="A306" t="str">
            <v>VV</v>
          </cell>
        </row>
        <row r="307">
          <cell r="A307" t="str">
            <v>VV</v>
          </cell>
        </row>
        <row r="308">
          <cell r="A308" t="str">
            <v>VV</v>
          </cell>
        </row>
        <row r="309">
          <cell r="A309" t="str">
            <v>VV</v>
          </cell>
        </row>
        <row r="310">
          <cell r="A310" t="str">
            <v>VV</v>
          </cell>
        </row>
        <row r="311">
          <cell r="A311" t="str">
            <v>VV</v>
          </cell>
        </row>
        <row r="312">
          <cell r="A312" t="str">
            <v>VV</v>
          </cell>
        </row>
        <row r="313">
          <cell r="A313" t="str">
            <v>VV</v>
          </cell>
        </row>
        <row r="314">
          <cell r="A314" t="str">
            <v>VV</v>
          </cell>
        </row>
        <row r="315">
          <cell r="A315" t="str">
            <v>VV</v>
          </cell>
        </row>
        <row r="316">
          <cell r="A316" t="str">
            <v>VV</v>
          </cell>
        </row>
        <row r="317">
          <cell r="A317" t="str">
            <v>VV</v>
          </cell>
        </row>
        <row r="318">
          <cell r="A318" t="str">
            <v>VV</v>
          </cell>
        </row>
        <row r="319">
          <cell r="A319" t="str">
            <v>TS</v>
          </cell>
        </row>
        <row r="320">
          <cell r="A320" t="str">
            <v>SD</v>
          </cell>
        </row>
        <row r="321">
          <cell r="A321" t="str">
            <v>P</v>
          </cell>
          <cell r="O321">
            <v>0</v>
          </cell>
        </row>
        <row r="322">
          <cell r="A322" t="str">
            <v>PP</v>
          </cell>
        </row>
        <row r="323">
          <cell r="A323" t="str">
            <v>VV</v>
          </cell>
        </row>
        <row r="324">
          <cell r="A324" t="str">
            <v>TS</v>
          </cell>
        </row>
        <row r="325">
          <cell r="A325" t="str">
            <v>P</v>
          </cell>
          <cell r="O325">
            <v>0</v>
          </cell>
        </row>
        <row r="326">
          <cell r="A326" t="str">
            <v>PP</v>
          </cell>
        </row>
        <row r="327">
          <cell r="A327" t="str">
            <v>VV</v>
          </cell>
        </row>
        <row r="328">
          <cell r="A328" t="str">
            <v>TS</v>
          </cell>
        </row>
        <row r="329">
          <cell r="A329" t="str">
            <v>P</v>
          </cell>
          <cell r="O329">
            <v>0</v>
          </cell>
        </row>
        <row r="330">
          <cell r="A330" t="str">
            <v>PP</v>
          </cell>
        </row>
        <row r="331">
          <cell r="A331" t="str">
            <v>VV</v>
          </cell>
        </row>
        <row r="332">
          <cell r="A332" t="str">
            <v>TS</v>
          </cell>
        </row>
        <row r="333">
          <cell r="A333" t="str">
            <v>P</v>
          </cell>
          <cell r="O333">
            <v>0</v>
          </cell>
        </row>
        <row r="334">
          <cell r="A334" t="str">
            <v>PP</v>
          </cell>
        </row>
        <row r="335">
          <cell r="A335" t="str">
            <v>VV</v>
          </cell>
        </row>
        <row r="336">
          <cell r="A336" t="str">
            <v>TS</v>
          </cell>
        </row>
        <row r="337">
          <cell r="A337" t="str">
            <v>P</v>
          </cell>
          <cell r="O337">
            <v>0</v>
          </cell>
        </row>
        <row r="338">
          <cell r="A338" t="str">
            <v>PP</v>
          </cell>
        </row>
        <row r="339">
          <cell r="A339" t="str">
            <v>VV</v>
          </cell>
        </row>
        <row r="340">
          <cell r="A340" t="str">
            <v>TS</v>
          </cell>
        </row>
        <row r="341">
          <cell r="A341" t="str">
            <v>P</v>
          </cell>
          <cell r="O341">
            <v>0</v>
          </cell>
        </row>
        <row r="342">
          <cell r="A342" t="str">
            <v>PP</v>
          </cell>
        </row>
        <row r="343">
          <cell r="A343" t="str">
            <v>VV</v>
          </cell>
        </row>
        <row r="344">
          <cell r="A344" t="str">
            <v>TS</v>
          </cell>
        </row>
      </sheetData>
      <sheetData sheetId="34">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TS</v>
          </cell>
        </row>
        <row r="14">
          <cell r="A14" t="str">
            <v>P</v>
          </cell>
          <cell r="O14">
            <v>0</v>
          </cell>
        </row>
        <row r="15">
          <cell r="A15" t="str">
            <v>PP</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TS</v>
          </cell>
        </row>
        <row r="25">
          <cell r="A25" t="str">
            <v>P</v>
          </cell>
          <cell r="O25">
            <v>0</v>
          </cell>
        </row>
        <row r="26">
          <cell r="A26" t="str">
            <v>PP</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VV</v>
          </cell>
        </row>
        <row r="52">
          <cell r="A52" t="str">
            <v>VV</v>
          </cell>
        </row>
        <row r="53">
          <cell r="A53" t="str">
            <v>VV</v>
          </cell>
        </row>
        <row r="54">
          <cell r="A54" t="str">
            <v>VV</v>
          </cell>
        </row>
        <row r="55">
          <cell r="A55" t="str">
            <v>VV</v>
          </cell>
        </row>
        <row r="56">
          <cell r="A56" t="str">
            <v>VV</v>
          </cell>
        </row>
        <row r="57">
          <cell r="A57" t="str">
            <v>TS</v>
          </cell>
        </row>
        <row r="58">
          <cell r="A58" t="str">
            <v>P</v>
          </cell>
          <cell r="O58">
            <v>0</v>
          </cell>
        </row>
        <row r="59">
          <cell r="A59" t="str">
            <v>PP</v>
          </cell>
        </row>
        <row r="60">
          <cell r="A60" t="str">
            <v>VV</v>
          </cell>
        </row>
        <row r="61">
          <cell r="A61" t="str">
            <v>VV</v>
          </cell>
        </row>
        <row r="62">
          <cell r="A62" t="str">
            <v>VV</v>
          </cell>
        </row>
        <row r="63">
          <cell r="A63" t="str">
            <v>VV</v>
          </cell>
        </row>
        <row r="64">
          <cell r="A64" t="str">
            <v>TS</v>
          </cell>
        </row>
        <row r="65">
          <cell r="A65" t="str">
            <v>P</v>
          </cell>
          <cell r="O65">
            <v>0</v>
          </cell>
        </row>
        <row r="66">
          <cell r="A66" t="str">
            <v>PP</v>
          </cell>
        </row>
        <row r="67">
          <cell r="A67" t="str">
            <v>VV</v>
          </cell>
        </row>
        <row r="68">
          <cell r="A68" t="str">
            <v>VV</v>
          </cell>
        </row>
        <row r="69">
          <cell r="A69" t="str">
            <v>TS</v>
          </cell>
        </row>
        <row r="70">
          <cell r="A70" t="str">
            <v>P</v>
          </cell>
          <cell r="O70">
            <v>0</v>
          </cell>
        </row>
        <row r="71">
          <cell r="A71" t="str">
            <v>PP</v>
          </cell>
        </row>
        <row r="72">
          <cell r="A72" t="str">
            <v>VV</v>
          </cell>
        </row>
        <row r="73">
          <cell r="A73" t="str">
            <v>VV</v>
          </cell>
        </row>
        <row r="74">
          <cell r="A74" t="str">
            <v>VV</v>
          </cell>
        </row>
        <row r="75">
          <cell r="A75" t="str">
            <v>TS</v>
          </cell>
        </row>
        <row r="76">
          <cell r="A76" t="str">
            <v>P</v>
          </cell>
          <cell r="O76">
            <v>0</v>
          </cell>
        </row>
        <row r="77">
          <cell r="A77" t="str">
            <v>PP</v>
          </cell>
        </row>
        <row r="78">
          <cell r="A78" t="str">
            <v>VV</v>
          </cell>
        </row>
        <row r="79">
          <cell r="A79" t="str">
            <v>VV</v>
          </cell>
        </row>
        <row r="80">
          <cell r="A80" t="str">
            <v>VV</v>
          </cell>
        </row>
        <row r="81">
          <cell r="A81" t="str">
            <v>VV</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TS</v>
          </cell>
        </row>
      </sheetData>
      <sheetData sheetId="35">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VV</v>
          </cell>
        </row>
        <row r="20">
          <cell r="A20" t="str">
            <v>VV</v>
          </cell>
        </row>
        <row r="21">
          <cell r="A21" t="str">
            <v>VV</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TS</v>
          </cell>
        </row>
        <row r="31">
          <cell r="A31" t="str">
            <v>P</v>
          </cell>
          <cell r="O31">
            <v>0</v>
          </cell>
        </row>
        <row r="32">
          <cell r="A32" t="str">
            <v>PP</v>
          </cell>
        </row>
        <row r="33">
          <cell r="A33" t="str">
            <v>VV</v>
          </cell>
        </row>
        <row r="34">
          <cell r="A34" t="str">
            <v>VV</v>
          </cell>
        </row>
        <row r="35">
          <cell r="A35" t="str">
            <v>VV</v>
          </cell>
        </row>
        <row r="36">
          <cell r="A36" t="str">
            <v>VV</v>
          </cell>
        </row>
        <row r="37">
          <cell r="A37" t="str">
            <v>VV</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TS</v>
          </cell>
        </row>
        <row r="49">
          <cell r="A49" t="str">
            <v>P</v>
          </cell>
          <cell r="O49">
            <v>0</v>
          </cell>
        </row>
        <row r="50">
          <cell r="A50" t="str">
            <v>PP</v>
          </cell>
        </row>
        <row r="51">
          <cell r="A51" t="str">
            <v>VV</v>
          </cell>
        </row>
        <row r="52">
          <cell r="A52" t="str">
            <v>VV</v>
          </cell>
        </row>
        <row r="53">
          <cell r="A53" t="str">
            <v>TS</v>
          </cell>
        </row>
        <row r="54">
          <cell r="A54" t="str">
            <v>P</v>
          </cell>
          <cell r="O54">
            <v>0</v>
          </cell>
        </row>
        <row r="55">
          <cell r="A55" t="str">
            <v>PP</v>
          </cell>
        </row>
        <row r="56">
          <cell r="A56" t="str">
            <v>VV</v>
          </cell>
        </row>
        <row r="57">
          <cell r="A57" t="str">
            <v>VV</v>
          </cell>
        </row>
        <row r="58">
          <cell r="A58" t="str">
            <v>VV</v>
          </cell>
        </row>
        <row r="59">
          <cell r="A59" t="str">
            <v>VV</v>
          </cell>
        </row>
        <row r="60">
          <cell r="A60" t="str">
            <v>VV</v>
          </cell>
        </row>
        <row r="61">
          <cell r="A61" t="str">
            <v>VV</v>
          </cell>
        </row>
        <row r="62">
          <cell r="A62" t="str">
            <v>VV</v>
          </cell>
        </row>
        <row r="63">
          <cell r="A63" t="str">
            <v>VV</v>
          </cell>
        </row>
        <row r="64">
          <cell r="A64" t="str">
            <v>VV</v>
          </cell>
        </row>
        <row r="65">
          <cell r="A65" t="str">
            <v>VV</v>
          </cell>
        </row>
        <row r="66">
          <cell r="A66" t="str">
            <v>VV</v>
          </cell>
        </row>
        <row r="67">
          <cell r="A67" t="str">
            <v>VV</v>
          </cell>
        </row>
        <row r="68">
          <cell r="A68" t="str">
            <v>VV</v>
          </cell>
        </row>
        <row r="69">
          <cell r="A69" t="str">
            <v>VV</v>
          </cell>
        </row>
        <row r="70">
          <cell r="A70" t="str">
            <v>VV</v>
          </cell>
        </row>
        <row r="71">
          <cell r="A71" t="str">
            <v>VV</v>
          </cell>
        </row>
        <row r="72">
          <cell r="A72" t="str">
            <v>VV</v>
          </cell>
        </row>
        <row r="73">
          <cell r="A73" t="str">
            <v>VV</v>
          </cell>
        </row>
        <row r="74">
          <cell r="A74" t="str">
            <v>VV</v>
          </cell>
        </row>
        <row r="75">
          <cell r="A75" t="str">
            <v>VV</v>
          </cell>
        </row>
        <row r="76">
          <cell r="A76" t="str">
            <v>VV</v>
          </cell>
        </row>
        <row r="77">
          <cell r="A77" t="str">
            <v>VV</v>
          </cell>
        </row>
        <row r="78">
          <cell r="A78" t="str">
            <v>VV</v>
          </cell>
        </row>
        <row r="79">
          <cell r="A79" t="str">
            <v>TS</v>
          </cell>
        </row>
        <row r="80">
          <cell r="A80" t="str">
            <v>P</v>
          </cell>
          <cell r="O80">
            <v>0</v>
          </cell>
        </row>
        <row r="81">
          <cell r="A81" t="str">
            <v>PP</v>
          </cell>
        </row>
        <row r="82">
          <cell r="A82" t="str">
            <v>VV</v>
          </cell>
        </row>
        <row r="83">
          <cell r="A83" t="str">
            <v>VV</v>
          </cell>
        </row>
        <row r="84">
          <cell r="A84" t="str">
            <v>VV</v>
          </cell>
        </row>
        <row r="85">
          <cell r="A85" t="str">
            <v>VV</v>
          </cell>
        </row>
        <row r="86">
          <cell r="A86" t="str">
            <v>VV</v>
          </cell>
        </row>
        <row r="87">
          <cell r="A87" t="str">
            <v>VV</v>
          </cell>
        </row>
        <row r="88">
          <cell r="A88" t="str">
            <v>VV</v>
          </cell>
        </row>
        <row r="89">
          <cell r="A89" t="str">
            <v>TS</v>
          </cell>
        </row>
      </sheetData>
      <sheetData sheetId="36">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TS</v>
          </cell>
        </row>
        <row r="13">
          <cell r="A13" t="str">
            <v>P</v>
          </cell>
          <cell r="O13">
            <v>0</v>
          </cell>
        </row>
        <row r="14">
          <cell r="A14" t="str">
            <v>PP</v>
          </cell>
        </row>
        <row r="15">
          <cell r="A15" t="str">
            <v>VV</v>
          </cell>
        </row>
        <row r="16">
          <cell r="A16" t="str">
            <v>TS</v>
          </cell>
        </row>
        <row r="17">
          <cell r="A17" t="str">
            <v>P</v>
          </cell>
          <cell r="O17">
            <v>0</v>
          </cell>
        </row>
        <row r="18">
          <cell r="A18" t="str">
            <v>PP</v>
          </cell>
        </row>
        <row r="19">
          <cell r="A19" t="str">
            <v>VV</v>
          </cell>
        </row>
        <row r="20">
          <cell r="A20" t="str">
            <v>TS</v>
          </cell>
        </row>
        <row r="21">
          <cell r="A21" t="str">
            <v>P</v>
          </cell>
          <cell r="O21">
            <v>0</v>
          </cell>
        </row>
        <row r="22">
          <cell r="A22" t="str">
            <v>PP</v>
          </cell>
        </row>
        <row r="23">
          <cell r="A23" t="str">
            <v>VV</v>
          </cell>
        </row>
        <row r="24">
          <cell r="A24" t="str">
            <v>TS</v>
          </cell>
        </row>
        <row r="25">
          <cell r="A25" t="str">
            <v>P</v>
          </cell>
          <cell r="O25">
            <v>0</v>
          </cell>
        </row>
        <row r="26">
          <cell r="A26" t="str">
            <v>PP</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TS</v>
          </cell>
        </row>
      </sheetData>
      <sheetData sheetId="37">
        <row r="1">
          <cell r="A1" t="str">
            <v>EstiCon</v>
          </cell>
        </row>
        <row r="3">
          <cell r="A3" t="str">
            <v>S</v>
          </cell>
          <cell r="I3">
            <v>0</v>
          </cell>
          <cell r="O3">
            <v>0</v>
          </cell>
        </row>
        <row r="4">
          <cell r="A4" t="str">
            <v>O</v>
          </cell>
          <cell r="O4">
            <v>0.15</v>
          </cell>
        </row>
        <row r="5">
          <cell r="A5" t="str">
            <v>Typ</v>
          </cell>
          <cell r="O5">
            <v>0.21</v>
          </cell>
        </row>
        <row r="7">
          <cell r="A7">
            <v>0</v>
          </cell>
        </row>
        <row r="8">
          <cell r="A8" t="str">
            <v>SD</v>
          </cell>
        </row>
        <row r="9">
          <cell r="A9" t="str">
            <v>P</v>
          </cell>
          <cell r="O9">
            <v>0</v>
          </cell>
        </row>
        <row r="10">
          <cell r="A10" t="str">
            <v>PP</v>
          </cell>
        </row>
        <row r="11">
          <cell r="A11" t="str">
            <v>VV</v>
          </cell>
        </row>
        <row r="12">
          <cell r="A12" t="str">
            <v>VV</v>
          </cell>
        </row>
        <row r="13">
          <cell r="A13" t="str">
            <v>VV</v>
          </cell>
        </row>
        <row r="14">
          <cell r="A14" t="str">
            <v>VV</v>
          </cell>
        </row>
        <row r="15">
          <cell r="A15" t="str">
            <v>VV</v>
          </cell>
        </row>
        <row r="16">
          <cell r="A16" t="str">
            <v>VV</v>
          </cell>
        </row>
        <row r="17">
          <cell r="A17" t="str">
            <v>VV</v>
          </cell>
        </row>
        <row r="18">
          <cell r="A18" t="str">
            <v>VV</v>
          </cell>
        </row>
        <row r="19">
          <cell r="A19" t="str">
            <v>TS</v>
          </cell>
        </row>
        <row r="20">
          <cell r="A20" t="str">
            <v>P</v>
          </cell>
          <cell r="O20">
            <v>0</v>
          </cell>
        </row>
        <row r="21">
          <cell r="A21" t="str">
            <v>PP</v>
          </cell>
        </row>
        <row r="22">
          <cell r="A22" t="str">
            <v>VV</v>
          </cell>
        </row>
        <row r="23">
          <cell r="A23" t="str">
            <v>VV</v>
          </cell>
        </row>
        <row r="24">
          <cell r="A24" t="str">
            <v>VV</v>
          </cell>
        </row>
        <row r="25">
          <cell r="A25" t="str">
            <v>VV</v>
          </cell>
        </row>
        <row r="26">
          <cell r="A26" t="str">
            <v>VV</v>
          </cell>
        </row>
        <row r="27">
          <cell r="A27" t="str">
            <v>VV</v>
          </cell>
        </row>
        <row r="28">
          <cell r="A28" t="str">
            <v>VV</v>
          </cell>
        </row>
        <row r="29">
          <cell r="A29" t="str">
            <v>VV</v>
          </cell>
        </row>
        <row r="30">
          <cell r="A30" t="str">
            <v>VV</v>
          </cell>
        </row>
        <row r="31">
          <cell r="A31" t="str">
            <v>VV</v>
          </cell>
        </row>
        <row r="32">
          <cell r="A32" t="str">
            <v>VV</v>
          </cell>
        </row>
        <row r="33">
          <cell r="A33" t="str">
            <v>VV</v>
          </cell>
        </row>
        <row r="34">
          <cell r="A34" t="str">
            <v>VV</v>
          </cell>
        </row>
        <row r="35">
          <cell r="A35" t="str">
            <v>TS</v>
          </cell>
        </row>
        <row r="36">
          <cell r="A36" t="str">
            <v>P</v>
          </cell>
          <cell r="O36">
            <v>0</v>
          </cell>
        </row>
        <row r="37">
          <cell r="A37" t="str">
            <v>PP</v>
          </cell>
        </row>
        <row r="38">
          <cell r="A38" t="str">
            <v>VV</v>
          </cell>
        </row>
        <row r="39">
          <cell r="A39" t="str">
            <v>VV</v>
          </cell>
        </row>
        <row r="40">
          <cell r="A40" t="str">
            <v>VV</v>
          </cell>
        </row>
        <row r="41">
          <cell r="A41" t="str">
            <v>VV</v>
          </cell>
        </row>
        <row r="42">
          <cell r="A42" t="str">
            <v>VV</v>
          </cell>
        </row>
        <row r="43">
          <cell r="A43" t="str">
            <v>VV</v>
          </cell>
        </row>
        <row r="44">
          <cell r="A44" t="str">
            <v>VV</v>
          </cell>
        </row>
        <row r="45">
          <cell r="A45" t="str">
            <v>VV</v>
          </cell>
        </row>
        <row r="46">
          <cell r="A46" t="str">
            <v>VV</v>
          </cell>
        </row>
        <row r="47">
          <cell r="A47" t="str">
            <v>VV</v>
          </cell>
        </row>
        <row r="48">
          <cell r="A48" t="str">
            <v>VV</v>
          </cell>
        </row>
        <row r="49">
          <cell r="A49" t="str">
            <v>VV</v>
          </cell>
        </row>
        <row r="50">
          <cell r="A50" t="str">
            <v>VV</v>
          </cell>
        </row>
        <row r="51">
          <cell r="A51" t="str">
            <v>TS</v>
          </cell>
        </row>
        <row r="52">
          <cell r="A52" t="str">
            <v>P</v>
          </cell>
          <cell r="O52">
            <v>0</v>
          </cell>
        </row>
        <row r="53">
          <cell r="A53" t="str">
            <v>PP</v>
          </cell>
        </row>
        <row r="54">
          <cell r="A54" t="str">
            <v>VV</v>
          </cell>
        </row>
        <row r="55">
          <cell r="A55" t="str">
            <v>VV</v>
          </cell>
        </row>
        <row r="56">
          <cell r="A56" t="str">
            <v>VV</v>
          </cell>
        </row>
        <row r="57">
          <cell r="A57" t="str">
            <v>VV</v>
          </cell>
        </row>
        <row r="58">
          <cell r="A58" t="str">
            <v>TS</v>
          </cell>
        </row>
        <row r="59">
          <cell r="A59" t="str">
            <v>P</v>
          </cell>
          <cell r="O59">
            <v>0</v>
          </cell>
        </row>
        <row r="60">
          <cell r="A60" t="str">
            <v>PP</v>
          </cell>
        </row>
        <row r="61">
          <cell r="A61" t="str">
            <v>VV</v>
          </cell>
        </row>
        <row r="62">
          <cell r="A62" t="str">
            <v>VV</v>
          </cell>
        </row>
        <row r="63">
          <cell r="A63" t="str">
            <v>TS</v>
          </cell>
        </row>
        <row r="64">
          <cell r="A64" t="str">
            <v>P</v>
          </cell>
          <cell r="O64">
            <v>0</v>
          </cell>
        </row>
        <row r="65">
          <cell r="A65" t="str">
            <v>PP</v>
          </cell>
        </row>
        <row r="66">
          <cell r="A66" t="str">
            <v>VV</v>
          </cell>
        </row>
        <row r="67">
          <cell r="A67" t="str">
            <v>VV</v>
          </cell>
        </row>
        <row r="68">
          <cell r="A68" t="str">
            <v>TS</v>
          </cell>
        </row>
        <row r="69">
          <cell r="A69" t="str">
            <v>P</v>
          </cell>
          <cell r="O69">
            <v>0</v>
          </cell>
        </row>
        <row r="70">
          <cell r="A70" t="str">
            <v>PP</v>
          </cell>
        </row>
        <row r="71">
          <cell r="A71" t="str">
            <v>VV</v>
          </cell>
        </row>
        <row r="72">
          <cell r="A72" t="str">
            <v>VV</v>
          </cell>
        </row>
        <row r="73">
          <cell r="A73" t="str">
            <v>TS</v>
          </cell>
        </row>
        <row r="74">
          <cell r="A74" t="str">
            <v>SD</v>
          </cell>
        </row>
        <row r="75">
          <cell r="A75" t="str">
            <v>P</v>
          </cell>
          <cell r="O75">
            <v>0</v>
          </cell>
        </row>
        <row r="76">
          <cell r="A76" t="str">
            <v>PP</v>
          </cell>
        </row>
        <row r="77">
          <cell r="A77" t="str">
            <v>VV</v>
          </cell>
        </row>
        <row r="78">
          <cell r="A78" t="str">
            <v>VV</v>
          </cell>
        </row>
        <row r="79">
          <cell r="A79" t="str">
            <v>TS</v>
          </cell>
        </row>
        <row r="80">
          <cell r="A80" t="str">
            <v>SD</v>
          </cell>
        </row>
        <row r="81">
          <cell r="A81" t="str">
            <v>P</v>
          </cell>
          <cell r="O81">
            <v>0</v>
          </cell>
        </row>
        <row r="82">
          <cell r="A82" t="str">
            <v>PP</v>
          </cell>
        </row>
        <row r="83">
          <cell r="A83" t="str">
            <v>VV</v>
          </cell>
        </row>
        <row r="84">
          <cell r="A84" t="str">
            <v>VV</v>
          </cell>
        </row>
        <row r="85">
          <cell r="A85" t="str">
            <v>VV</v>
          </cell>
        </row>
        <row r="86">
          <cell r="A86" t="str">
            <v>VV</v>
          </cell>
        </row>
        <row r="87">
          <cell r="A87" t="str">
            <v>VV</v>
          </cell>
        </row>
        <row r="88">
          <cell r="A88" t="str">
            <v>VV</v>
          </cell>
        </row>
        <row r="89">
          <cell r="A89" t="str">
            <v>VV</v>
          </cell>
        </row>
        <row r="90">
          <cell r="A90" t="str">
            <v>VV</v>
          </cell>
        </row>
        <row r="91">
          <cell r="A91" t="str">
            <v>VV</v>
          </cell>
        </row>
        <row r="92">
          <cell r="A92" t="str">
            <v>VV</v>
          </cell>
        </row>
        <row r="93">
          <cell r="A93" t="str">
            <v>VV</v>
          </cell>
        </row>
        <row r="94">
          <cell r="A94" t="str">
            <v>VV</v>
          </cell>
        </row>
        <row r="95">
          <cell r="A95" t="str">
            <v>VV</v>
          </cell>
        </row>
        <row r="96">
          <cell r="A96" t="str">
            <v>TS</v>
          </cell>
        </row>
        <row r="97">
          <cell r="A97" t="str">
            <v>P</v>
          </cell>
          <cell r="O97">
            <v>0</v>
          </cell>
        </row>
        <row r="98">
          <cell r="A98" t="str">
            <v>PP</v>
          </cell>
        </row>
        <row r="99">
          <cell r="A99" t="str">
            <v>VV</v>
          </cell>
        </row>
        <row r="100">
          <cell r="A100" t="str">
            <v>VV</v>
          </cell>
        </row>
        <row r="101">
          <cell r="A101" t="str">
            <v>VV</v>
          </cell>
        </row>
        <row r="102">
          <cell r="A102" t="str">
            <v>VV</v>
          </cell>
        </row>
        <row r="103">
          <cell r="A103" t="str">
            <v>VV</v>
          </cell>
        </row>
        <row r="104">
          <cell r="A104" t="str">
            <v>VV</v>
          </cell>
        </row>
        <row r="105">
          <cell r="A105" t="str">
            <v>VV</v>
          </cell>
        </row>
        <row r="106">
          <cell r="A106" t="str">
            <v>VV</v>
          </cell>
        </row>
        <row r="107">
          <cell r="A107" t="str">
            <v>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431E-073A-4EEB-85A4-E5467D38D960}">
  <sheetPr>
    <pageSetUpPr fitToPage="1"/>
  </sheetPr>
  <dimension ref="A1:E45"/>
  <sheetViews>
    <sheetView workbookViewId="0">
      <selection activeCell="I37" sqref="I37"/>
    </sheetView>
  </sheetViews>
  <sheetFormatPr defaultRowHeight="14.4" x14ac:dyDescent="0.3"/>
  <cols>
    <col min="1" max="2" width="31.44140625" customWidth="1"/>
    <col min="3" max="5" width="18.88671875" customWidth="1"/>
  </cols>
  <sheetData>
    <row r="1" spans="1:5" x14ac:dyDescent="0.3">
      <c r="A1" s="1" t="s">
        <v>0</v>
      </c>
      <c r="B1" s="49" t="s">
        <v>1</v>
      </c>
      <c r="C1" s="2"/>
      <c r="D1" s="2"/>
      <c r="E1" s="2"/>
    </row>
    <row r="2" spans="1:5" x14ac:dyDescent="0.3">
      <c r="A2" s="1"/>
      <c r="B2" s="41" t="s">
        <v>2</v>
      </c>
      <c r="C2" s="2"/>
      <c r="D2" s="2"/>
      <c r="E2" s="2"/>
    </row>
    <row r="3" spans="1:5" x14ac:dyDescent="0.3">
      <c r="A3" s="2"/>
      <c r="B3" s="42"/>
      <c r="C3" s="2"/>
      <c r="D3" s="2"/>
      <c r="E3" s="2"/>
    </row>
    <row r="4" spans="1:5" x14ac:dyDescent="0.3">
      <c r="A4" s="2"/>
      <c r="B4" s="41" t="s">
        <v>3</v>
      </c>
      <c r="C4" s="42"/>
      <c r="D4" s="42"/>
      <c r="E4" s="42"/>
    </row>
    <row r="5" spans="1:5" x14ac:dyDescent="0.3">
      <c r="A5" s="2"/>
      <c r="B5" s="2"/>
      <c r="C5" s="2"/>
      <c r="D5" s="2"/>
      <c r="E5" s="2"/>
    </row>
    <row r="6" spans="1:5" x14ac:dyDescent="0.3">
      <c r="A6" s="2"/>
      <c r="B6" s="4" t="s">
        <v>4</v>
      </c>
      <c r="C6" s="5">
        <f>SUM(C10:C45)</f>
        <v>0</v>
      </c>
      <c r="D6" s="2"/>
      <c r="E6" s="2"/>
    </row>
    <row r="7" spans="1:5" x14ac:dyDescent="0.3">
      <c r="A7" s="2"/>
      <c r="B7" s="4" t="s">
        <v>5</v>
      </c>
      <c r="C7" s="5">
        <f>SUM(E10:E45)</f>
        <v>0</v>
      </c>
      <c r="D7" s="2"/>
      <c r="E7" s="2"/>
    </row>
    <row r="8" spans="1:5" x14ac:dyDescent="0.3">
      <c r="A8" s="2"/>
      <c r="B8" s="2"/>
      <c r="C8" s="2"/>
      <c r="D8" s="2"/>
      <c r="E8" s="2"/>
    </row>
    <row r="9" spans="1:5" x14ac:dyDescent="0.3">
      <c r="A9" s="6" t="s">
        <v>6</v>
      </c>
      <c r="B9" s="6" t="s">
        <v>7</v>
      </c>
      <c r="C9" s="6" t="s">
        <v>8</v>
      </c>
      <c r="D9" s="6" t="s">
        <v>9</v>
      </c>
      <c r="E9" s="6" t="s">
        <v>10</v>
      </c>
    </row>
    <row r="10" spans="1:5" ht="26.4" x14ac:dyDescent="0.3">
      <c r="A10" s="50" t="s">
        <v>11</v>
      </c>
      <c r="B10" s="50" t="s">
        <v>12</v>
      </c>
      <c r="C10" s="51">
        <f>'[1]SO 000'!I3</f>
        <v>0</v>
      </c>
      <c r="D10" s="51">
        <f>SUMIFS('[1]SO 000'!O:O,'[1]SO 000'!A:A,"P")</f>
        <v>0</v>
      </c>
      <c r="E10" s="51">
        <f t="shared" ref="E10:E45" si="0">C10+D10</f>
        <v>0</v>
      </c>
    </row>
    <row r="11" spans="1:5" x14ac:dyDescent="0.3">
      <c r="A11" s="50" t="s">
        <v>13</v>
      </c>
      <c r="B11" s="50" t="s">
        <v>14</v>
      </c>
      <c r="C11" s="51">
        <f>[1]SO001a!I3</f>
        <v>0</v>
      </c>
      <c r="D11" s="51">
        <f>SUMIFS([1]SO001a!O:O,[1]SO001a!A:A,"P")</f>
        <v>0</v>
      </c>
      <c r="E11" s="51">
        <f t="shared" si="0"/>
        <v>0</v>
      </c>
    </row>
    <row r="12" spans="1:5" x14ac:dyDescent="0.3">
      <c r="A12" s="50" t="s">
        <v>15</v>
      </c>
      <c r="B12" s="50" t="s">
        <v>16</v>
      </c>
      <c r="C12" s="51">
        <f>[1]SO001b!I3</f>
        <v>0</v>
      </c>
      <c r="D12" s="51">
        <f>SUMIFS([1]SO001b!O:O,[1]SO001b!A:A,"P")</f>
        <v>0</v>
      </c>
      <c r="E12" s="51">
        <f t="shared" si="0"/>
        <v>0</v>
      </c>
    </row>
    <row r="13" spans="1:5" x14ac:dyDescent="0.3">
      <c r="A13" s="50" t="s">
        <v>17</v>
      </c>
      <c r="B13" s="50" t="s">
        <v>18</v>
      </c>
      <c r="C13" s="51">
        <f>[1]SO002!I3</f>
        <v>0</v>
      </c>
      <c r="D13" s="51">
        <f>SUMIFS([1]SO002!O:O,[1]SO002!A:A,"P")</f>
        <v>0</v>
      </c>
      <c r="E13" s="51">
        <f t="shared" si="0"/>
        <v>0</v>
      </c>
    </row>
    <row r="14" spans="1:5" x14ac:dyDescent="0.3">
      <c r="A14" s="50" t="s">
        <v>19</v>
      </c>
      <c r="B14" s="50" t="s">
        <v>20</v>
      </c>
      <c r="C14" s="51">
        <f>[1]SO051!I3</f>
        <v>0</v>
      </c>
      <c r="D14" s="51">
        <f>SUMIFS([1]SO051!O:O,[1]SO051!A:A,"P")</f>
        <v>0</v>
      </c>
      <c r="E14" s="51">
        <f t="shared" si="0"/>
        <v>0</v>
      </c>
    </row>
    <row r="15" spans="1:5" x14ac:dyDescent="0.3">
      <c r="A15" s="50" t="s">
        <v>21</v>
      </c>
      <c r="B15" s="50" t="s">
        <v>22</v>
      </c>
      <c r="C15" s="51">
        <f>[1]SO052!I3</f>
        <v>0</v>
      </c>
      <c r="D15" s="51">
        <f>SUMIFS([1]SO052!O:O,[1]SO052!A:A,"P")</f>
        <v>0</v>
      </c>
      <c r="E15" s="51">
        <f t="shared" si="0"/>
        <v>0</v>
      </c>
    </row>
    <row r="16" spans="1:5" ht="26.4" x14ac:dyDescent="0.3">
      <c r="A16" s="50" t="s">
        <v>23</v>
      </c>
      <c r="B16" s="50" t="s">
        <v>24</v>
      </c>
      <c r="C16" s="51">
        <f>[1]SO053!I3</f>
        <v>0</v>
      </c>
      <c r="D16" s="51">
        <f>SUMIFS([1]SO053!O:O,[1]SO053!A:A,"P")</f>
        <v>0</v>
      </c>
      <c r="E16" s="51">
        <f t="shared" si="0"/>
        <v>0</v>
      </c>
    </row>
    <row r="17" spans="1:5" x14ac:dyDescent="0.3">
      <c r="A17" s="50" t="s">
        <v>25</v>
      </c>
      <c r="B17" s="50" t="s">
        <v>26</v>
      </c>
      <c r="C17" s="51">
        <f>'[1]SO101101.01'!I3</f>
        <v>0</v>
      </c>
      <c r="D17" s="51">
        <f>SUMIFS('[1]SO101101.01'!O:O,'[1]SO101101.01'!A:A,"P")</f>
        <v>0</v>
      </c>
      <c r="E17" s="51">
        <f t="shared" si="0"/>
        <v>0</v>
      </c>
    </row>
    <row r="18" spans="1:5" x14ac:dyDescent="0.3">
      <c r="A18" s="50" t="s">
        <v>27</v>
      </c>
      <c r="B18" s="50" t="s">
        <v>28</v>
      </c>
      <c r="C18" s="51">
        <f>'[1]SO101101.02'!I3</f>
        <v>0</v>
      </c>
      <c r="D18" s="51">
        <f>SUMIFS('[1]SO101101.02'!O:O,'[1]SO101101.02'!A:A,"P")</f>
        <v>0</v>
      </c>
      <c r="E18" s="51">
        <f t="shared" si="0"/>
        <v>0</v>
      </c>
    </row>
    <row r="19" spans="1:5" x14ac:dyDescent="0.3">
      <c r="A19" s="50" t="s">
        <v>29</v>
      </c>
      <c r="B19" s="50" t="s">
        <v>30</v>
      </c>
      <c r="C19" s="51">
        <f>'[1]SO101101.03'!I3</f>
        <v>0</v>
      </c>
      <c r="D19" s="51">
        <f>SUMIFS('[1]SO101101.03'!O:O,'[1]SO101101.03'!A:A,"P")</f>
        <v>0</v>
      </c>
      <c r="E19" s="51">
        <f t="shared" si="0"/>
        <v>0</v>
      </c>
    </row>
    <row r="20" spans="1:5" x14ac:dyDescent="0.3">
      <c r="A20" s="50" t="s">
        <v>31</v>
      </c>
      <c r="B20" s="50" t="s">
        <v>32</v>
      </c>
      <c r="C20" s="51">
        <f>'[1]SO101101.04'!I3</f>
        <v>0</v>
      </c>
      <c r="D20" s="51">
        <f>SUMIFS('[1]SO101101.04'!O:O,'[1]SO101101.04'!A:A,"P")</f>
        <v>0</v>
      </c>
      <c r="E20" s="51">
        <f t="shared" si="0"/>
        <v>0</v>
      </c>
    </row>
    <row r="21" spans="1:5" x14ac:dyDescent="0.3">
      <c r="A21" s="50" t="s">
        <v>33</v>
      </c>
      <c r="B21" s="50" t="s">
        <v>34</v>
      </c>
      <c r="C21" s="51">
        <f>'[1]SO101101.05'!I3</f>
        <v>0</v>
      </c>
      <c r="D21" s="51">
        <f>SUMIFS('[1]SO101101.05'!O:O,'[1]SO101101.05'!A:A,"P")</f>
        <v>0</v>
      </c>
      <c r="E21" s="51">
        <f t="shared" si="0"/>
        <v>0</v>
      </c>
    </row>
    <row r="22" spans="1:5" x14ac:dyDescent="0.3">
      <c r="A22" s="50" t="s">
        <v>35</v>
      </c>
      <c r="B22" s="50" t="s">
        <v>26</v>
      </c>
      <c r="C22" s="51">
        <f>'[1]SO102102.01'!I3</f>
        <v>0</v>
      </c>
      <c r="D22" s="51">
        <f>SUMIFS('[1]SO102102.01'!O:O,'[1]SO102102.01'!A:A,"P")</f>
        <v>0</v>
      </c>
      <c r="E22" s="51">
        <f t="shared" si="0"/>
        <v>0</v>
      </c>
    </row>
    <row r="23" spans="1:5" x14ac:dyDescent="0.3">
      <c r="A23" s="50" t="s">
        <v>36</v>
      </c>
      <c r="B23" s="50" t="s">
        <v>28</v>
      </c>
      <c r="C23" s="51">
        <f>'[1]SO102102.02'!I3</f>
        <v>0</v>
      </c>
      <c r="D23" s="51">
        <f>SUMIFS('[1]SO102102.02'!O:O,'[1]SO102102.02'!A:A,"P")</f>
        <v>0</v>
      </c>
      <c r="E23" s="51">
        <f t="shared" si="0"/>
        <v>0</v>
      </c>
    </row>
    <row r="24" spans="1:5" x14ac:dyDescent="0.3">
      <c r="A24" s="50" t="s">
        <v>37</v>
      </c>
      <c r="B24" s="50" t="s">
        <v>30</v>
      </c>
      <c r="C24" s="51">
        <f>'[1]SO102102.03'!I3</f>
        <v>0</v>
      </c>
      <c r="D24" s="51">
        <f>SUMIFS('[1]SO102102.03'!O:O,'[1]SO102102.03'!A:A,"P")</f>
        <v>0</v>
      </c>
      <c r="E24" s="51">
        <f t="shared" si="0"/>
        <v>0</v>
      </c>
    </row>
    <row r="25" spans="1:5" x14ac:dyDescent="0.3">
      <c r="A25" s="50" t="s">
        <v>38</v>
      </c>
      <c r="B25" s="50" t="s">
        <v>32</v>
      </c>
      <c r="C25" s="51">
        <f>'[1]SO102102.04'!I3</f>
        <v>0</v>
      </c>
      <c r="D25" s="51">
        <f>SUMIFS('[1]SO102102.04'!O:O,'[1]SO102102.04'!A:A,"P")</f>
        <v>0</v>
      </c>
      <c r="E25" s="51">
        <f t="shared" si="0"/>
        <v>0</v>
      </c>
    </row>
    <row r="26" spans="1:5" x14ac:dyDescent="0.3">
      <c r="A26" s="50" t="s">
        <v>39</v>
      </c>
      <c r="B26" s="50" t="s">
        <v>34</v>
      </c>
      <c r="C26" s="51">
        <f>'[1]SO102102.05'!I3</f>
        <v>0</v>
      </c>
      <c r="D26" s="51">
        <f>SUMIFS('[1]SO102102.05'!O:O,'[1]SO102102.05'!A:A,"P")</f>
        <v>0</v>
      </c>
      <c r="E26" s="51">
        <f t="shared" si="0"/>
        <v>0</v>
      </c>
    </row>
    <row r="27" spans="1:5" x14ac:dyDescent="0.3">
      <c r="A27" s="50" t="s">
        <v>40</v>
      </c>
      <c r="B27" s="50" t="s">
        <v>26</v>
      </c>
      <c r="C27" s="51">
        <f>'[1]SO103103.01'!I3</f>
        <v>0</v>
      </c>
      <c r="D27" s="51">
        <f>SUMIFS('[1]SO103103.01'!O:O,'[1]SO103103.01'!A:A,"P")</f>
        <v>0</v>
      </c>
      <c r="E27" s="51">
        <f t="shared" si="0"/>
        <v>0</v>
      </c>
    </row>
    <row r="28" spans="1:5" x14ac:dyDescent="0.3">
      <c r="A28" s="50" t="s">
        <v>41</v>
      </c>
      <c r="B28" s="50" t="s">
        <v>28</v>
      </c>
      <c r="C28" s="51">
        <f>'[1]SO103103.02'!I3</f>
        <v>0</v>
      </c>
      <c r="D28" s="51">
        <f>SUMIFS('[1]SO103103.02'!O:O,'[1]SO103103.02'!A:A,"P")</f>
        <v>0</v>
      </c>
      <c r="E28" s="51">
        <f t="shared" si="0"/>
        <v>0</v>
      </c>
    </row>
    <row r="29" spans="1:5" ht="39.6" x14ac:dyDescent="0.3">
      <c r="A29" s="50" t="s">
        <v>42</v>
      </c>
      <c r="B29" s="50" t="s">
        <v>43</v>
      </c>
      <c r="C29" s="51">
        <f>[1]SO104!I3</f>
        <v>0</v>
      </c>
      <c r="D29" s="51">
        <f>SUMIFS([1]SO104!O:O,[1]SO104!A:A,"P")</f>
        <v>0</v>
      </c>
      <c r="E29" s="51">
        <f t="shared" si="0"/>
        <v>0</v>
      </c>
    </row>
    <row r="30" spans="1:5" ht="26.4" x14ac:dyDescent="0.3">
      <c r="A30" s="50" t="s">
        <v>44</v>
      </c>
      <c r="B30" s="50" t="s">
        <v>45</v>
      </c>
      <c r="C30" s="51">
        <f>[1]SO105!I3</f>
        <v>0</v>
      </c>
      <c r="D30" s="51">
        <f>SUMIFS([1]SO105!O:O,[1]SO105!A:A,"P")</f>
        <v>0</v>
      </c>
      <c r="E30" s="51">
        <f t="shared" si="0"/>
        <v>0</v>
      </c>
    </row>
    <row r="31" spans="1:5" x14ac:dyDescent="0.3">
      <c r="A31" s="50" t="s">
        <v>46</v>
      </c>
      <c r="B31" s="50" t="s">
        <v>47</v>
      </c>
      <c r="C31" s="51">
        <f>'[1]SO108108.01'!I3</f>
        <v>0</v>
      </c>
      <c r="D31" s="51">
        <f>SUMIFS('[1]SO108108.01'!O:O,'[1]SO108108.01'!A:A,"P")</f>
        <v>0</v>
      </c>
      <c r="E31" s="51">
        <f t="shared" si="0"/>
        <v>0</v>
      </c>
    </row>
    <row r="32" spans="1:5" x14ac:dyDescent="0.3">
      <c r="A32" s="50" t="s">
        <v>48</v>
      </c>
      <c r="B32" s="50" t="s">
        <v>49</v>
      </c>
      <c r="C32" s="51">
        <f>'[1]SO108108.02'!I3</f>
        <v>0</v>
      </c>
      <c r="D32" s="51">
        <f>SUMIFS('[1]SO108108.02'!O:O,'[1]SO108108.02'!A:A,"P")</f>
        <v>0</v>
      </c>
      <c r="E32" s="51">
        <f t="shared" si="0"/>
        <v>0</v>
      </c>
    </row>
    <row r="33" spans="1:5" x14ac:dyDescent="0.3">
      <c r="A33" s="50" t="s">
        <v>50</v>
      </c>
      <c r="B33" s="50" t="s">
        <v>51</v>
      </c>
      <c r="C33" s="51">
        <f>[1]SO141!I3</f>
        <v>0</v>
      </c>
      <c r="D33" s="51">
        <f>SUMIFS([1]SO141!O:O,[1]SO141!A:A,"P")</f>
        <v>0</v>
      </c>
      <c r="E33" s="51">
        <f t="shared" si="0"/>
        <v>0</v>
      </c>
    </row>
    <row r="34" spans="1:5" x14ac:dyDescent="0.3">
      <c r="A34" s="50" t="s">
        <v>52</v>
      </c>
      <c r="B34" s="50" t="s">
        <v>53</v>
      </c>
      <c r="C34" s="51">
        <f>[1]SO142!I3</f>
        <v>0</v>
      </c>
      <c r="D34" s="51">
        <f>SUMIFS([1]SO142!O:O,[1]SO142!A:A,"P")</f>
        <v>0</v>
      </c>
      <c r="E34" s="51">
        <f t="shared" si="0"/>
        <v>0</v>
      </c>
    </row>
    <row r="35" spans="1:5" x14ac:dyDescent="0.3">
      <c r="A35" s="50" t="s">
        <v>54</v>
      </c>
      <c r="B35" s="50" t="s">
        <v>55</v>
      </c>
      <c r="C35" s="51">
        <f>'[1]SO301301.01'!I3</f>
        <v>0</v>
      </c>
      <c r="D35" s="51">
        <f>SUMIFS('[1]SO301301.01'!O:O,'[1]SO301301.01'!A:A,"P")</f>
        <v>0</v>
      </c>
      <c r="E35" s="51">
        <f t="shared" si="0"/>
        <v>0</v>
      </c>
    </row>
    <row r="36" spans="1:5" x14ac:dyDescent="0.3">
      <c r="A36" s="50" t="s">
        <v>56</v>
      </c>
      <c r="B36" s="50" t="s">
        <v>57</v>
      </c>
      <c r="C36" s="51">
        <f>'[1]SO301301.02'!I3</f>
        <v>0</v>
      </c>
      <c r="D36" s="51">
        <f>SUMIFS('[1]SO301301.02'!O:O,'[1]SO301301.02'!A:A,"P")</f>
        <v>0</v>
      </c>
      <c r="E36" s="51">
        <f t="shared" si="0"/>
        <v>0</v>
      </c>
    </row>
    <row r="37" spans="1:5" x14ac:dyDescent="0.3">
      <c r="A37" s="50" t="s">
        <v>58</v>
      </c>
      <c r="B37" s="50" t="s">
        <v>59</v>
      </c>
      <c r="C37" s="51">
        <f>[1]SO402!I3</f>
        <v>0</v>
      </c>
      <c r="D37" s="51">
        <f>SUMIFS([1]SO402!O:O,[1]SO402!A:A,"P")</f>
        <v>0</v>
      </c>
      <c r="E37" s="51">
        <f t="shared" si="0"/>
        <v>0</v>
      </c>
    </row>
    <row r="38" spans="1:5" ht="26.4" x14ac:dyDescent="0.3">
      <c r="A38" s="50" t="s">
        <v>6329</v>
      </c>
      <c r="B38" s="50" t="s">
        <v>6330</v>
      </c>
      <c r="C38" s="51">
        <f>[1]SO412!I3</f>
        <v>0</v>
      </c>
      <c r="D38" s="51">
        <f>SUMIFS([1]SO412!O:O,[1]SO412!A:A,"P")</f>
        <v>0</v>
      </c>
      <c r="E38" s="51">
        <f t="shared" si="0"/>
        <v>0</v>
      </c>
    </row>
    <row r="39" spans="1:5" x14ac:dyDescent="0.3">
      <c r="A39" s="50" t="s">
        <v>60</v>
      </c>
      <c r="B39" s="50" t="s">
        <v>61</v>
      </c>
      <c r="C39" s="51">
        <f>[1]SO413!I3</f>
        <v>0</v>
      </c>
      <c r="D39" s="51">
        <f>SUMIFS([1]SO413!O:O,[1]SO413!A:A,"P")</f>
        <v>0</v>
      </c>
      <c r="E39" s="51">
        <f t="shared" si="0"/>
        <v>0</v>
      </c>
    </row>
    <row r="40" spans="1:5" ht="26.4" x14ac:dyDescent="0.3">
      <c r="A40" s="50" t="s">
        <v>62</v>
      </c>
      <c r="B40" s="50" t="s">
        <v>63</v>
      </c>
      <c r="C40" s="51">
        <f>[1]SO601!I3</f>
        <v>0</v>
      </c>
      <c r="D40" s="51">
        <f>SUMIFS([1]SO601!O:O,[1]SO601!A:A,"P")</f>
        <v>0</v>
      </c>
      <c r="E40" s="51">
        <f t="shared" si="0"/>
        <v>0</v>
      </c>
    </row>
    <row r="41" spans="1:5" ht="26.4" x14ac:dyDescent="0.3">
      <c r="A41" s="50" t="s">
        <v>64</v>
      </c>
      <c r="B41" s="50" t="s">
        <v>65</v>
      </c>
      <c r="C41" s="51">
        <f>[1]SO701!I3</f>
        <v>0</v>
      </c>
      <c r="D41" s="51">
        <f>SUMIFS([1]SO701!O:O,[1]SO701!A:A,"P")</f>
        <v>0</v>
      </c>
      <c r="E41" s="51">
        <f t="shared" si="0"/>
        <v>0</v>
      </c>
    </row>
    <row r="42" spans="1:5" x14ac:dyDescent="0.3">
      <c r="A42" s="50" t="s">
        <v>66</v>
      </c>
      <c r="B42" s="50" t="s">
        <v>67</v>
      </c>
      <c r="C42" s="51">
        <f>[1]SO801a!I3</f>
        <v>0</v>
      </c>
      <c r="D42" s="51">
        <f>SUMIFS([1]SO801a!O:O,[1]SO801a!A:A,"P")</f>
        <v>0</v>
      </c>
      <c r="E42" s="51">
        <f t="shared" si="0"/>
        <v>0</v>
      </c>
    </row>
    <row r="43" spans="1:5" x14ac:dyDescent="0.3">
      <c r="A43" s="50" t="s">
        <v>68</v>
      </c>
      <c r="B43" s="50" t="s">
        <v>69</v>
      </c>
      <c r="C43" s="51">
        <f>[1]SO801b!I3</f>
        <v>0</v>
      </c>
      <c r="D43" s="51">
        <f>SUMIFS([1]SO801b!O:O,[1]SO801b!A:A,"P")</f>
        <v>0</v>
      </c>
      <c r="E43" s="51">
        <f t="shared" si="0"/>
        <v>0</v>
      </c>
    </row>
    <row r="44" spans="1:5" ht="26.4" x14ac:dyDescent="0.3">
      <c r="A44" s="50" t="s">
        <v>70</v>
      </c>
      <c r="B44" s="50" t="s">
        <v>71</v>
      </c>
      <c r="C44" s="51">
        <f>[1]SO801c!I3</f>
        <v>0</v>
      </c>
      <c r="D44" s="51">
        <f>SUMIFS([1]SO801c!O:O,[1]SO801c!A:A,"P")</f>
        <v>0</v>
      </c>
      <c r="E44" s="51">
        <f t="shared" si="0"/>
        <v>0</v>
      </c>
    </row>
    <row r="45" spans="1:5" ht="26.4" x14ac:dyDescent="0.3">
      <c r="A45" s="50" t="s">
        <v>72</v>
      </c>
      <c r="B45" s="50" t="s">
        <v>73</v>
      </c>
      <c r="C45" s="51">
        <f>[1]SO901!I3</f>
        <v>0</v>
      </c>
      <c r="D45" s="51">
        <f>SUMIFS([1]SO901!O:O,[1]SO901!A:A,"P")</f>
        <v>0</v>
      </c>
      <c r="E45" s="51">
        <f t="shared" si="0"/>
        <v>0</v>
      </c>
    </row>
  </sheetData>
  <mergeCells count="2">
    <mergeCell ref="B2:B3"/>
    <mergeCell ref="B4:E4"/>
  </mergeCells>
  <pageMargins left="0.7" right="0.7" top="0.78740157499999996" bottom="0.78740157499999996" header="0.3" footer="0.3"/>
  <pageSetup fitToHeight="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3779-55B9-4DA3-B142-49B25B7FB06E}">
  <sheetPr>
    <pageSetUpPr fitToPage="1"/>
  </sheetPr>
  <dimension ref="A1:E52"/>
  <sheetViews>
    <sheetView workbookViewId="0">
      <selection activeCell="I42" sqref="I42"/>
    </sheetView>
  </sheetViews>
  <sheetFormatPr defaultRowHeight="14.4" x14ac:dyDescent="0.3"/>
  <cols>
    <col min="1" max="2" width="32.44140625" style="55" customWidth="1"/>
    <col min="3" max="5" width="19.44140625" style="55" customWidth="1"/>
    <col min="6" max="16384" width="8.88671875" style="55"/>
  </cols>
  <sheetData>
    <row r="1" spans="1:5" x14ac:dyDescent="0.3">
      <c r="A1" s="52" t="s">
        <v>0</v>
      </c>
      <c r="B1" s="53" t="s">
        <v>6331</v>
      </c>
      <c r="C1" s="54"/>
      <c r="D1" s="54"/>
      <c r="E1" s="54"/>
    </row>
    <row r="2" spans="1:5" x14ac:dyDescent="0.3">
      <c r="A2" s="52"/>
      <c r="B2" s="56" t="s">
        <v>2</v>
      </c>
      <c r="C2" s="54"/>
      <c r="D2" s="54"/>
      <c r="E2" s="54"/>
    </row>
    <row r="3" spans="1:5" x14ac:dyDescent="0.3">
      <c r="A3" s="54"/>
      <c r="B3" s="57"/>
      <c r="C3" s="54"/>
      <c r="D3" s="54"/>
      <c r="E3" s="54"/>
    </row>
    <row r="4" spans="1:5" x14ac:dyDescent="0.3">
      <c r="A4" s="54"/>
      <c r="B4" s="56" t="s">
        <v>6332</v>
      </c>
      <c r="C4" s="57"/>
      <c r="D4" s="57"/>
      <c r="E4" s="57"/>
    </row>
    <row r="5" spans="1:5" x14ac:dyDescent="0.3">
      <c r="A5" s="54"/>
      <c r="B5" s="54"/>
      <c r="C5" s="54"/>
      <c r="D5" s="54"/>
      <c r="E5" s="54"/>
    </row>
    <row r="6" spans="1:5" x14ac:dyDescent="0.3">
      <c r="A6" s="54"/>
      <c r="B6" s="58" t="s">
        <v>4</v>
      </c>
      <c r="C6" s="59">
        <f>SUM(C10:C53)-C18-C24-C30-C35-C40-C11-C48</f>
        <v>0</v>
      </c>
      <c r="D6" s="54"/>
      <c r="E6" s="54"/>
    </row>
    <row r="7" spans="1:5" x14ac:dyDescent="0.3">
      <c r="A7" s="54"/>
      <c r="B7" s="58" t="s">
        <v>5</v>
      </c>
      <c r="C7" s="59">
        <f>SUM(E10:E53)-E18-E24-E30-E35-E40-E48-E11</f>
        <v>0</v>
      </c>
      <c r="D7" s="54"/>
      <c r="E7" s="54"/>
    </row>
    <row r="8" spans="1:5" x14ac:dyDescent="0.3">
      <c r="A8" s="54"/>
      <c r="B8" s="54"/>
      <c r="C8" s="54"/>
      <c r="D8" s="54"/>
      <c r="E8" s="54"/>
    </row>
    <row r="9" spans="1:5" x14ac:dyDescent="0.3">
      <c r="A9" s="60" t="s">
        <v>6</v>
      </c>
      <c r="B9" s="60" t="s">
        <v>7</v>
      </c>
      <c r="C9" s="60" t="s">
        <v>8</v>
      </c>
      <c r="D9" s="60" t="s">
        <v>9</v>
      </c>
      <c r="E9" s="60" t="s">
        <v>10</v>
      </c>
    </row>
    <row r="10" spans="1:5" ht="26.4" x14ac:dyDescent="0.3">
      <c r="A10" s="61" t="s">
        <v>11</v>
      </c>
      <c r="B10" s="61" t="s">
        <v>12</v>
      </c>
      <c r="C10" s="62">
        <v>0</v>
      </c>
      <c r="D10" s="62">
        <v>0</v>
      </c>
      <c r="E10" s="62">
        <v>0</v>
      </c>
    </row>
    <row r="11" spans="1:5" x14ac:dyDescent="0.3">
      <c r="A11" s="61" t="s">
        <v>6333</v>
      </c>
      <c r="B11" s="61" t="s">
        <v>6334</v>
      </c>
      <c r="C11" s="62">
        <v>0</v>
      </c>
      <c r="D11" s="62">
        <v>0</v>
      </c>
      <c r="E11" s="62">
        <v>0</v>
      </c>
    </row>
    <row r="12" spans="1:5" x14ac:dyDescent="0.3">
      <c r="A12" s="63" t="s">
        <v>13</v>
      </c>
      <c r="B12" s="63" t="s">
        <v>16</v>
      </c>
      <c r="C12" s="62">
        <v>0</v>
      </c>
      <c r="D12" s="62">
        <v>0</v>
      </c>
      <c r="E12" s="62">
        <v>0</v>
      </c>
    </row>
    <row r="13" spans="1:5" x14ac:dyDescent="0.3">
      <c r="A13" s="63" t="s">
        <v>15</v>
      </c>
      <c r="B13" s="63" t="s">
        <v>14</v>
      </c>
      <c r="C13" s="62">
        <v>0</v>
      </c>
      <c r="D13" s="62">
        <v>0</v>
      </c>
      <c r="E13" s="62">
        <v>0</v>
      </c>
    </row>
    <row r="14" spans="1:5" x14ac:dyDescent="0.3">
      <c r="A14" s="61" t="s">
        <v>17</v>
      </c>
      <c r="B14" s="61" t="s">
        <v>18</v>
      </c>
      <c r="C14" s="62">
        <v>0</v>
      </c>
      <c r="D14" s="62">
        <v>0</v>
      </c>
      <c r="E14" s="62">
        <v>0</v>
      </c>
    </row>
    <row r="15" spans="1:5" x14ac:dyDescent="0.3">
      <c r="A15" s="61" t="s">
        <v>19</v>
      </c>
      <c r="B15" s="61" t="s">
        <v>20</v>
      </c>
      <c r="C15" s="62">
        <v>0</v>
      </c>
      <c r="D15" s="62">
        <v>0</v>
      </c>
      <c r="E15" s="62">
        <v>0</v>
      </c>
    </row>
    <row r="16" spans="1:5" x14ac:dyDescent="0.3">
      <c r="A16" s="61" t="s">
        <v>21</v>
      </c>
      <c r="B16" s="61" t="s">
        <v>22</v>
      </c>
      <c r="C16" s="62">
        <v>0</v>
      </c>
      <c r="D16" s="62">
        <v>0</v>
      </c>
      <c r="E16" s="62">
        <v>0</v>
      </c>
    </row>
    <row r="17" spans="1:5" ht="26.4" x14ac:dyDescent="0.3">
      <c r="A17" s="61" t="s">
        <v>23</v>
      </c>
      <c r="B17" s="61" t="s">
        <v>24</v>
      </c>
      <c r="C17" s="62">
        <v>0</v>
      </c>
      <c r="D17" s="62">
        <v>0</v>
      </c>
      <c r="E17" s="62">
        <v>0</v>
      </c>
    </row>
    <row r="18" spans="1:5" x14ac:dyDescent="0.3">
      <c r="A18" s="61" t="s">
        <v>493</v>
      </c>
      <c r="B18" s="61" t="s">
        <v>494</v>
      </c>
      <c r="C18" s="62">
        <v>0</v>
      </c>
      <c r="D18" s="62">
        <v>0</v>
      </c>
      <c r="E18" s="62">
        <v>0</v>
      </c>
    </row>
    <row r="19" spans="1:5" x14ac:dyDescent="0.3">
      <c r="A19" s="63" t="s">
        <v>25</v>
      </c>
      <c r="B19" s="63" t="s">
        <v>26</v>
      </c>
      <c r="C19" s="62">
        <v>0</v>
      </c>
      <c r="D19" s="62">
        <v>0</v>
      </c>
      <c r="E19" s="62">
        <v>0</v>
      </c>
    </row>
    <row r="20" spans="1:5" x14ac:dyDescent="0.3">
      <c r="A20" s="63" t="s">
        <v>27</v>
      </c>
      <c r="B20" s="63" t="s">
        <v>28</v>
      </c>
      <c r="C20" s="62">
        <v>0</v>
      </c>
      <c r="D20" s="62">
        <v>0</v>
      </c>
      <c r="E20" s="62">
        <v>0</v>
      </c>
    </row>
    <row r="21" spans="1:5" x14ac:dyDescent="0.3">
      <c r="A21" s="63" t="s">
        <v>29</v>
      </c>
      <c r="B21" s="63" t="s">
        <v>30</v>
      </c>
      <c r="C21" s="62">
        <v>0</v>
      </c>
      <c r="D21" s="62">
        <v>0</v>
      </c>
      <c r="E21" s="62">
        <v>0</v>
      </c>
    </row>
    <row r="22" spans="1:5" x14ac:dyDescent="0.3">
      <c r="A22" s="63" t="s">
        <v>31</v>
      </c>
      <c r="B22" s="63" t="s">
        <v>32</v>
      </c>
      <c r="C22" s="62">
        <v>0</v>
      </c>
      <c r="D22" s="62">
        <v>0</v>
      </c>
      <c r="E22" s="62">
        <v>0</v>
      </c>
    </row>
    <row r="23" spans="1:5" x14ac:dyDescent="0.3">
      <c r="A23" s="63" t="s">
        <v>33</v>
      </c>
      <c r="B23" s="63" t="s">
        <v>34</v>
      </c>
      <c r="C23" s="62">
        <v>0</v>
      </c>
      <c r="D23" s="62">
        <v>0</v>
      </c>
      <c r="E23" s="62">
        <v>0</v>
      </c>
    </row>
    <row r="24" spans="1:5" ht="26.4" x14ac:dyDescent="0.3">
      <c r="A24" s="61" t="s">
        <v>2688</v>
      </c>
      <c r="B24" s="61" t="s">
        <v>2689</v>
      </c>
      <c r="C24" s="62">
        <v>0</v>
      </c>
      <c r="D24" s="62">
        <v>0</v>
      </c>
      <c r="E24" s="62">
        <v>0</v>
      </c>
    </row>
    <row r="25" spans="1:5" x14ac:dyDescent="0.3">
      <c r="A25" s="63" t="s">
        <v>35</v>
      </c>
      <c r="B25" s="63" t="s">
        <v>26</v>
      </c>
      <c r="C25" s="62">
        <v>0</v>
      </c>
      <c r="D25" s="62">
        <v>0</v>
      </c>
      <c r="E25" s="62">
        <v>0</v>
      </c>
    </row>
    <row r="26" spans="1:5" x14ac:dyDescent="0.3">
      <c r="A26" s="63" t="s">
        <v>36</v>
      </c>
      <c r="B26" s="63" t="s">
        <v>28</v>
      </c>
      <c r="C26" s="62">
        <v>0</v>
      </c>
      <c r="D26" s="62">
        <v>0</v>
      </c>
      <c r="E26" s="62">
        <v>0</v>
      </c>
    </row>
    <row r="27" spans="1:5" x14ac:dyDescent="0.3">
      <c r="A27" s="63" t="s">
        <v>37</v>
      </c>
      <c r="B27" s="63" t="s">
        <v>30</v>
      </c>
      <c r="C27" s="62">
        <v>0</v>
      </c>
      <c r="D27" s="62">
        <v>0</v>
      </c>
      <c r="E27" s="62">
        <v>0</v>
      </c>
    </row>
    <row r="28" spans="1:5" x14ac:dyDescent="0.3">
      <c r="A28" s="63" t="s">
        <v>38</v>
      </c>
      <c r="B28" s="63" t="s">
        <v>32</v>
      </c>
      <c r="C28" s="62">
        <v>0</v>
      </c>
      <c r="D28" s="62">
        <v>0</v>
      </c>
      <c r="E28" s="62">
        <v>0</v>
      </c>
    </row>
    <row r="29" spans="1:5" x14ac:dyDescent="0.3">
      <c r="A29" s="63" t="s">
        <v>39</v>
      </c>
      <c r="B29" s="63" t="s">
        <v>34</v>
      </c>
      <c r="C29" s="62">
        <v>0</v>
      </c>
      <c r="D29" s="62">
        <v>0</v>
      </c>
      <c r="E29" s="62">
        <v>0</v>
      </c>
    </row>
    <row r="30" spans="1:5" ht="39.6" x14ac:dyDescent="0.3">
      <c r="A30" s="61" t="s">
        <v>3505</v>
      </c>
      <c r="B30" s="61" t="s">
        <v>3506</v>
      </c>
      <c r="C30" s="62">
        <v>0</v>
      </c>
      <c r="D30" s="62">
        <v>0</v>
      </c>
      <c r="E30" s="62">
        <v>0</v>
      </c>
    </row>
    <row r="31" spans="1:5" x14ac:dyDescent="0.3">
      <c r="A31" s="63" t="s">
        <v>40</v>
      </c>
      <c r="B31" s="63" t="s">
        <v>26</v>
      </c>
      <c r="C31" s="62">
        <v>0</v>
      </c>
      <c r="D31" s="62">
        <v>0</v>
      </c>
      <c r="E31" s="62">
        <v>0</v>
      </c>
    </row>
    <row r="32" spans="1:5" x14ac:dyDescent="0.3">
      <c r="A32" s="63" t="s">
        <v>41</v>
      </c>
      <c r="B32" s="63" t="s">
        <v>28</v>
      </c>
      <c r="C32" s="62">
        <v>0</v>
      </c>
      <c r="D32" s="62">
        <v>0</v>
      </c>
      <c r="E32" s="62">
        <v>0</v>
      </c>
    </row>
    <row r="33" spans="1:5" ht="26.4" x14ac:dyDescent="0.3">
      <c r="A33" s="61" t="s">
        <v>42</v>
      </c>
      <c r="B33" s="61" t="s">
        <v>43</v>
      </c>
      <c r="C33" s="62">
        <v>0</v>
      </c>
      <c r="D33" s="62">
        <v>0</v>
      </c>
      <c r="E33" s="62">
        <v>0</v>
      </c>
    </row>
    <row r="34" spans="1:5" ht="26.4" x14ac:dyDescent="0.3">
      <c r="A34" s="61" t="s">
        <v>44</v>
      </c>
      <c r="B34" s="61" t="s">
        <v>45</v>
      </c>
      <c r="C34" s="62">
        <v>0</v>
      </c>
      <c r="D34" s="62">
        <v>0</v>
      </c>
      <c r="E34" s="62">
        <v>0</v>
      </c>
    </row>
    <row r="35" spans="1:5" x14ac:dyDescent="0.3">
      <c r="A35" s="61" t="s">
        <v>3663</v>
      </c>
      <c r="B35" s="61" t="s">
        <v>3664</v>
      </c>
      <c r="C35" s="62">
        <v>0</v>
      </c>
      <c r="D35" s="62">
        <v>0</v>
      </c>
      <c r="E35" s="62">
        <v>0</v>
      </c>
    </row>
    <row r="36" spans="1:5" x14ac:dyDescent="0.3">
      <c r="A36" s="63" t="s">
        <v>46</v>
      </c>
      <c r="B36" s="63" t="s">
        <v>47</v>
      </c>
      <c r="C36" s="62">
        <v>0</v>
      </c>
      <c r="D36" s="62">
        <v>0</v>
      </c>
      <c r="E36" s="62">
        <v>0</v>
      </c>
    </row>
    <row r="37" spans="1:5" x14ac:dyDescent="0.3">
      <c r="A37" s="63" t="s">
        <v>48</v>
      </c>
      <c r="B37" s="63" t="s">
        <v>49</v>
      </c>
      <c r="C37" s="62">
        <v>0</v>
      </c>
      <c r="D37" s="62">
        <v>0</v>
      </c>
      <c r="E37" s="62">
        <v>0</v>
      </c>
    </row>
    <row r="38" spans="1:5" x14ac:dyDescent="0.3">
      <c r="A38" s="61" t="s">
        <v>50</v>
      </c>
      <c r="B38" s="61" t="s">
        <v>51</v>
      </c>
      <c r="C38" s="62">
        <v>0</v>
      </c>
      <c r="D38" s="62">
        <v>0</v>
      </c>
      <c r="E38" s="62">
        <v>0</v>
      </c>
    </row>
    <row r="39" spans="1:5" x14ac:dyDescent="0.3">
      <c r="A39" s="61" t="s">
        <v>52</v>
      </c>
      <c r="B39" s="61" t="s">
        <v>53</v>
      </c>
      <c r="C39" s="62">
        <v>0</v>
      </c>
      <c r="D39" s="62">
        <v>0</v>
      </c>
      <c r="E39" s="62">
        <v>0</v>
      </c>
    </row>
    <row r="40" spans="1:5" x14ac:dyDescent="0.3">
      <c r="A40" s="61" t="s">
        <v>5045</v>
      </c>
      <c r="B40" s="61" t="s">
        <v>5046</v>
      </c>
      <c r="C40" s="62">
        <v>0</v>
      </c>
      <c r="D40" s="62">
        <v>0</v>
      </c>
      <c r="E40" s="62">
        <v>0</v>
      </c>
    </row>
    <row r="41" spans="1:5" x14ac:dyDescent="0.3">
      <c r="A41" s="63" t="s">
        <v>54</v>
      </c>
      <c r="B41" s="63" t="s">
        <v>55</v>
      </c>
      <c r="C41" s="62">
        <v>0</v>
      </c>
      <c r="D41" s="62">
        <v>0</v>
      </c>
      <c r="E41" s="62">
        <v>0</v>
      </c>
    </row>
    <row r="42" spans="1:5" x14ac:dyDescent="0.3">
      <c r="A42" s="63" t="s">
        <v>56</v>
      </c>
      <c r="B42" s="63" t="s">
        <v>57</v>
      </c>
      <c r="C42" s="62">
        <v>0</v>
      </c>
      <c r="D42" s="62">
        <v>0</v>
      </c>
      <c r="E42" s="62">
        <v>0</v>
      </c>
    </row>
    <row r="43" spans="1:5" x14ac:dyDescent="0.3">
      <c r="A43" s="61" t="s">
        <v>58</v>
      </c>
      <c r="B43" s="61" t="s">
        <v>59</v>
      </c>
      <c r="C43" s="62">
        <v>0</v>
      </c>
      <c r="D43" s="62">
        <v>0</v>
      </c>
      <c r="E43" s="62">
        <v>0</v>
      </c>
    </row>
    <row r="44" spans="1:5" ht="26.4" x14ac:dyDescent="0.3">
      <c r="A44" s="61" t="s">
        <v>6329</v>
      </c>
      <c r="B44" s="61" t="s">
        <v>6330</v>
      </c>
      <c r="C44" s="62">
        <v>0</v>
      </c>
      <c r="D44" s="62">
        <v>0</v>
      </c>
      <c r="E44" s="62">
        <v>0</v>
      </c>
    </row>
    <row r="45" spans="1:5" x14ac:dyDescent="0.3">
      <c r="A45" s="61" t="s">
        <v>60</v>
      </c>
      <c r="B45" s="61" t="s">
        <v>61</v>
      </c>
      <c r="C45" s="62">
        <v>0</v>
      </c>
      <c r="D45" s="62">
        <v>0</v>
      </c>
      <c r="E45" s="62">
        <v>0</v>
      </c>
    </row>
    <row r="46" spans="1:5" ht="26.4" x14ac:dyDescent="0.3">
      <c r="A46" s="61" t="s">
        <v>62</v>
      </c>
      <c r="B46" s="61" t="s">
        <v>63</v>
      </c>
      <c r="C46" s="62">
        <v>0</v>
      </c>
      <c r="D46" s="62">
        <v>0</v>
      </c>
      <c r="E46" s="62">
        <v>0</v>
      </c>
    </row>
    <row r="47" spans="1:5" ht="26.4" x14ac:dyDescent="0.3">
      <c r="A47" s="61" t="s">
        <v>64</v>
      </c>
      <c r="B47" s="61" t="s">
        <v>65</v>
      </c>
      <c r="C47" s="62">
        <v>0</v>
      </c>
      <c r="D47" s="62">
        <v>0</v>
      </c>
      <c r="E47" s="62">
        <v>0</v>
      </c>
    </row>
    <row r="48" spans="1:5" x14ac:dyDescent="0.3">
      <c r="A48" s="61" t="s">
        <v>6335</v>
      </c>
      <c r="B48" s="61" t="s">
        <v>6336</v>
      </c>
      <c r="C48" s="62">
        <v>0</v>
      </c>
      <c r="D48" s="62">
        <v>0</v>
      </c>
      <c r="E48" s="62">
        <v>0</v>
      </c>
    </row>
    <row r="49" spans="1:5" x14ac:dyDescent="0.3">
      <c r="A49" s="63" t="s">
        <v>66</v>
      </c>
      <c r="B49" s="63" t="s">
        <v>67</v>
      </c>
      <c r="C49" s="62">
        <v>0</v>
      </c>
      <c r="D49" s="62">
        <v>0</v>
      </c>
      <c r="E49" s="62">
        <v>0</v>
      </c>
    </row>
    <row r="50" spans="1:5" x14ac:dyDescent="0.3">
      <c r="A50" s="63" t="s">
        <v>68</v>
      </c>
      <c r="B50" s="63" t="s">
        <v>69</v>
      </c>
      <c r="C50" s="62">
        <v>0</v>
      </c>
      <c r="D50" s="62">
        <v>0</v>
      </c>
      <c r="E50" s="62">
        <v>0</v>
      </c>
    </row>
    <row r="51" spans="1:5" ht="26.4" x14ac:dyDescent="0.3">
      <c r="A51" s="63" t="s">
        <v>70</v>
      </c>
      <c r="B51" s="63" t="s">
        <v>71</v>
      </c>
      <c r="C51" s="62">
        <v>0</v>
      </c>
      <c r="D51" s="62">
        <v>0</v>
      </c>
      <c r="E51" s="62">
        <v>0</v>
      </c>
    </row>
    <row r="52" spans="1:5" x14ac:dyDescent="0.3">
      <c r="A52" s="61" t="s">
        <v>72</v>
      </c>
      <c r="B52" s="61" t="s">
        <v>73</v>
      </c>
      <c r="C52" s="62">
        <v>0</v>
      </c>
      <c r="D52" s="62">
        <v>0</v>
      </c>
      <c r="E52" s="62">
        <v>0</v>
      </c>
    </row>
  </sheetData>
  <mergeCells count="2">
    <mergeCell ref="B2:B3"/>
    <mergeCell ref="B4:E4"/>
  </mergeCells>
  <pageMargins left="0.7" right="0.7" top="0.78740157499999996" bottom="0.78740157499999996" header="0.3" footer="0.3"/>
  <pageSetup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2"/>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11</v>
      </c>
      <c r="I3" s="16">
        <f>SUMIFS(I8:I182,A8:A182,"SD")</f>
        <v>0</v>
      </c>
      <c r="J3" s="12"/>
      <c r="O3">
        <v>0</v>
      </c>
      <c r="P3">
        <v>2</v>
      </c>
    </row>
    <row r="4" spans="1:16" x14ac:dyDescent="0.3">
      <c r="A4" s="2" t="s">
        <v>79</v>
      </c>
      <c r="B4" s="13" t="s">
        <v>80</v>
      </c>
      <c r="C4" s="43" t="s">
        <v>11</v>
      </c>
      <c r="D4" s="44"/>
      <c r="E4" s="14" t="s">
        <v>12</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93</v>
      </c>
      <c r="D8" s="24"/>
      <c r="E8" s="21" t="s">
        <v>94</v>
      </c>
      <c r="F8" s="24"/>
      <c r="G8" s="24"/>
      <c r="H8" s="24"/>
      <c r="I8" s="25">
        <f>SUMIFS(I9:I118,A9:A118,"P")</f>
        <v>0</v>
      </c>
      <c r="J8" s="26"/>
    </row>
    <row r="9" spans="1:16" x14ac:dyDescent="0.3">
      <c r="A9" s="27" t="s">
        <v>95</v>
      </c>
      <c r="B9" s="27">
        <v>1</v>
      </c>
      <c r="C9" s="28" t="s">
        <v>96</v>
      </c>
      <c r="D9" s="27" t="s">
        <v>97</v>
      </c>
      <c r="E9" s="29" t="s">
        <v>98</v>
      </c>
      <c r="F9" s="30" t="s">
        <v>99</v>
      </c>
      <c r="G9" s="31">
        <v>9509.3780000000006</v>
      </c>
      <c r="H9" s="32">
        <v>0</v>
      </c>
      <c r="I9" s="32">
        <f>ROUND(9509.378*H9,P4)</f>
        <v>0</v>
      </c>
      <c r="J9" s="30" t="s">
        <v>100</v>
      </c>
      <c r="O9" s="33">
        <f>I9*0.21</f>
        <v>0</v>
      </c>
      <c r="P9">
        <v>3</v>
      </c>
    </row>
    <row r="10" spans="1:16" ht="43.2" x14ac:dyDescent="0.3">
      <c r="A10" s="27" t="s">
        <v>101</v>
      </c>
      <c r="B10" s="34"/>
      <c r="E10" s="29" t="s">
        <v>102</v>
      </c>
      <c r="J10" s="35"/>
    </row>
    <row r="11" spans="1:16" x14ac:dyDescent="0.3">
      <c r="A11" s="27" t="s">
        <v>103</v>
      </c>
      <c r="B11" s="34"/>
      <c r="E11" s="36" t="s">
        <v>104</v>
      </c>
      <c r="J11" s="35"/>
    </row>
    <row r="12" spans="1:16" ht="28.8" x14ac:dyDescent="0.3">
      <c r="A12" s="27" t="s">
        <v>105</v>
      </c>
      <c r="B12" s="34"/>
      <c r="E12" s="29" t="s">
        <v>106</v>
      </c>
      <c r="J12" s="35"/>
    </row>
    <row r="13" spans="1:16" x14ac:dyDescent="0.3">
      <c r="A13" s="27" t="s">
        <v>95</v>
      </c>
      <c r="B13" s="27">
        <v>2</v>
      </c>
      <c r="C13" s="28" t="s">
        <v>96</v>
      </c>
      <c r="D13" s="27" t="s">
        <v>107</v>
      </c>
      <c r="E13" s="29" t="s">
        <v>98</v>
      </c>
      <c r="F13" s="30" t="s">
        <v>99</v>
      </c>
      <c r="G13" s="31">
        <v>14.465</v>
      </c>
      <c r="H13" s="32">
        <v>0</v>
      </c>
      <c r="I13" s="32">
        <f>ROUND(14.465*H13,P4)</f>
        <v>0</v>
      </c>
      <c r="J13" s="30" t="s">
        <v>100</v>
      </c>
      <c r="O13" s="33">
        <f>I13*0.21</f>
        <v>0</v>
      </c>
      <c r="P13">
        <v>3</v>
      </c>
    </row>
    <row r="14" spans="1:16" ht="57.6" x14ac:dyDescent="0.3">
      <c r="A14" s="27" t="s">
        <v>101</v>
      </c>
      <c r="B14" s="34"/>
      <c r="E14" s="29" t="s">
        <v>108</v>
      </c>
      <c r="J14" s="35"/>
    </row>
    <row r="15" spans="1:16" x14ac:dyDescent="0.3">
      <c r="A15" s="27" t="s">
        <v>103</v>
      </c>
      <c r="B15" s="34"/>
      <c r="E15" s="36" t="s">
        <v>109</v>
      </c>
      <c r="J15" s="35"/>
    </row>
    <row r="16" spans="1:16" x14ac:dyDescent="0.3">
      <c r="A16" s="27" t="s">
        <v>103</v>
      </c>
      <c r="B16" s="34"/>
      <c r="E16" s="36" t="s">
        <v>110</v>
      </c>
      <c r="J16" s="35"/>
    </row>
    <row r="17" spans="1:16" x14ac:dyDescent="0.3">
      <c r="A17" s="27" t="s">
        <v>103</v>
      </c>
      <c r="B17" s="34"/>
      <c r="E17" s="36" t="s">
        <v>111</v>
      </c>
      <c r="J17" s="35"/>
    </row>
    <row r="18" spans="1:16" x14ac:dyDescent="0.3">
      <c r="A18" s="27" t="s">
        <v>103</v>
      </c>
      <c r="B18" s="34"/>
      <c r="E18" s="36" t="s">
        <v>112</v>
      </c>
      <c r="J18" s="35"/>
    </row>
    <row r="19" spans="1:16" x14ac:dyDescent="0.3">
      <c r="A19" s="27" t="s">
        <v>103</v>
      </c>
      <c r="B19" s="34"/>
      <c r="E19" s="36" t="s">
        <v>113</v>
      </c>
      <c r="J19" s="35"/>
    </row>
    <row r="20" spans="1:16" ht="43.2" x14ac:dyDescent="0.3">
      <c r="A20" s="27" t="s">
        <v>103</v>
      </c>
      <c r="B20" s="34"/>
      <c r="E20" s="36" t="s">
        <v>114</v>
      </c>
      <c r="J20" s="35"/>
    </row>
    <row r="21" spans="1:16" x14ac:dyDescent="0.3">
      <c r="A21" s="27" t="s">
        <v>103</v>
      </c>
      <c r="B21" s="34"/>
      <c r="E21" s="36" t="s">
        <v>115</v>
      </c>
      <c r="J21" s="35"/>
    </row>
    <row r="22" spans="1:16" ht="28.8" x14ac:dyDescent="0.3">
      <c r="A22" s="27" t="s">
        <v>105</v>
      </c>
      <c r="B22" s="34"/>
      <c r="E22" s="29" t="s">
        <v>106</v>
      </c>
      <c r="J22" s="35"/>
    </row>
    <row r="23" spans="1:16" x14ac:dyDescent="0.3">
      <c r="A23" s="27" t="s">
        <v>95</v>
      </c>
      <c r="B23" s="27">
        <v>3</v>
      </c>
      <c r="C23" s="28" t="s">
        <v>96</v>
      </c>
      <c r="D23" s="27" t="s">
        <v>116</v>
      </c>
      <c r="E23" s="29" t="s">
        <v>98</v>
      </c>
      <c r="F23" s="30" t="s">
        <v>117</v>
      </c>
      <c r="G23" s="31">
        <v>500</v>
      </c>
      <c r="H23" s="32">
        <v>0</v>
      </c>
      <c r="I23" s="32">
        <f>ROUND(500*H23,P4)</f>
        <v>0</v>
      </c>
      <c r="J23" s="30" t="s">
        <v>118</v>
      </c>
      <c r="O23" s="33">
        <f>I23*0.21</f>
        <v>0</v>
      </c>
      <c r="P23">
        <v>3</v>
      </c>
    </row>
    <row r="24" spans="1:16" ht="72" x14ac:dyDescent="0.3">
      <c r="A24" s="27" t="s">
        <v>101</v>
      </c>
      <c r="B24" s="34"/>
      <c r="E24" s="29" t="s">
        <v>119</v>
      </c>
      <c r="J24" s="35"/>
    </row>
    <row r="25" spans="1:16" x14ac:dyDescent="0.3">
      <c r="A25" s="27" t="s">
        <v>103</v>
      </c>
      <c r="B25" s="34"/>
      <c r="E25" s="36" t="s">
        <v>120</v>
      </c>
      <c r="J25" s="35"/>
    </row>
    <row r="26" spans="1:16" ht="28.8" x14ac:dyDescent="0.3">
      <c r="A26" s="27" t="s">
        <v>105</v>
      </c>
      <c r="B26" s="34"/>
      <c r="E26" s="29" t="s">
        <v>106</v>
      </c>
      <c r="J26" s="35"/>
    </row>
    <row r="27" spans="1:16" x14ac:dyDescent="0.3">
      <c r="A27" s="27" t="s">
        <v>95</v>
      </c>
      <c r="B27" s="27">
        <v>4</v>
      </c>
      <c r="C27" s="28" t="s">
        <v>96</v>
      </c>
      <c r="D27" s="27" t="s">
        <v>121</v>
      </c>
      <c r="E27" s="29" t="s">
        <v>98</v>
      </c>
      <c r="F27" s="30" t="s">
        <v>99</v>
      </c>
      <c r="G27" s="31">
        <v>1549.721</v>
      </c>
      <c r="H27" s="32">
        <v>0</v>
      </c>
      <c r="I27" s="32">
        <f>ROUND(1549.721*H27,P4)</f>
        <v>0</v>
      </c>
      <c r="J27" s="30" t="s">
        <v>118</v>
      </c>
      <c r="O27" s="33">
        <f>I27*0.21</f>
        <v>0</v>
      </c>
      <c r="P27">
        <v>3</v>
      </c>
    </row>
    <row r="28" spans="1:16" ht="43.2" x14ac:dyDescent="0.3">
      <c r="A28" s="27" t="s">
        <v>101</v>
      </c>
      <c r="B28" s="34"/>
      <c r="E28" s="29" t="s">
        <v>122</v>
      </c>
      <c r="J28" s="35"/>
    </row>
    <row r="29" spans="1:16" x14ac:dyDescent="0.3">
      <c r="A29" s="27" t="s">
        <v>103</v>
      </c>
      <c r="B29" s="34"/>
      <c r="E29" s="36" t="s">
        <v>123</v>
      </c>
      <c r="J29" s="35"/>
    </row>
    <row r="30" spans="1:16" ht="28.8" x14ac:dyDescent="0.3">
      <c r="A30" s="27" t="s">
        <v>105</v>
      </c>
      <c r="B30" s="34"/>
      <c r="E30" s="29" t="s">
        <v>106</v>
      </c>
      <c r="J30" s="35"/>
    </row>
    <row r="31" spans="1:16" x14ac:dyDescent="0.3">
      <c r="A31" s="27" t="s">
        <v>95</v>
      </c>
      <c r="B31" s="27">
        <v>5</v>
      </c>
      <c r="C31" s="28" t="s">
        <v>96</v>
      </c>
      <c r="D31" s="27" t="s">
        <v>124</v>
      </c>
      <c r="E31" s="29" t="s">
        <v>98</v>
      </c>
      <c r="F31" s="30" t="s">
        <v>99</v>
      </c>
      <c r="G31" s="31">
        <v>2425.0500000000002</v>
      </c>
      <c r="H31" s="32">
        <v>0</v>
      </c>
      <c r="I31" s="32">
        <f>ROUND(2425.05*H31,P4)</f>
        <v>0</v>
      </c>
      <c r="J31" s="30" t="s">
        <v>118</v>
      </c>
      <c r="O31" s="33">
        <f>I31*0.21</f>
        <v>0</v>
      </c>
      <c r="P31">
        <v>3</v>
      </c>
    </row>
    <row r="32" spans="1:16" ht="43.2" x14ac:dyDescent="0.3">
      <c r="A32" s="27" t="s">
        <v>101</v>
      </c>
      <c r="B32" s="34"/>
      <c r="E32" s="29" t="s">
        <v>125</v>
      </c>
      <c r="J32" s="35"/>
    </row>
    <row r="33" spans="1:16" x14ac:dyDescent="0.3">
      <c r="A33" s="27" t="s">
        <v>103</v>
      </c>
      <c r="B33" s="34"/>
      <c r="E33" s="36" t="s">
        <v>126</v>
      </c>
      <c r="J33" s="35"/>
    </row>
    <row r="34" spans="1:16" ht="72" x14ac:dyDescent="0.3">
      <c r="A34" s="27" t="s">
        <v>105</v>
      </c>
      <c r="B34" s="34"/>
      <c r="E34" s="29" t="s">
        <v>127</v>
      </c>
      <c r="J34" s="35"/>
    </row>
    <row r="35" spans="1:16" x14ac:dyDescent="0.3">
      <c r="A35" s="27" t="s">
        <v>95</v>
      </c>
      <c r="B35" s="27">
        <v>6</v>
      </c>
      <c r="C35" s="28" t="s">
        <v>128</v>
      </c>
      <c r="D35" s="27" t="s">
        <v>129</v>
      </c>
      <c r="E35" s="29" t="s">
        <v>130</v>
      </c>
      <c r="F35" s="30" t="s">
        <v>131</v>
      </c>
      <c r="G35" s="31">
        <v>1012.51</v>
      </c>
      <c r="H35" s="32">
        <v>0</v>
      </c>
      <c r="I35" s="32">
        <f>ROUND(1012.51*H35,P4)</f>
        <v>0</v>
      </c>
      <c r="J35" s="30" t="s">
        <v>118</v>
      </c>
      <c r="O35" s="33">
        <f>I35*0.21</f>
        <v>0</v>
      </c>
      <c r="P35">
        <v>3</v>
      </c>
    </row>
    <row r="36" spans="1:16" ht="57.6" x14ac:dyDescent="0.3">
      <c r="A36" s="27" t="s">
        <v>101</v>
      </c>
      <c r="B36" s="34"/>
      <c r="E36" s="29" t="s">
        <v>132</v>
      </c>
      <c r="J36" s="35"/>
    </row>
    <row r="37" spans="1:16" x14ac:dyDescent="0.3">
      <c r="A37" s="27" t="s">
        <v>103</v>
      </c>
      <c r="B37" s="34"/>
      <c r="E37" s="36" t="s">
        <v>133</v>
      </c>
      <c r="J37" s="35"/>
    </row>
    <row r="38" spans="1:16" ht="72" x14ac:dyDescent="0.3">
      <c r="A38" s="27" t="s">
        <v>105</v>
      </c>
      <c r="B38" s="34"/>
      <c r="E38" s="29" t="s">
        <v>134</v>
      </c>
      <c r="J38" s="35"/>
    </row>
    <row r="39" spans="1:16" x14ac:dyDescent="0.3">
      <c r="A39" s="27" t="s">
        <v>95</v>
      </c>
      <c r="B39" s="27">
        <v>7</v>
      </c>
      <c r="C39" s="28" t="s">
        <v>135</v>
      </c>
      <c r="D39" s="27" t="s">
        <v>129</v>
      </c>
      <c r="E39" s="29" t="s">
        <v>136</v>
      </c>
      <c r="F39" s="30" t="s">
        <v>137</v>
      </c>
      <c r="G39" s="31">
        <v>1</v>
      </c>
      <c r="H39" s="32">
        <v>0</v>
      </c>
      <c r="I39" s="32">
        <f>ROUND(1*H39,P4)</f>
        <v>0</v>
      </c>
      <c r="J39" s="30" t="s">
        <v>118</v>
      </c>
      <c r="O39" s="33">
        <f>I39*0.21</f>
        <v>0</v>
      </c>
      <c r="P39">
        <v>3</v>
      </c>
    </row>
    <row r="40" spans="1:16" ht="72" x14ac:dyDescent="0.3">
      <c r="A40" s="27" t="s">
        <v>101</v>
      </c>
      <c r="B40" s="34"/>
      <c r="E40" s="29" t="s">
        <v>138</v>
      </c>
      <c r="J40" s="35"/>
    </row>
    <row r="41" spans="1:16" x14ac:dyDescent="0.3">
      <c r="A41" s="27" t="s">
        <v>103</v>
      </c>
      <c r="B41" s="34"/>
      <c r="E41" s="36" t="s">
        <v>139</v>
      </c>
      <c r="J41" s="35"/>
    </row>
    <row r="42" spans="1:16" ht="57.6" x14ac:dyDescent="0.3">
      <c r="A42" s="27" t="s">
        <v>105</v>
      </c>
      <c r="B42" s="34"/>
      <c r="E42" s="29" t="s">
        <v>140</v>
      </c>
      <c r="J42" s="35"/>
    </row>
    <row r="43" spans="1:16" x14ac:dyDescent="0.3">
      <c r="A43" s="27" t="s">
        <v>95</v>
      </c>
      <c r="B43" s="27">
        <v>8</v>
      </c>
      <c r="C43" s="28" t="s">
        <v>141</v>
      </c>
      <c r="D43" s="27" t="s">
        <v>129</v>
      </c>
      <c r="E43" s="29" t="s">
        <v>142</v>
      </c>
      <c r="F43" s="30" t="s">
        <v>137</v>
      </c>
      <c r="G43" s="31">
        <v>1</v>
      </c>
      <c r="H43" s="32">
        <v>0</v>
      </c>
      <c r="I43" s="32">
        <f>ROUND(1*H43,P4)</f>
        <v>0</v>
      </c>
      <c r="J43" s="30" t="s">
        <v>118</v>
      </c>
      <c r="O43" s="33">
        <f>I43*0.21</f>
        <v>0</v>
      </c>
      <c r="P43">
        <v>3</v>
      </c>
    </row>
    <row r="44" spans="1:16" ht="28.8" x14ac:dyDescent="0.3">
      <c r="A44" s="27" t="s">
        <v>101</v>
      </c>
      <c r="B44" s="34"/>
      <c r="E44" s="29" t="s">
        <v>143</v>
      </c>
      <c r="J44" s="35"/>
    </row>
    <row r="45" spans="1:16" x14ac:dyDescent="0.3">
      <c r="A45" s="27" t="s">
        <v>103</v>
      </c>
      <c r="B45" s="34"/>
      <c r="E45" s="36" t="s">
        <v>139</v>
      </c>
      <c r="J45" s="35"/>
    </row>
    <row r="46" spans="1:16" ht="28.8" x14ac:dyDescent="0.3">
      <c r="A46" s="27" t="s">
        <v>105</v>
      </c>
      <c r="B46" s="34"/>
      <c r="E46" s="29" t="s">
        <v>144</v>
      </c>
      <c r="J46" s="35"/>
    </row>
    <row r="47" spans="1:16" x14ac:dyDescent="0.3">
      <c r="A47" s="27" t="s">
        <v>95</v>
      </c>
      <c r="B47" s="27">
        <v>9</v>
      </c>
      <c r="C47" s="28" t="s">
        <v>145</v>
      </c>
      <c r="D47" s="27" t="s">
        <v>146</v>
      </c>
      <c r="E47" s="29" t="s">
        <v>147</v>
      </c>
      <c r="F47" s="30" t="s">
        <v>137</v>
      </c>
      <c r="G47" s="31">
        <v>1</v>
      </c>
      <c r="H47" s="32">
        <v>0</v>
      </c>
      <c r="I47" s="32">
        <f>ROUND(1*H47,P4)</f>
        <v>0</v>
      </c>
      <c r="J47" s="30" t="s">
        <v>100</v>
      </c>
      <c r="O47" s="33">
        <f>I47*0.21</f>
        <v>0</v>
      </c>
      <c r="P47">
        <v>3</v>
      </c>
    </row>
    <row r="48" spans="1:16" x14ac:dyDescent="0.3">
      <c r="A48" s="27" t="s">
        <v>101</v>
      </c>
      <c r="B48" s="34"/>
      <c r="E48" s="29" t="s">
        <v>148</v>
      </c>
      <c r="J48" s="35"/>
    </row>
    <row r="49" spans="1:16" x14ac:dyDescent="0.3">
      <c r="A49" s="27" t="s">
        <v>103</v>
      </c>
      <c r="B49" s="34"/>
      <c r="E49" s="36" t="s">
        <v>139</v>
      </c>
      <c r="J49" s="35"/>
    </row>
    <row r="50" spans="1:16" ht="28.8" x14ac:dyDescent="0.3">
      <c r="A50" s="27" t="s">
        <v>105</v>
      </c>
      <c r="B50" s="34"/>
      <c r="E50" s="29" t="s">
        <v>144</v>
      </c>
      <c r="J50" s="35"/>
    </row>
    <row r="51" spans="1:16" x14ac:dyDescent="0.3">
      <c r="A51" s="27" t="s">
        <v>95</v>
      </c>
      <c r="B51" s="27">
        <v>10</v>
      </c>
      <c r="C51" s="28" t="s">
        <v>149</v>
      </c>
      <c r="D51" s="27" t="s">
        <v>129</v>
      </c>
      <c r="E51" s="29" t="s">
        <v>150</v>
      </c>
      <c r="F51" s="30" t="s">
        <v>137</v>
      </c>
      <c r="G51" s="31">
        <v>1</v>
      </c>
      <c r="H51" s="32">
        <v>0</v>
      </c>
      <c r="I51" s="32">
        <f>ROUND(1*H51,P4)</f>
        <v>0</v>
      </c>
      <c r="J51" s="30" t="s">
        <v>118</v>
      </c>
      <c r="O51" s="33">
        <f>I51*0.21</f>
        <v>0</v>
      </c>
      <c r="P51">
        <v>3</v>
      </c>
    </row>
    <row r="52" spans="1:16" ht="28.8" x14ac:dyDescent="0.3">
      <c r="A52" s="27" t="s">
        <v>101</v>
      </c>
      <c r="B52" s="34"/>
      <c r="E52" s="29" t="s">
        <v>151</v>
      </c>
      <c r="J52" s="35"/>
    </row>
    <row r="53" spans="1:16" x14ac:dyDescent="0.3">
      <c r="A53" s="27" t="s">
        <v>103</v>
      </c>
      <c r="B53" s="34"/>
      <c r="E53" s="36" t="s">
        <v>139</v>
      </c>
      <c r="J53" s="35"/>
    </row>
    <row r="54" spans="1:16" ht="28.8" x14ac:dyDescent="0.3">
      <c r="A54" s="27" t="s">
        <v>105</v>
      </c>
      <c r="B54" s="34"/>
      <c r="E54" s="29" t="s">
        <v>144</v>
      </c>
      <c r="J54" s="35"/>
    </row>
    <row r="55" spans="1:16" x14ac:dyDescent="0.3">
      <c r="A55" s="27" t="s">
        <v>95</v>
      </c>
      <c r="B55" s="27">
        <v>11</v>
      </c>
      <c r="C55" s="28" t="s">
        <v>152</v>
      </c>
      <c r="D55" s="27" t="s">
        <v>129</v>
      </c>
      <c r="E55" s="29" t="s">
        <v>153</v>
      </c>
      <c r="F55" s="30" t="s">
        <v>137</v>
      </c>
      <c r="G55" s="31">
        <v>1</v>
      </c>
      <c r="H55" s="32">
        <v>0</v>
      </c>
      <c r="I55" s="32">
        <f>ROUND(1*H55,P4)</f>
        <v>0</v>
      </c>
      <c r="J55" s="30" t="s">
        <v>118</v>
      </c>
      <c r="O55" s="33">
        <f>I55*0.21</f>
        <v>0</v>
      </c>
      <c r="P55">
        <v>3</v>
      </c>
    </row>
    <row r="56" spans="1:16" ht="72" x14ac:dyDescent="0.3">
      <c r="A56" s="27" t="s">
        <v>101</v>
      </c>
      <c r="B56" s="34"/>
      <c r="E56" s="29" t="s">
        <v>154</v>
      </c>
      <c r="J56" s="35"/>
    </row>
    <row r="57" spans="1:16" x14ac:dyDescent="0.3">
      <c r="A57" s="27" t="s">
        <v>103</v>
      </c>
      <c r="B57" s="34"/>
      <c r="E57" s="36" t="s">
        <v>139</v>
      </c>
      <c r="J57" s="35"/>
    </row>
    <row r="58" spans="1:16" ht="28.8" x14ac:dyDescent="0.3">
      <c r="A58" s="27" t="s">
        <v>105</v>
      </c>
      <c r="B58" s="34"/>
      <c r="E58" s="29" t="s">
        <v>144</v>
      </c>
      <c r="J58" s="35"/>
    </row>
    <row r="59" spans="1:16" x14ac:dyDescent="0.3">
      <c r="A59" s="27" t="s">
        <v>95</v>
      </c>
      <c r="B59" s="27">
        <v>12</v>
      </c>
      <c r="C59" s="28" t="s">
        <v>155</v>
      </c>
      <c r="D59" s="27" t="s">
        <v>129</v>
      </c>
      <c r="E59" s="29" t="s">
        <v>156</v>
      </c>
      <c r="F59" s="30" t="s">
        <v>137</v>
      </c>
      <c r="G59" s="31">
        <v>1</v>
      </c>
      <c r="H59" s="32">
        <v>0</v>
      </c>
      <c r="I59" s="32">
        <f>ROUND(1*H59,P4)</f>
        <v>0</v>
      </c>
      <c r="J59" s="30" t="s">
        <v>118</v>
      </c>
      <c r="O59" s="33">
        <f>I59*0.21</f>
        <v>0</v>
      </c>
      <c r="P59">
        <v>3</v>
      </c>
    </row>
    <row r="60" spans="1:16" x14ac:dyDescent="0.3">
      <c r="A60" s="27" t="s">
        <v>101</v>
      </c>
      <c r="B60" s="34"/>
      <c r="E60" s="29" t="s">
        <v>157</v>
      </c>
      <c r="J60" s="35"/>
    </row>
    <row r="61" spans="1:16" x14ac:dyDescent="0.3">
      <c r="A61" s="27" t="s">
        <v>103</v>
      </c>
      <c r="B61" s="34"/>
      <c r="E61" s="36" t="s">
        <v>139</v>
      </c>
      <c r="J61" s="35"/>
    </row>
    <row r="62" spans="1:16" x14ac:dyDescent="0.3">
      <c r="A62" s="27" t="s">
        <v>105</v>
      </c>
      <c r="B62" s="34"/>
      <c r="E62" s="29" t="s">
        <v>158</v>
      </c>
      <c r="J62" s="35"/>
    </row>
    <row r="63" spans="1:16" x14ac:dyDescent="0.3">
      <c r="A63" s="27" t="s">
        <v>95</v>
      </c>
      <c r="B63" s="27">
        <v>13</v>
      </c>
      <c r="C63" s="28" t="s">
        <v>159</v>
      </c>
      <c r="D63" s="27" t="s">
        <v>129</v>
      </c>
      <c r="E63" s="29" t="s">
        <v>160</v>
      </c>
      <c r="F63" s="30" t="s">
        <v>137</v>
      </c>
      <c r="G63" s="31">
        <v>1</v>
      </c>
      <c r="H63" s="32">
        <v>0</v>
      </c>
      <c r="I63" s="32">
        <f>ROUND(1*H63,P4)</f>
        <v>0</v>
      </c>
      <c r="J63" s="30" t="s">
        <v>118</v>
      </c>
      <c r="O63" s="33">
        <f>I63*0.21</f>
        <v>0</v>
      </c>
      <c r="P63">
        <v>3</v>
      </c>
    </row>
    <row r="64" spans="1:16" ht="43.2" x14ac:dyDescent="0.3">
      <c r="A64" s="27" t="s">
        <v>101</v>
      </c>
      <c r="B64" s="34"/>
      <c r="E64" s="29" t="s">
        <v>161</v>
      </c>
      <c r="J64" s="35"/>
    </row>
    <row r="65" spans="1:16" x14ac:dyDescent="0.3">
      <c r="A65" s="27" t="s">
        <v>103</v>
      </c>
      <c r="B65" s="34"/>
      <c r="E65" s="36" t="s">
        <v>139</v>
      </c>
      <c r="J65" s="35"/>
    </row>
    <row r="66" spans="1:16" ht="43.2" x14ac:dyDescent="0.3">
      <c r="A66" s="27" t="s">
        <v>105</v>
      </c>
      <c r="B66" s="34"/>
      <c r="E66" s="29" t="s">
        <v>162</v>
      </c>
      <c r="J66" s="35"/>
    </row>
    <row r="67" spans="1:16" x14ac:dyDescent="0.3">
      <c r="A67" s="27" t="s">
        <v>95</v>
      </c>
      <c r="B67" s="27">
        <v>14</v>
      </c>
      <c r="C67" s="28" t="s">
        <v>163</v>
      </c>
      <c r="D67" s="27" t="s">
        <v>129</v>
      </c>
      <c r="E67" s="29" t="s">
        <v>164</v>
      </c>
      <c r="F67" s="30" t="s">
        <v>137</v>
      </c>
      <c r="G67" s="31">
        <v>1</v>
      </c>
      <c r="H67" s="32">
        <v>0</v>
      </c>
      <c r="I67" s="32">
        <f>ROUND(1*H67,P4)</f>
        <v>0</v>
      </c>
      <c r="J67" s="30" t="s">
        <v>118</v>
      </c>
      <c r="O67" s="33">
        <f>I67*0.21</f>
        <v>0</v>
      </c>
      <c r="P67">
        <v>3</v>
      </c>
    </row>
    <row r="68" spans="1:16" ht="244.8" x14ac:dyDescent="0.3">
      <c r="A68" s="27" t="s">
        <v>101</v>
      </c>
      <c r="B68" s="34"/>
      <c r="E68" s="29" t="s">
        <v>165</v>
      </c>
      <c r="J68" s="35"/>
    </row>
    <row r="69" spans="1:16" x14ac:dyDescent="0.3">
      <c r="A69" s="27" t="s">
        <v>103</v>
      </c>
      <c r="B69" s="34"/>
      <c r="E69" s="36" t="s">
        <v>139</v>
      </c>
      <c r="J69" s="35"/>
    </row>
    <row r="70" spans="1:16" x14ac:dyDescent="0.3">
      <c r="A70" s="27" t="s">
        <v>105</v>
      </c>
      <c r="B70" s="34"/>
      <c r="E70" s="29" t="s">
        <v>158</v>
      </c>
      <c r="J70" s="35"/>
    </row>
    <row r="71" spans="1:16" x14ac:dyDescent="0.3">
      <c r="A71" s="27" t="s">
        <v>95</v>
      </c>
      <c r="B71" s="27">
        <v>15</v>
      </c>
      <c r="C71" s="28" t="s">
        <v>166</v>
      </c>
      <c r="D71" s="27" t="s">
        <v>129</v>
      </c>
      <c r="E71" s="29" t="s">
        <v>167</v>
      </c>
      <c r="F71" s="30" t="s">
        <v>137</v>
      </c>
      <c r="G71" s="31">
        <v>1</v>
      </c>
      <c r="H71" s="32">
        <v>0</v>
      </c>
      <c r="I71" s="32">
        <f>ROUND(1*H71,P4)</f>
        <v>0</v>
      </c>
      <c r="J71" s="30" t="s">
        <v>118</v>
      </c>
      <c r="O71" s="33">
        <f>I71*0.21</f>
        <v>0</v>
      </c>
      <c r="P71">
        <v>3</v>
      </c>
    </row>
    <row r="72" spans="1:16" ht="230.4" x14ac:dyDescent="0.3">
      <c r="A72" s="27" t="s">
        <v>101</v>
      </c>
      <c r="B72" s="34"/>
      <c r="E72" s="29" t="s">
        <v>168</v>
      </c>
      <c r="J72" s="35"/>
    </row>
    <row r="73" spans="1:16" x14ac:dyDescent="0.3">
      <c r="A73" s="27" t="s">
        <v>103</v>
      </c>
      <c r="B73" s="34"/>
      <c r="E73" s="36" t="s">
        <v>139</v>
      </c>
      <c r="J73" s="35"/>
    </row>
    <row r="74" spans="1:16" x14ac:dyDescent="0.3">
      <c r="A74" s="27" t="s">
        <v>105</v>
      </c>
      <c r="B74" s="34"/>
      <c r="E74" s="29" t="s">
        <v>158</v>
      </c>
      <c r="J74" s="35"/>
    </row>
    <row r="75" spans="1:16" x14ac:dyDescent="0.3">
      <c r="A75" s="27" t="s">
        <v>95</v>
      </c>
      <c r="B75" s="27">
        <v>16</v>
      </c>
      <c r="C75" s="28" t="s">
        <v>169</v>
      </c>
      <c r="D75" s="27" t="s">
        <v>129</v>
      </c>
      <c r="E75" s="29" t="s">
        <v>170</v>
      </c>
      <c r="F75" s="30" t="s">
        <v>137</v>
      </c>
      <c r="G75" s="31">
        <v>1</v>
      </c>
      <c r="H75" s="32">
        <v>0</v>
      </c>
      <c r="I75" s="32">
        <f>ROUND(1*H75,P4)</f>
        <v>0</v>
      </c>
      <c r="J75" s="30" t="s">
        <v>118</v>
      </c>
      <c r="O75" s="33">
        <f>I75*0.21</f>
        <v>0</v>
      </c>
      <c r="P75">
        <v>3</v>
      </c>
    </row>
    <row r="76" spans="1:16" x14ac:dyDescent="0.3">
      <c r="A76" s="27" t="s">
        <v>101</v>
      </c>
      <c r="B76" s="34"/>
      <c r="E76" s="29" t="s">
        <v>171</v>
      </c>
      <c r="J76" s="35"/>
    </row>
    <row r="77" spans="1:16" x14ac:dyDescent="0.3">
      <c r="A77" s="27" t="s">
        <v>103</v>
      </c>
      <c r="B77" s="34"/>
      <c r="E77" s="36" t="s">
        <v>139</v>
      </c>
      <c r="J77" s="35"/>
    </row>
    <row r="78" spans="1:16" x14ac:dyDescent="0.3">
      <c r="A78" s="27" t="s">
        <v>105</v>
      </c>
      <c r="B78" s="34"/>
      <c r="E78" s="29" t="s">
        <v>158</v>
      </c>
      <c r="J78" s="35"/>
    </row>
    <row r="79" spans="1:16" x14ac:dyDescent="0.3">
      <c r="A79" s="27" t="s">
        <v>95</v>
      </c>
      <c r="B79" s="27">
        <v>17</v>
      </c>
      <c r="C79" s="28" t="s">
        <v>172</v>
      </c>
      <c r="D79" s="27" t="s">
        <v>129</v>
      </c>
      <c r="E79" s="29" t="s">
        <v>173</v>
      </c>
      <c r="F79" s="30" t="s">
        <v>174</v>
      </c>
      <c r="G79" s="31">
        <v>2</v>
      </c>
      <c r="H79" s="32">
        <v>0</v>
      </c>
      <c r="I79" s="32">
        <f>ROUND(2*H79,P4)</f>
        <v>0</v>
      </c>
      <c r="J79" s="30" t="s">
        <v>118</v>
      </c>
      <c r="O79" s="33">
        <f>I79*0.21</f>
        <v>0</v>
      </c>
      <c r="P79">
        <v>3</v>
      </c>
    </row>
    <row r="80" spans="1:16" ht="86.4" x14ac:dyDescent="0.3">
      <c r="A80" s="27" t="s">
        <v>101</v>
      </c>
      <c r="B80" s="34"/>
      <c r="E80" s="29" t="s">
        <v>175</v>
      </c>
      <c r="J80" s="35"/>
    </row>
    <row r="81" spans="1:16" x14ac:dyDescent="0.3">
      <c r="A81" s="27" t="s">
        <v>103</v>
      </c>
      <c r="B81" s="34"/>
      <c r="E81" s="36" t="s">
        <v>176</v>
      </c>
      <c r="J81" s="35"/>
    </row>
    <row r="82" spans="1:16" ht="100.8" x14ac:dyDescent="0.3">
      <c r="A82" s="27" t="s">
        <v>105</v>
      </c>
      <c r="B82" s="34"/>
      <c r="E82" s="29" t="s">
        <v>177</v>
      </c>
      <c r="J82" s="35"/>
    </row>
    <row r="83" spans="1:16" x14ac:dyDescent="0.3">
      <c r="A83" s="27" t="s">
        <v>95</v>
      </c>
      <c r="B83" s="27">
        <v>18</v>
      </c>
      <c r="C83" s="28" t="s">
        <v>178</v>
      </c>
      <c r="D83" s="27" t="s">
        <v>97</v>
      </c>
      <c r="E83" s="29" t="s">
        <v>179</v>
      </c>
      <c r="F83" s="30" t="s">
        <v>137</v>
      </c>
      <c r="G83" s="31">
        <v>1</v>
      </c>
      <c r="H83" s="32">
        <v>0</v>
      </c>
      <c r="I83" s="32">
        <f>ROUND(1*H83,P4)</f>
        <v>0</v>
      </c>
      <c r="J83" s="30" t="s">
        <v>118</v>
      </c>
      <c r="O83" s="33">
        <f>I83*0.21</f>
        <v>0</v>
      </c>
      <c r="P83">
        <v>3</v>
      </c>
    </row>
    <row r="84" spans="1:16" ht="144" x14ac:dyDescent="0.3">
      <c r="A84" s="27" t="s">
        <v>101</v>
      </c>
      <c r="B84" s="34"/>
      <c r="E84" s="29" t="s">
        <v>180</v>
      </c>
      <c r="J84" s="35"/>
    </row>
    <row r="85" spans="1:16" x14ac:dyDescent="0.3">
      <c r="A85" s="27" t="s">
        <v>103</v>
      </c>
      <c r="B85" s="34"/>
      <c r="E85" s="36" t="s">
        <v>139</v>
      </c>
      <c r="J85" s="35"/>
    </row>
    <row r="86" spans="1:16" ht="72" x14ac:dyDescent="0.3">
      <c r="A86" s="27" t="s">
        <v>105</v>
      </c>
      <c r="B86" s="34"/>
      <c r="E86" s="29" t="s">
        <v>181</v>
      </c>
      <c r="J86" s="35"/>
    </row>
    <row r="87" spans="1:16" x14ac:dyDescent="0.3">
      <c r="A87" s="27" t="s">
        <v>95</v>
      </c>
      <c r="B87" s="27">
        <v>19</v>
      </c>
      <c r="C87" s="28" t="s">
        <v>178</v>
      </c>
      <c r="D87" s="27" t="s">
        <v>107</v>
      </c>
      <c r="E87" s="29" t="s">
        <v>179</v>
      </c>
      <c r="F87" s="30" t="s">
        <v>137</v>
      </c>
      <c r="G87" s="31">
        <v>1</v>
      </c>
      <c r="H87" s="32">
        <v>0</v>
      </c>
      <c r="I87" s="32">
        <f>ROUND(1*H87,P4)</f>
        <v>0</v>
      </c>
      <c r="J87" s="30" t="s">
        <v>118</v>
      </c>
      <c r="O87" s="33">
        <f>I87*0.21</f>
        <v>0</v>
      </c>
      <c r="P87">
        <v>3</v>
      </c>
    </row>
    <row r="88" spans="1:16" ht="28.8" x14ac:dyDescent="0.3">
      <c r="A88" s="27" t="s">
        <v>101</v>
      </c>
      <c r="B88" s="34"/>
      <c r="E88" s="29" t="s">
        <v>182</v>
      </c>
      <c r="J88" s="35"/>
    </row>
    <row r="89" spans="1:16" x14ac:dyDescent="0.3">
      <c r="A89" s="27" t="s">
        <v>103</v>
      </c>
      <c r="B89" s="34"/>
      <c r="E89" s="36" t="s">
        <v>139</v>
      </c>
      <c r="J89" s="35"/>
    </row>
    <row r="90" spans="1:16" ht="72" x14ac:dyDescent="0.3">
      <c r="A90" s="27" t="s">
        <v>105</v>
      </c>
      <c r="B90" s="34"/>
      <c r="E90" s="29" t="s">
        <v>181</v>
      </c>
      <c r="J90" s="35"/>
    </row>
    <row r="91" spans="1:16" x14ac:dyDescent="0.3">
      <c r="A91" s="27" t="s">
        <v>95</v>
      </c>
      <c r="B91" s="27">
        <v>20</v>
      </c>
      <c r="C91" s="28" t="s">
        <v>183</v>
      </c>
      <c r="D91" s="27" t="s">
        <v>97</v>
      </c>
      <c r="E91" s="29" t="s">
        <v>184</v>
      </c>
      <c r="F91" s="30" t="s">
        <v>137</v>
      </c>
      <c r="G91" s="31">
        <v>1</v>
      </c>
      <c r="H91" s="32">
        <v>0</v>
      </c>
      <c r="I91" s="32">
        <f>ROUND(1*H91,P4)</f>
        <v>0</v>
      </c>
      <c r="J91" s="30" t="s">
        <v>118</v>
      </c>
      <c r="O91" s="33">
        <f>I91*0.21</f>
        <v>0</v>
      </c>
      <c r="P91">
        <v>3</v>
      </c>
    </row>
    <row r="92" spans="1:16" ht="158.4" x14ac:dyDescent="0.3">
      <c r="A92" s="27" t="s">
        <v>101</v>
      </c>
      <c r="B92" s="34"/>
      <c r="E92" s="29" t="s">
        <v>185</v>
      </c>
      <c r="J92" s="35"/>
    </row>
    <row r="93" spans="1:16" x14ac:dyDescent="0.3">
      <c r="A93" s="27" t="s">
        <v>103</v>
      </c>
      <c r="B93" s="34"/>
      <c r="E93" s="36" t="s">
        <v>139</v>
      </c>
      <c r="J93" s="35"/>
    </row>
    <row r="94" spans="1:16" x14ac:dyDescent="0.3">
      <c r="A94" s="27" t="s">
        <v>105</v>
      </c>
      <c r="B94" s="34"/>
      <c r="E94" s="29" t="s">
        <v>186</v>
      </c>
      <c r="J94" s="35"/>
    </row>
    <row r="95" spans="1:16" x14ac:dyDescent="0.3">
      <c r="A95" s="27" t="s">
        <v>95</v>
      </c>
      <c r="B95" s="27">
        <v>21</v>
      </c>
      <c r="C95" s="28" t="s">
        <v>183</v>
      </c>
      <c r="D95" s="27" t="s">
        <v>107</v>
      </c>
      <c r="E95" s="29" t="s">
        <v>184</v>
      </c>
      <c r="F95" s="30" t="s">
        <v>137</v>
      </c>
      <c r="G95" s="31">
        <v>1</v>
      </c>
      <c r="H95" s="32">
        <v>0</v>
      </c>
      <c r="I95" s="32">
        <f>ROUND(1*H95,P4)</f>
        <v>0</v>
      </c>
      <c r="J95" s="30" t="s">
        <v>118</v>
      </c>
      <c r="O95" s="33">
        <f>I95*0.21</f>
        <v>0</v>
      </c>
      <c r="P95">
        <v>3</v>
      </c>
    </row>
    <row r="96" spans="1:16" ht="43.2" x14ac:dyDescent="0.3">
      <c r="A96" s="27" t="s">
        <v>101</v>
      </c>
      <c r="B96" s="34"/>
      <c r="E96" s="29" t="s">
        <v>187</v>
      </c>
      <c r="J96" s="35"/>
    </row>
    <row r="97" spans="1:16" x14ac:dyDescent="0.3">
      <c r="A97" s="27" t="s">
        <v>103</v>
      </c>
      <c r="B97" s="34"/>
      <c r="E97" s="36" t="s">
        <v>139</v>
      </c>
      <c r="J97" s="35"/>
    </row>
    <row r="98" spans="1:16" x14ac:dyDescent="0.3">
      <c r="A98" s="27" t="s">
        <v>105</v>
      </c>
      <c r="B98" s="34"/>
      <c r="E98" s="29" t="s">
        <v>186</v>
      </c>
      <c r="J98" s="35"/>
    </row>
    <row r="99" spans="1:16" x14ac:dyDescent="0.3">
      <c r="A99" s="27" t="s">
        <v>95</v>
      </c>
      <c r="B99" s="27">
        <v>22</v>
      </c>
      <c r="C99" s="28" t="s">
        <v>188</v>
      </c>
      <c r="D99" s="27" t="s">
        <v>129</v>
      </c>
      <c r="E99" s="29" t="s">
        <v>189</v>
      </c>
      <c r="F99" s="30" t="s">
        <v>137</v>
      </c>
      <c r="G99" s="31">
        <v>1</v>
      </c>
      <c r="H99" s="32">
        <v>0</v>
      </c>
      <c r="I99" s="32">
        <f>ROUND(1*H99,P4)</f>
        <v>0</v>
      </c>
      <c r="J99" s="30" t="s">
        <v>118</v>
      </c>
      <c r="O99" s="33">
        <f>I99*0.21</f>
        <v>0</v>
      </c>
      <c r="P99">
        <v>3</v>
      </c>
    </row>
    <row r="100" spans="1:16" x14ac:dyDescent="0.3">
      <c r="A100" s="27" t="s">
        <v>101</v>
      </c>
      <c r="B100" s="34"/>
      <c r="E100" s="29" t="s">
        <v>190</v>
      </c>
      <c r="J100" s="35"/>
    </row>
    <row r="101" spans="1:16" x14ac:dyDescent="0.3">
      <c r="A101" s="27" t="s">
        <v>103</v>
      </c>
      <c r="B101" s="34"/>
      <c r="E101" s="36" t="s">
        <v>139</v>
      </c>
      <c r="J101" s="35"/>
    </row>
    <row r="102" spans="1:16" x14ac:dyDescent="0.3">
      <c r="A102" s="27" t="s">
        <v>105</v>
      </c>
      <c r="B102" s="34"/>
      <c r="E102" s="29" t="s">
        <v>158</v>
      </c>
      <c r="J102" s="35"/>
    </row>
    <row r="103" spans="1:16" x14ac:dyDescent="0.3">
      <c r="A103" s="27" t="s">
        <v>95</v>
      </c>
      <c r="B103" s="27">
        <v>23</v>
      </c>
      <c r="C103" s="28" t="s">
        <v>191</v>
      </c>
      <c r="D103" s="27" t="s">
        <v>97</v>
      </c>
      <c r="E103" s="29" t="s">
        <v>192</v>
      </c>
      <c r="F103" s="30" t="s">
        <v>117</v>
      </c>
      <c r="G103" s="31">
        <v>1</v>
      </c>
      <c r="H103" s="32">
        <v>0</v>
      </c>
      <c r="I103" s="32">
        <f>ROUND(1*H103,P4)</f>
        <v>0</v>
      </c>
      <c r="J103" s="30" t="s">
        <v>118</v>
      </c>
      <c r="O103" s="33">
        <f>I103*0.21</f>
        <v>0</v>
      </c>
      <c r="P103">
        <v>3</v>
      </c>
    </row>
    <row r="104" spans="1:16" ht="129.6" x14ac:dyDescent="0.3">
      <c r="A104" s="27" t="s">
        <v>101</v>
      </c>
      <c r="B104" s="34"/>
      <c r="E104" s="29" t="s">
        <v>193</v>
      </c>
      <c r="J104" s="35"/>
    </row>
    <row r="105" spans="1:16" x14ac:dyDescent="0.3">
      <c r="A105" s="27" t="s">
        <v>103</v>
      </c>
      <c r="B105" s="34"/>
      <c r="E105" s="36" t="s">
        <v>194</v>
      </c>
      <c r="J105" s="35"/>
    </row>
    <row r="106" spans="1:16" ht="129.6" x14ac:dyDescent="0.3">
      <c r="A106" s="27" t="s">
        <v>105</v>
      </c>
      <c r="B106" s="34"/>
      <c r="E106" s="29" t="s">
        <v>195</v>
      </c>
      <c r="J106" s="35"/>
    </row>
    <row r="107" spans="1:16" x14ac:dyDescent="0.3">
      <c r="A107" s="27" t="s">
        <v>95</v>
      </c>
      <c r="B107" s="27">
        <v>24</v>
      </c>
      <c r="C107" s="28" t="s">
        <v>191</v>
      </c>
      <c r="D107" s="27" t="s">
        <v>107</v>
      </c>
      <c r="E107" s="29" t="s">
        <v>192</v>
      </c>
      <c r="F107" s="30" t="s">
        <v>117</v>
      </c>
      <c r="G107" s="31">
        <v>2</v>
      </c>
      <c r="H107" s="32">
        <v>0</v>
      </c>
      <c r="I107" s="32">
        <f>ROUND(2*H107,P4)</f>
        <v>0</v>
      </c>
      <c r="J107" s="30" t="s">
        <v>118</v>
      </c>
      <c r="O107" s="33">
        <f>I107*0.21</f>
        <v>0</v>
      </c>
      <c r="P107">
        <v>3</v>
      </c>
    </row>
    <row r="108" spans="1:16" ht="115.2" x14ac:dyDescent="0.3">
      <c r="A108" s="27" t="s">
        <v>101</v>
      </c>
      <c r="B108" s="34"/>
      <c r="E108" s="29" t="s">
        <v>196</v>
      </c>
      <c r="J108" s="35"/>
    </row>
    <row r="109" spans="1:16" x14ac:dyDescent="0.3">
      <c r="A109" s="27" t="s">
        <v>103</v>
      </c>
      <c r="B109" s="34"/>
      <c r="E109" s="36" t="s">
        <v>197</v>
      </c>
      <c r="J109" s="35"/>
    </row>
    <row r="110" spans="1:16" ht="129.6" x14ac:dyDescent="0.3">
      <c r="A110" s="27" t="s">
        <v>105</v>
      </c>
      <c r="B110" s="34"/>
      <c r="E110" s="29" t="s">
        <v>195</v>
      </c>
      <c r="J110" s="35"/>
    </row>
    <row r="111" spans="1:16" x14ac:dyDescent="0.3">
      <c r="A111" s="27" t="s">
        <v>95</v>
      </c>
      <c r="B111" s="27">
        <v>25</v>
      </c>
      <c r="C111" s="28" t="s">
        <v>191</v>
      </c>
      <c r="D111" s="27" t="s">
        <v>116</v>
      </c>
      <c r="E111" s="29" t="s">
        <v>192</v>
      </c>
      <c r="F111" s="30" t="s">
        <v>117</v>
      </c>
      <c r="G111" s="31">
        <v>1</v>
      </c>
      <c r="H111" s="32">
        <v>0</v>
      </c>
      <c r="I111" s="32">
        <f>ROUND(1*H111,P4)</f>
        <v>0</v>
      </c>
      <c r="J111" s="30" t="s">
        <v>118</v>
      </c>
      <c r="O111" s="33">
        <f>I111*0.21</f>
        <v>0</v>
      </c>
      <c r="P111">
        <v>3</v>
      </c>
    </row>
    <row r="112" spans="1:16" ht="100.8" x14ac:dyDescent="0.3">
      <c r="A112" s="27" t="s">
        <v>101</v>
      </c>
      <c r="B112" s="34"/>
      <c r="E112" s="29" t="s">
        <v>198</v>
      </c>
      <c r="J112" s="35"/>
    </row>
    <row r="113" spans="1:16" x14ac:dyDescent="0.3">
      <c r="A113" s="27" t="s">
        <v>103</v>
      </c>
      <c r="B113" s="34"/>
      <c r="E113" s="36" t="s">
        <v>199</v>
      </c>
      <c r="J113" s="35"/>
    </row>
    <row r="114" spans="1:16" ht="129.6" x14ac:dyDescent="0.3">
      <c r="A114" s="27" t="s">
        <v>105</v>
      </c>
      <c r="B114" s="34"/>
      <c r="E114" s="29" t="s">
        <v>195</v>
      </c>
      <c r="J114" s="35"/>
    </row>
    <row r="115" spans="1:16" x14ac:dyDescent="0.3">
      <c r="A115" s="27" t="s">
        <v>95</v>
      </c>
      <c r="B115" s="27">
        <v>26</v>
      </c>
      <c r="C115" s="28" t="s">
        <v>200</v>
      </c>
      <c r="D115" s="27" t="s">
        <v>129</v>
      </c>
      <c r="E115" s="29" t="s">
        <v>201</v>
      </c>
      <c r="F115" s="30" t="s">
        <v>137</v>
      </c>
      <c r="G115" s="31">
        <v>1</v>
      </c>
      <c r="H115" s="32">
        <v>0</v>
      </c>
      <c r="I115" s="32">
        <f>ROUND(1*H115,P4)</f>
        <v>0</v>
      </c>
      <c r="J115" s="30" t="s">
        <v>118</v>
      </c>
      <c r="O115" s="33">
        <f>I115*0.21</f>
        <v>0</v>
      </c>
      <c r="P115">
        <v>3</v>
      </c>
    </row>
    <row r="116" spans="1:16" ht="28.8" x14ac:dyDescent="0.3">
      <c r="A116" s="27" t="s">
        <v>101</v>
      </c>
      <c r="B116" s="34"/>
      <c r="E116" s="29" t="s">
        <v>202</v>
      </c>
      <c r="J116" s="35"/>
    </row>
    <row r="117" spans="1:16" x14ac:dyDescent="0.3">
      <c r="A117" s="27" t="s">
        <v>103</v>
      </c>
      <c r="B117" s="34"/>
      <c r="E117" s="36" t="s">
        <v>139</v>
      </c>
      <c r="J117" s="35"/>
    </row>
    <row r="118" spans="1:16" ht="28.8" x14ac:dyDescent="0.3">
      <c r="A118" s="27" t="s">
        <v>105</v>
      </c>
      <c r="B118" s="34"/>
      <c r="E118" s="29" t="s">
        <v>203</v>
      </c>
      <c r="J118" s="35"/>
    </row>
    <row r="119" spans="1:16" x14ac:dyDescent="0.3">
      <c r="A119" s="21" t="s">
        <v>92</v>
      </c>
      <c r="B119" s="22"/>
      <c r="C119" s="23" t="s">
        <v>97</v>
      </c>
      <c r="D119" s="24"/>
      <c r="E119" s="21" t="s">
        <v>204</v>
      </c>
      <c r="F119" s="24"/>
      <c r="G119" s="24"/>
      <c r="H119" s="24"/>
      <c r="I119" s="25">
        <f>SUMIFS(I120:I135,A120:A135,"P")</f>
        <v>0</v>
      </c>
      <c r="J119" s="26"/>
    </row>
    <row r="120" spans="1:16" ht="28.8" x14ac:dyDescent="0.3">
      <c r="A120" s="27" t="s">
        <v>95</v>
      </c>
      <c r="B120" s="27">
        <v>27</v>
      </c>
      <c r="C120" s="28" t="s">
        <v>205</v>
      </c>
      <c r="D120" s="27" t="s">
        <v>129</v>
      </c>
      <c r="E120" s="29" t="s">
        <v>206</v>
      </c>
      <c r="F120" s="30" t="s">
        <v>207</v>
      </c>
      <c r="G120" s="31">
        <v>3099.442</v>
      </c>
      <c r="H120" s="32">
        <v>0</v>
      </c>
      <c r="I120" s="32">
        <f>ROUND(3099.442*H120,P4)</f>
        <v>0</v>
      </c>
      <c r="J120" s="30" t="s">
        <v>118</v>
      </c>
      <c r="O120" s="33">
        <f>I120*0.21</f>
        <v>0</v>
      </c>
      <c r="P120">
        <v>3</v>
      </c>
    </row>
    <row r="121" spans="1:16" ht="28.8" x14ac:dyDescent="0.3">
      <c r="A121" s="27" t="s">
        <v>101</v>
      </c>
      <c r="B121" s="34"/>
      <c r="E121" s="29" t="s">
        <v>208</v>
      </c>
      <c r="J121" s="35"/>
    </row>
    <row r="122" spans="1:16" x14ac:dyDescent="0.3">
      <c r="A122" s="27" t="s">
        <v>103</v>
      </c>
      <c r="B122" s="34"/>
      <c r="E122" s="36" t="s">
        <v>209</v>
      </c>
      <c r="J122" s="35"/>
    </row>
    <row r="123" spans="1:16" ht="28.8" x14ac:dyDescent="0.3">
      <c r="A123" s="27" t="s">
        <v>105</v>
      </c>
      <c r="B123" s="34"/>
      <c r="E123" s="29" t="s">
        <v>210</v>
      </c>
      <c r="J123" s="35"/>
    </row>
    <row r="124" spans="1:16" x14ac:dyDescent="0.3">
      <c r="A124" s="27" t="s">
        <v>95</v>
      </c>
      <c r="B124" s="27">
        <v>28</v>
      </c>
      <c r="C124" s="28" t="s">
        <v>211</v>
      </c>
      <c r="D124" s="27" t="s">
        <v>129</v>
      </c>
      <c r="E124" s="29" t="s">
        <v>212</v>
      </c>
      <c r="F124" s="30" t="s">
        <v>213</v>
      </c>
      <c r="G124" s="31">
        <v>19400.400000000001</v>
      </c>
      <c r="H124" s="32">
        <v>0</v>
      </c>
      <c r="I124" s="32">
        <f>ROUND(19400.4*H124,P4)</f>
        <v>0</v>
      </c>
      <c r="J124" s="30" t="s">
        <v>118</v>
      </c>
      <c r="O124" s="33">
        <f>I124*0.21</f>
        <v>0</v>
      </c>
      <c r="P124">
        <v>3</v>
      </c>
    </row>
    <row r="125" spans="1:16" ht="28.8" x14ac:dyDescent="0.3">
      <c r="A125" s="27" t="s">
        <v>101</v>
      </c>
      <c r="B125" s="34"/>
      <c r="E125" s="29" t="s">
        <v>214</v>
      </c>
      <c r="J125" s="35"/>
    </row>
    <row r="126" spans="1:16" x14ac:dyDescent="0.3">
      <c r="A126" s="27" t="s">
        <v>103</v>
      </c>
      <c r="B126" s="34"/>
      <c r="E126" s="36" t="s">
        <v>215</v>
      </c>
      <c r="J126" s="35"/>
    </row>
    <row r="127" spans="1:16" ht="100.8" x14ac:dyDescent="0.3">
      <c r="A127" s="27" t="s">
        <v>105</v>
      </c>
      <c r="B127" s="34"/>
      <c r="E127" s="29" t="s">
        <v>216</v>
      </c>
      <c r="J127" s="35"/>
    </row>
    <row r="128" spans="1:16" x14ac:dyDescent="0.3">
      <c r="A128" s="27" t="s">
        <v>95</v>
      </c>
      <c r="B128" s="27">
        <v>29</v>
      </c>
      <c r="C128" s="28" t="s">
        <v>217</v>
      </c>
      <c r="D128" s="27" t="s">
        <v>129</v>
      </c>
      <c r="E128" s="29" t="s">
        <v>218</v>
      </c>
      <c r="F128" s="30" t="s">
        <v>213</v>
      </c>
      <c r="G128" s="31">
        <v>71320.334000000003</v>
      </c>
      <c r="H128" s="32">
        <v>0</v>
      </c>
      <c r="I128" s="32">
        <f>ROUND(71320.334*H128,P4)</f>
        <v>0</v>
      </c>
      <c r="J128" s="30" t="s">
        <v>118</v>
      </c>
      <c r="O128" s="33">
        <f>I128*0.21</f>
        <v>0</v>
      </c>
      <c r="P128">
        <v>3</v>
      </c>
    </row>
    <row r="129" spans="1:16" ht="28.8" x14ac:dyDescent="0.3">
      <c r="A129" s="27" t="s">
        <v>101</v>
      </c>
      <c r="B129" s="34"/>
      <c r="E129" s="29" t="s">
        <v>219</v>
      </c>
      <c r="J129" s="35"/>
    </row>
    <row r="130" spans="1:16" x14ac:dyDescent="0.3">
      <c r="A130" s="27" t="s">
        <v>103</v>
      </c>
      <c r="B130" s="34"/>
      <c r="E130" s="36" t="s">
        <v>220</v>
      </c>
      <c r="J130" s="35"/>
    </row>
    <row r="131" spans="1:16" ht="28.8" x14ac:dyDescent="0.3">
      <c r="A131" s="27" t="s">
        <v>105</v>
      </c>
      <c r="B131" s="34"/>
      <c r="E131" s="29" t="s">
        <v>221</v>
      </c>
      <c r="J131" s="35"/>
    </row>
    <row r="132" spans="1:16" x14ac:dyDescent="0.3">
      <c r="A132" s="27" t="s">
        <v>95</v>
      </c>
      <c r="B132" s="27">
        <v>30</v>
      </c>
      <c r="C132" s="28" t="s">
        <v>222</v>
      </c>
      <c r="D132" s="27" t="s">
        <v>129</v>
      </c>
      <c r="E132" s="29" t="s">
        <v>223</v>
      </c>
      <c r="F132" s="30" t="s">
        <v>213</v>
      </c>
      <c r="G132" s="31">
        <v>15987</v>
      </c>
      <c r="H132" s="32">
        <v>0</v>
      </c>
      <c r="I132" s="32">
        <f>ROUND(15987*H132,P4)</f>
        <v>0</v>
      </c>
      <c r="J132" s="30" t="s">
        <v>118</v>
      </c>
      <c r="O132" s="33">
        <f>I132*0.21</f>
        <v>0</v>
      </c>
      <c r="P132">
        <v>3</v>
      </c>
    </row>
    <row r="133" spans="1:16" ht="43.2" x14ac:dyDescent="0.3">
      <c r="A133" s="27" t="s">
        <v>101</v>
      </c>
      <c r="B133" s="34"/>
      <c r="E133" s="29" t="s">
        <v>224</v>
      </c>
      <c r="J133" s="35"/>
    </row>
    <row r="134" spans="1:16" x14ac:dyDescent="0.3">
      <c r="A134" s="27" t="s">
        <v>103</v>
      </c>
      <c r="B134" s="34"/>
      <c r="E134" s="36" t="s">
        <v>225</v>
      </c>
      <c r="J134" s="35"/>
    </row>
    <row r="135" spans="1:16" ht="100.8" x14ac:dyDescent="0.3">
      <c r="A135" s="27" t="s">
        <v>105</v>
      </c>
      <c r="B135" s="34"/>
      <c r="E135" s="29" t="s">
        <v>216</v>
      </c>
      <c r="J135" s="35"/>
    </row>
    <row r="136" spans="1:16" x14ac:dyDescent="0.3">
      <c r="A136" s="21" t="s">
        <v>92</v>
      </c>
      <c r="B136" s="22"/>
      <c r="C136" s="23" t="s">
        <v>124</v>
      </c>
      <c r="D136" s="24"/>
      <c r="E136" s="21" t="s">
        <v>226</v>
      </c>
      <c r="F136" s="24"/>
      <c r="G136" s="24"/>
      <c r="H136" s="24"/>
      <c r="I136" s="25">
        <f>SUMIFS(I137:I140,A137:A140,"P")</f>
        <v>0</v>
      </c>
      <c r="J136" s="26"/>
    </row>
    <row r="137" spans="1:16" x14ac:dyDescent="0.3">
      <c r="A137" s="27" t="s">
        <v>95</v>
      </c>
      <c r="B137" s="27">
        <v>31</v>
      </c>
      <c r="C137" s="28" t="s">
        <v>227</v>
      </c>
      <c r="D137" s="27" t="s">
        <v>129</v>
      </c>
      <c r="E137" s="29" t="s">
        <v>228</v>
      </c>
      <c r="F137" s="30" t="s">
        <v>229</v>
      </c>
      <c r="G137" s="31">
        <v>300</v>
      </c>
      <c r="H137" s="32">
        <v>0</v>
      </c>
      <c r="I137" s="32">
        <f>ROUND(300*H137,P4)</f>
        <v>0</v>
      </c>
      <c r="J137" s="30" t="s">
        <v>118</v>
      </c>
      <c r="O137" s="33">
        <f>I137*0.21</f>
        <v>0</v>
      </c>
      <c r="P137">
        <v>3</v>
      </c>
    </row>
    <row r="138" spans="1:16" ht="86.4" x14ac:dyDescent="0.3">
      <c r="A138" s="27" t="s">
        <v>101</v>
      </c>
      <c r="B138" s="34"/>
      <c r="E138" s="29" t="s">
        <v>230</v>
      </c>
      <c r="J138" s="35"/>
    </row>
    <row r="139" spans="1:16" x14ac:dyDescent="0.3">
      <c r="A139" s="27" t="s">
        <v>103</v>
      </c>
      <c r="B139" s="34"/>
      <c r="E139" s="36" t="s">
        <v>231</v>
      </c>
      <c r="J139" s="35"/>
    </row>
    <row r="140" spans="1:16" ht="86.4" x14ac:dyDescent="0.3">
      <c r="A140" s="27" t="s">
        <v>105</v>
      </c>
      <c r="B140" s="34"/>
      <c r="E140" s="29" t="s">
        <v>232</v>
      </c>
      <c r="J140" s="35"/>
    </row>
    <row r="141" spans="1:16" x14ac:dyDescent="0.3">
      <c r="A141" s="21" t="s">
        <v>92</v>
      </c>
      <c r="B141" s="22"/>
      <c r="C141" s="23" t="s">
        <v>233</v>
      </c>
      <c r="D141" s="24"/>
      <c r="E141" s="21" t="s">
        <v>234</v>
      </c>
      <c r="F141" s="24"/>
      <c r="G141" s="24"/>
      <c r="H141" s="24"/>
      <c r="I141" s="25">
        <f>SUMIFS(I142:I154,A142:A154,"P")</f>
        <v>0</v>
      </c>
      <c r="J141" s="26"/>
    </row>
    <row r="142" spans="1:16" ht="28.8" x14ac:dyDescent="0.3">
      <c r="A142" s="27" t="s">
        <v>95</v>
      </c>
      <c r="B142" s="27">
        <v>32</v>
      </c>
      <c r="C142" s="28" t="s">
        <v>235</v>
      </c>
      <c r="D142" s="27" t="s">
        <v>129</v>
      </c>
      <c r="E142" s="29" t="s">
        <v>236</v>
      </c>
      <c r="F142" s="30" t="s">
        <v>237</v>
      </c>
      <c r="G142" s="31">
        <v>31</v>
      </c>
      <c r="H142" s="32">
        <v>0</v>
      </c>
      <c r="I142" s="32">
        <f>ROUND(31*H142,P4)</f>
        <v>0</v>
      </c>
      <c r="J142" s="30" t="s">
        <v>118</v>
      </c>
      <c r="O142" s="33">
        <f>I142*0.21</f>
        <v>0</v>
      </c>
      <c r="P142">
        <v>3</v>
      </c>
    </row>
    <row r="143" spans="1:16" ht="28.8" x14ac:dyDescent="0.3">
      <c r="A143" s="27" t="s">
        <v>101</v>
      </c>
      <c r="B143" s="34"/>
      <c r="E143" s="29" t="s">
        <v>238</v>
      </c>
      <c r="J143" s="35"/>
    </row>
    <row r="144" spans="1:16" x14ac:dyDescent="0.3">
      <c r="A144" s="27" t="s">
        <v>103</v>
      </c>
      <c r="B144" s="34"/>
      <c r="E144" s="36" t="s">
        <v>239</v>
      </c>
      <c r="J144" s="35"/>
    </row>
    <row r="145" spans="1:16" ht="172.8" x14ac:dyDescent="0.3">
      <c r="A145" s="27" t="s">
        <v>105</v>
      </c>
      <c r="B145" s="34"/>
      <c r="E145" s="29" t="s">
        <v>240</v>
      </c>
      <c r="J145" s="35"/>
    </row>
    <row r="146" spans="1:16" x14ac:dyDescent="0.3">
      <c r="A146" s="27" t="s">
        <v>95</v>
      </c>
      <c r="B146" s="27">
        <v>33</v>
      </c>
      <c r="C146" s="28" t="s">
        <v>241</v>
      </c>
      <c r="D146" s="27" t="s">
        <v>129</v>
      </c>
      <c r="E146" s="29" t="s">
        <v>242</v>
      </c>
      <c r="F146" s="30" t="s">
        <v>237</v>
      </c>
      <c r="G146" s="31">
        <v>52</v>
      </c>
      <c r="H146" s="32">
        <v>0</v>
      </c>
      <c r="I146" s="32">
        <f>ROUND(52*H146,P4)</f>
        <v>0</v>
      </c>
      <c r="J146" s="30" t="s">
        <v>118</v>
      </c>
      <c r="O146" s="33">
        <f>I146*0.21</f>
        <v>0</v>
      </c>
      <c r="P146">
        <v>3</v>
      </c>
    </row>
    <row r="147" spans="1:16" ht="57.6" x14ac:dyDescent="0.3">
      <c r="A147" s="27" t="s">
        <v>101</v>
      </c>
      <c r="B147" s="34"/>
      <c r="E147" s="29" t="s">
        <v>243</v>
      </c>
      <c r="J147" s="35"/>
    </row>
    <row r="148" spans="1:16" x14ac:dyDescent="0.3">
      <c r="A148" s="27" t="s">
        <v>103</v>
      </c>
      <c r="B148" s="34"/>
      <c r="E148" s="36" t="s">
        <v>244</v>
      </c>
      <c r="J148" s="35"/>
    </row>
    <row r="149" spans="1:16" ht="28.8" x14ac:dyDescent="0.3">
      <c r="A149" s="27" t="s">
        <v>103</v>
      </c>
      <c r="B149" s="34"/>
      <c r="E149" s="36" t="s">
        <v>245</v>
      </c>
      <c r="J149" s="35"/>
    </row>
    <row r="150" spans="1:16" ht="172.8" x14ac:dyDescent="0.3">
      <c r="A150" s="27" t="s">
        <v>105</v>
      </c>
      <c r="B150" s="34"/>
      <c r="E150" s="29" t="s">
        <v>240</v>
      </c>
      <c r="J150" s="35"/>
    </row>
    <row r="151" spans="1:16" x14ac:dyDescent="0.3">
      <c r="A151" s="27" t="s">
        <v>95</v>
      </c>
      <c r="B151" s="27">
        <v>34</v>
      </c>
      <c r="C151" s="28" t="s">
        <v>246</v>
      </c>
      <c r="D151" s="27" t="s">
        <v>129</v>
      </c>
      <c r="E151" s="29" t="s">
        <v>247</v>
      </c>
      <c r="F151" s="30" t="s">
        <v>248</v>
      </c>
      <c r="G151" s="31">
        <v>550</v>
      </c>
      <c r="H151" s="32">
        <v>0</v>
      </c>
      <c r="I151" s="32">
        <f>ROUND(550*H151,P4)</f>
        <v>0</v>
      </c>
      <c r="J151" s="30" t="s">
        <v>118</v>
      </c>
      <c r="O151" s="33">
        <f>I151*0.21</f>
        <v>0</v>
      </c>
      <c r="P151">
        <v>3</v>
      </c>
    </row>
    <row r="152" spans="1:16" ht="100.8" x14ac:dyDescent="0.3">
      <c r="A152" s="27" t="s">
        <v>101</v>
      </c>
      <c r="B152" s="34"/>
      <c r="E152" s="29" t="s">
        <v>249</v>
      </c>
      <c r="J152" s="35"/>
    </row>
    <row r="153" spans="1:16" x14ac:dyDescent="0.3">
      <c r="A153" s="27" t="s">
        <v>103</v>
      </c>
      <c r="B153" s="34"/>
      <c r="E153" s="36" t="s">
        <v>250</v>
      </c>
      <c r="J153" s="35"/>
    </row>
    <row r="154" spans="1:16" ht="86.4" x14ac:dyDescent="0.3">
      <c r="A154" s="27" t="s">
        <v>105</v>
      </c>
      <c r="B154" s="34"/>
      <c r="E154" s="29" t="s">
        <v>251</v>
      </c>
      <c r="J154" s="35"/>
    </row>
    <row r="155" spans="1:16" x14ac:dyDescent="0.3">
      <c r="A155" s="21" t="s">
        <v>92</v>
      </c>
      <c r="B155" s="22"/>
      <c r="C155" s="23" t="s">
        <v>252</v>
      </c>
      <c r="D155" s="24"/>
      <c r="E155" s="21" t="s">
        <v>253</v>
      </c>
      <c r="F155" s="24"/>
      <c r="G155" s="24"/>
      <c r="H155" s="24"/>
      <c r="I155" s="25">
        <f>SUMIFS(I156:I182,A156:A182,"P")</f>
        <v>0</v>
      </c>
      <c r="J155" s="26"/>
    </row>
    <row r="156" spans="1:16" x14ac:dyDescent="0.3">
      <c r="A156" s="27" t="s">
        <v>95</v>
      </c>
      <c r="B156" s="27">
        <v>35</v>
      </c>
      <c r="C156" s="28" t="s">
        <v>254</v>
      </c>
      <c r="D156" s="27" t="s">
        <v>255</v>
      </c>
      <c r="E156" s="29" t="s">
        <v>256</v>
      </c>
      <c r="F156" s="30" t="s">
        <v>248</v>
      </c>
      <c r="G156" s="31">
        <v>30966.905999999999</v>
      </c>
      <c r="H156" s="32">
        <v>0</v>
      </c>
      <c r="I156" s="32">
        <f>ROUND(30966.906*H156,P4)</f>
        <v>0</v>
      </c>
      <c r="J156" s="30" t="s">
        <v>118</v>
      </c>
      <c r="O156" s="33">
        <f>I156*0.21</f>
        <v>0</v>
      </c>
      <c r="P156">
        <v>3</v>
      </c>
    </row>
    <row r="157" spans="1:16" ht="129.6" x14ac:dyDescent="0.3">
      <c r="A157" s="27" t="s">
        <v>101</v>
      </c>
      <c r="B157" s="34"/>
      <c r="E157" s="29" t="s">
        <v>257</v>
      </c>
      <c r="J157" s="35"/>
    </row>
    <row r="158" spans="1:16" x14ac:dyDescent="0.3">
      <c r="A158" s="27" t="s">
        <v>103</v>
      </c>
      <c r="B158" s="34"/>
      <c r="E158" s="36" t="s">
        <v>258</v>
      </c>
      <c r="J158" s="35"/>
    </row>
    <row r="159" spans="1:16" x14ac:dyDescent="0.3">
      <c r="A159" s="27" t="s">
        <v>103</v>
      </c>
      <c r="B159" s="34"/>
      <c r="E159" s="36" t="s">
        <v>259</v>
      </c>
      <c r="J159" s="35"/>
    </row>
    <row r="160" spans="1:16" x14ac:dyDescent="0.3">
      <c r="A160" s="27" t="s">
        <v>103</v>
      </c>
      <c r="B160" s="34"/>
      <c r="E160" s="36" t="s">
        <v>260</v>
      </c>
      <c r="J160" s="35"/>
    </row>
    <row r="161" spans="1:16" x14ac:dyDescent="0.3">
      <c r="A161" s="27" t="s">
        <v>103</v>
      </c>
      <c r="B161" s="34"/>
      <c r="E161" s="36" t="s">
        <v>261</v>
      </c>
      <c r="J161" s="35"/>
    </row>
    <row r="162" spans="1:16" x14ac:dyDescent="0.3">
      <c r="A162" s="27" t="s">
        <v>103</v>
      </c>
      <c r="B162" s="34"/>
      <c r="E162" s="36" t="s">
        <v>262</v>
      </c>
      <c r="J162" s="35"/>
    </row>
    <row r="163" spans="1:16" x14ac:dyDescent="0.3">
      <c r="A163" s="27" t="s">
        <v>103</v>
      </c>
      <c r="B163" s="34"/>
      <c r="E163" s="36" t="s">
        <v>263</v>
      </c>
      <c r="J163" s="35"/>
    </row>
    <row r="164" spans="1:16" x14ac:dyDescent="0.3">
      <c r="A164" s="27" t="s">
        <v>103</v>
      </c>
      <c r="B164" s="34"/>
      <c r="E164" s="36" t="s">
        <v>264</v>
      </c>
      <c r="J164" s="35"/>
    </row>
    <row r="165" spans="1:16" ht="72" x14ac:dyDescent="0.3">
      <c r="A165" s="27" t="s">
        <v>105</v>
      </c>
      <c r="B165" s="34"/>
      <c r="E165" s="29" t="s">
        <v>265</v>
      </c>
      <c r="J165" s="35"/>
    </row>
    <row r="166" spans="1:16" x14ac:dyDescent="0.3">
      <c r="A166" s="27" t="s">
        <v>95</v>
      </c>
      <c r="B166" s="27">
        <v>36</v>
      </c>
      <c r="C166" s="28" t="s">
        <v>254</v>
      </c>
      <c r="D166" s="27" t="s">
        <v>266</v>
      </c>
      <c r="E166" s="29" t="s">
        <v>256</v>
      </c>
      <c r="F166" s="30" t="s">
        <v>248</v>
      </c>
      <c r="G166" s="31">
        <v>5718</v>
      </c>
      <c r="H166" s="32">
        <v>0</v>
      </c>
      <c r="I166" s="32">
        <f>ROUND(5718*H166,P4)</f>
        <v>0</v>
      </c>
      <c r="J166" s="30" t="s">
        <v>118</v>
      </c>
      <c r="O166" s="33">
        <f>I166*0.21</f>
        <v>0</v>
      </c>
      <c r="P166">
        <v>3</v>
      </c>
    </row>
    <row r="167" spans="1:16" ht="72" x14ac:dyDescent="0.3">
      <c r="A167" s="27" t="s">
        <v>101</v>
      </c>
      <c r="B167" s="34"/>
      <c r="E167" s="29" t="s">
        <v>267</v>
      </c>
      <c r="J167" s="35"/>
    </row>
    <row r="168" spans="1:16" x14ac:dyDescent="0.3">
      <c r="A168" s="27" t="s">
        <v>103</v>
      </c>
      <c r="B168" s="34"/>
      <c r="E168" s="36" t="s">
        <v>268</v>
      </c>
      <c r="J168" s="35"/>
    </row>
    <row r="169" spans="1:16" x14ac:dyDescent="0.3">
      <c r="A169" s="27" t="s">
        <v>103</v>
      </c>
      <c r="B169" s="34"/>
      <c r="E169" s="36" t="s">
        <v>269</v>
      </c>
      <c r="J169" s="35"/>
    </row>
    <row r="170" spans="1:16" x14ac:dyDescent="0.3">
      <c r="A170" s="27" t="s">
        <v>103</v>
      </c>
      <c r="B170" s="34"/>
      <c r="E170" s="36" t="s">
        <v>270</v>
      </c>
      <c r="J170" s="35"/>
    </row>
    <row r="171" spans="1:16" ht="28.8" x14ac:dyDescent="0.3">
      <c r="A171" s="27" t="s">
        <v>105</v>
      </c>
      <c r="B171" s="34"/>
      <c r="E171" s="29" t="s">
        <v>271</v>
      </c>
      <c r="J171" s="35"/>
    </row>
    <row r="172" spans="1:16" x14ac:dyDescent="0.3">
      <c r="A172" s="27" t="s">
        <v>95</v>
      </c>
      <c r="B172" s="27">
        <v>37</v>
      </c>
      <c r="C172" s="28" t="s">
        <v>254</v>
      </c>
      <c r="D172" s="27" t="s">
        <v>107</v>
      </c>
      <c r="E172" s="29" t="s">
        <v>256</v>
      </c>
      <c r="F172" s="30" t="s">
        <v>248</v>
      </c>
      <c r="G172" s="31">
        <v>7344.982</v>
      </c>
      <c r="H172" s="32">
        <v>0</v>
      </c>
      <c r="I172" s="32">
        <f>ROUND(7344.982*H172,P4)</f>
        <v>0</v>
      </c>
      <c r="J172" s="30" t="s">
        <v>118</v>
      </c>
      <c r="O172" s="33">
        <f>I172*0.21</f>
        <v>0</v>
      </c>
      <c r="P172">
        <v>3</v>
      </c>
    </row>
    <row r="173" spans="1:16" ht="129.6" x14ac:dyDescent="0.3">
      <c r="A173" s="27" t="s">
        <v>101</v>
      </c>
      <c r="B173" s="34"/>
      <c r="E173" s="29" t="s">
        <v>272</v>
      </c>
      <c r="J173" s="35"/>
    </row>
    <row r="174" spans="1:16" x14ac:dyDescent="0.3">
      <c r="A174" s="27" t="s">
        <v>103</v>
      </c>
      <c r="B174" s="34"/>
      <c r="E174" s="36" t="s">
        <v>273</v>
      </c>
      <c r="J174" s="35"/>
    </row>
    <row r="175" spans="1:16" x14ac:dyDescent="0.3">
      <c r="A175" s="27" t="s">
        <v>103</v>
      </c>
      <c r="B175" s="34"/>
      <c r="E175" s="36" t="s">
        <v>274</v>
      </c>
      <c r="J175" s="35"/>
    </row>
    <row r="176" spans="1:16" x14ac:dyDescent="0.3">
      <c r="A176" s="27" t="s">
        <v>103</v>
      </c>
      <c r="B176" s="34"/>
      <c r="E176" s="36" t="s">
        <v>275</v>
      </c>
      <c r="J176" s="35"/>
    </row>
    <row r="177" spans="1:10" x14ac:dyDescent="0.3">
      <c r="A177" s="27" t="s">
        <v>103</v>
      </c>
      <c r="B177" s="34"/>
      <c r="E177" s="36" t="s">
        <v>276</v>
      </c>
      <c r="J177" s="35"/>
    </row>
    <row r="178" spans="1:10" x14ac:dyDescent="0.3">
      <c r="A178" s="27" t="s">
        <v>103</v>
      </c>
      <c r="B178" s="34"/>
      <c r="E178" s="36" t="s">
        <v>277</v>
      </c>
      <c r="J178" s="35"/>
    </row>
    <row r="179" spans="1:10" x14ac:dyDescent="0.3">
      <c r="A179" s="27" t="s">
        <v>103</v>
      </c>
      <c r="B179" s="34"/>
      <c r="E179" s="36" t="s">
        <v>278</v>
      </c>
      <c r="J179" s="35"/>
    </row>
    <row r="180" spans="1:10" x14ac:dyDescent="0.3">
      <c r="A180" s="27" t="s">
        <v>103</v>
      </c>
      <c r="B180" s="34"/>
      <c r="E180" s="36" t="s">
        <v>279</v>
      </c>
      <c r="J180" s="35"/>
    </row>
    <row r="181" spans="1:10" x14ac:dyDescent="0.3">
      <c r="A181" s="27" t="s">
        <v>103</v>
      </c>
      <c r="B181" s="34"/>
      <c r="E181" s="36" t="s">
        <v>280</v>
      </c>
      <c r="J181" s="35"/>
    </row>
    <row r="182" spans="1:10" ht="28.8" x14ac:dyDescent="0.3">
      <c r="A182" s="27" t="s">
        <v>105</v>
      </c>
      <c r="B182" s="37"/>
      <c r="C182" s="38"/>
      <c r="D182" s="38"/>
      <c r="E182" s="29" t="s">
        <v>271</v>
      </c>
      <c r="F182" s="38"/>
      <c r="G182" s="38"/>
      <c r="H182" s="38"/>
      <c r="I182" s="38"/>
      <c r="J182"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13</v>
      </c>
      <c r="I3" s="16">
        <f>SUMIFS(I8:I93,A8:A93,"SD")</f>
        <v>0</v>
      </c>
      <c r="J3" s="12"/>
      <c r="O3">
        <v>0</v>
      </c>
      <c r="P3">
        <v>2</v>
      </c>
    </row>
    <row r="4" spans="1:16" x14ac:dyDescent="0.3">
      <c r="A4" s="2" t="s">
        <v>79</v>
      </c>
      <c r="B4" s="13" t="s">
        <v>80</v>
      </c>
      <c r="C4" s="43" t="s">
        <v>13</v>
      </c>
      <c r="D4" s="44"/>
      <c r="E4" s="14" t="s">
        <v>14</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SUMIFS(I9:I66,A9:A66,"P")</f>
        <v>0</v>
      </c>
      <c r="J8" s="26"/>
    </row>
    <row r="9" spans="1:16" ht="28.8" x14ac:dyDescent="0.3">
      <c r="A9" s="27" t="s">
        <v>95</v>
      </c>
      <c r="B9" s="27">
        <v>1</v>
      </c>
      <c r="C9" s="28" t="s">
        <v>281</v>
      </c>
      <c r="D9" s="27" t="s">
        <v>129</v>
      </c>
      <c r="E9" s="29" t="s">
        <v>282</v>
      </c>
      <c r="F9" s="30" t="s">
        <v>229</v>
      </c>
      <c r="G9" s="31">
        <v>645.71699999999998</v>
      </c>
      <c r="H9" s="32">
        <v>0</v>
      </c>
      <c r="I9" s="32">
        <f>ROUND(645.717*H9,P4)</f>
        <v>0</v>
      </c>
      <c r="J9" s="30" t="s">
        <v>118</v>
      </c>
      <c r="O9" s="33">
        <f>I9*0.21</f>
        <v>0</v>
      </c>
      <c r="P9">
        <v>3</v>
      </c>
    </row>
    <row r="10" spans="1:16" ht="216" x14ac:dyDescent="0.3">
      <c r="A10" s="27" t="s">
        <v>101</v>
      </c>
      <c r="B10" s="34"/>
      <c r="E10" s="29" t="s">
        <v>283</v>
      </c>
      <c r="J10" s="35"/>
    </row>
    <row r="11" spans="1:16" x14ac:dyDescent="0.3">
      <c r="A11" s="27" t="s">
        <v>103</v>
      </c>
      <c r="B11" s="34"/>
      <c r="E11" s="36" t="s">
        <v>284</v>
      </c>
      <c r="J11" s="35"/>
    </row>
    <row r="12" spans="1:16" x14ac:dyDescent="0.3">
      <c r="A12" s="27" t="s">
        <v>103</v>
      </c>
      <c r="B12" s="34"/>
      <c r="E12" s="36" t="s">
        <v>285</v>
      </c>
      <c r="J12" s="35"/>
    </row>
    <row r="13" spans="1:16" x14ac:dyDescent="0.3">
      <c r="A13" s="27" t="s">
        <v>103</v>
      </c>
      <c r="B13" s="34"/>
      <c r="E13" s="36" t="s">
        <v>286</v>
      </c>
      <c r="J13" s="35"/>
    </row>
    <row r="14" spans="1:16" ht="72" x14ac:dyDescent="0.3">
      <c r="A14" s="27" t="s">
        <v>105</v>
      </c>
      <c r="B14" s="34"/>
      <c r="E14" s="29" t="s">
        <v>287</v>
      </c>
      <c r="J14" s="35"/>
    </row>
    <row r="15" spans="1:16" x14ac:dyDescent="0.3">
      <c r="A15" s="27" t="s">
        <v>95</v>
      </c>
      <c r="B15" s="27">
        <v>2</v>
      </c>
      <c r="C15" s="28" t="s">
        <v>288</v>
      </c>
      <c r="D15" s="27" t="s">
        <v>129</v>
      </c>
      <c r="E15" s="29" t="s">
        <v>289</v>
      </c>
      <c r="F15" s="30" t="s">
        <v>229</v>
      </c>
      <c r="G15" s="31">
        <v>1.28</v>
      </c>
      <c r="H15" s="32">
        <v>0</v>
      </c>
      <c r="I15" s="32">
        <f>ROUND(1.28*H15,P4)</f>
        <v>0</v>
      </c>
      <c r="J15" s="30" t="s">
        <v>118</v>
      </c>
      <c r="O15" s="33">
        <f>I15*0.21</f>
        <v>0</v>
      </c>
      <c r="P15">
        <v>3</v>
      </c>
    </row>
    <row r="16" spans="1:16" ht="216" x14ac:dyDescent="0.3">
      <c r="A16" s="27" t="s">
        <v>101</v>
      </c>
      <c r="B16" s="34"/>
      <c r="E16" s="29" t="s">
        <v>290</v>
      </c>
      <c r="J16" s="35"/>
    </row>
    <row r="17" spans="1:16" x14ac:dyDescent="0.3">
      <c r="A17" s="27" t="s">
        <v>103</v>
      </c>
      <c r="B17" s="34"/>
      <c r="E17" s="36" t="s">
        <v>291</v>
      </c>
      <c r="J17" s="35"/>
    </row>
    <row r="18" spans="1:16" x14ac:dyDescent="0.3">
      <c r="A18" s="27" t="s">
        <v>103</v>
      </c>
      <c r="B18" s="34"/>
      <c r="E18" s="36" t="s">
        <v>292</v>
      </c>
      <c r="J18" s="35"/>
    </row>
    <row r="19" spans="1:16" ht="86.4" x14ac:dyDescent="0.3">
      <c r="A19" s="27" t="s">
        <v>105</v>
      </c>
      <c r="B19" s="34"/>
      <c r="E19" s="29" t="s">
        <v>293</v>
      </c>
      <c r="J19" s="35"/>
    </row>
    <row r="20" spans="1:16" x14ac:dyDescent="0.3">
      <c r="A20" s="27" t="s">
        <v>95</v>
      </c>
      <c r="B20" s="27">
        <v>3</v>
      </c>
      <c r="C20" s="28" t="s">
        <v>294</v>
      </c>
      <c r="D20" s="27" t="s">
        <v>129</v>
      </c>
      <c r="E20" s="29" t="s">
        <v>295</v>
      </c>
      <c r="F20" s="30" t="s">
        <v>229</v>
      </c>
      <c r="G20" s="31">
        <v>0.80400000000000005</v>
      </c>
      <c r="H20" s="32">
        <v>0</v>
      </c>
      <c r="I20" s="32">
        <f>ROUND(0.804*H20,P4)</f>
        <v>0</v>
      </c>
      <c r="J20" s="30" t="s">
        <v>118</v>
      </c>
      <c r="O20" s="33">
        <f>I20*0.21</f>
        <v>0</v>
      </c>
      <c r="P20">
        <v>3</v>
      </c>
    </row>
    <row r="21" spans="1:16" ht="216" x14ac:dyDescent="0.3">
      <c r="A21" s="27" t="s">
        <v>101</v>
      </c>
      <c r="B21" s="34"/>
      <c r="E21" s="29" t="s">
        <v>296</v>
      </c>
      <c r="J21" s="35"/>
    </row>
    <row r="22" spans="1:16" x14ac:dyDescent="0.3">
      <c r="A22" s="27" t="s">
        <v>103</v>
      </c>
      <c r="B22" s="34"/>
      <c r="E22" s="36" t="s">
        <v>297</v>
      </c>
      <c r="J22" s="35"/>
    </row>
    <row r="23" spans="1:16" x14ac:dyDescent="0.3">
      <c r="A23" s="27" t="s">
        <v>103</v>
      </c>
      <c r="B23" s="34"/>
      <c r="E23" s="36" t="s">
        <v>298</v>
      </c>
      <c r="J23" s="35"/>
    </row>
    <row r="24" spans="1:16" x14ac:dyDescent="0.3">
      <c r="A24" s="27" t="s">
        <v>103</v>
      </c>
      <c r="B24" s="34"/>
      <c r="E24" s="36" t="s">
        <v>299</v>
      </c>
      <c r="J24" s="35"/>
    </row>
    <row r="25" spans="1:16" ht="100.8" x14ac:dyDescent="0.3">
      <c r="A25" s="27" t="s">
        <v>105</v>
      </c>
      <c r="B25" s="34"/>
      <c r="E25" s="29" t="s">
        <v>300</v>
      </c>
      <c r="J25" s="35"/>
    </row>
    <row r="26" spans="1:16" x14ac:dyDescent="0.3">
      <c r="A26" s="27" t="s">
        <v>95</v>
      </c>
      <c r="B26" s="27">
        <v>4</v>
      </c>
      <c r="C26" s="28" t="s">
        <v>301</v>
      </c>
      <c r="D26" s="27" t="s">
        <v>129</v>
      </c>
      <c r="E26" s="29" t="s">
        <v>302</v>
      </c>
      <c r="F26" s="30" t="s">
        <v>248</v>
      </c>
      <c r="G26" s="31">
        <v>2.9820000000000002</v>
      </c>
      <c r="H26" s="32">
        <v>0</v>
      </c>
      <c r="I26" s="32">
        <f>ROUND(2.982*H26,P4)</f>
        <v>0</v>
      </c>
      <c r="J26" s="30" t="s">
        <v>118</v>
      </c>
      <c r="O26" s="33">
        <f>I26*0.21</f>
        <v>0</v>
      </c>
      <c r="P26">
        <v>3</v>
      </c>
    </row>
    <row r="27" spans="1:16" ht="216" x14ac:dyDescent="0.3">
      <c r="A27" s="27" t="s">
        <v>101</v>
      </c>
      <c r="B27" s="34"/>
      <c r="E27" s="29" t="s">
        <v>303</v>
      </c>
      <c r="J27" s="35"/>
    </row>
    <row r="28" spans="1:16" x14ac:dyDescent="0.3">
      <c r="A28" s="27" t="s">
        <v>103</v>
      </c>
      <c r="B28" s="34"/>
      <c r="E28" s="36" t="s">
        <v>304</v>
      </c>
      <c r="J28" s="35"/>
    </row>
    <row r="29" spans="1:16" x14ac:dyDescent="0.3">
      <c r="A29" s="27" t="s">
        <v>103</v>
      </c>
      <c r="B29" s="34"/>
      <c r="E29" s="36" t="s">
        <v>305</v>
      </c>
      <c r="J29" s="35"/>
    </row>
    <row r="30" spans="1:16" ht="86.4" x14ac:dyDescent="0.3">
      <c r="A30" s="27" t="s">
        <v>105</v>
      </c>
      <c r="B30" s="34"/>
      <c r="E30" s="29" t="s">
        <v>306</v>
      </c>
      <c r="J30" s="35"/>
    </row>
    <row r="31" spans="1:16" ht="28.8" x14ac:dyDescent="0.3">
      <c r="A31" s="27" t="s">
        <v>95</v>
      </c>
      <c r="B31" s="27">
        <v>5</v>
      </c>
      <c r="C31" s="28" t="s">
        <v>307</v>
      </c>
      <c r="D31" s="27" t="s">
        <v>129</v>
      </c>
      <c r="E31" s="29" t="s">
        <v>308</v>
      </c>
      <c r="F31" s="30" t="s">
        <v>229</v>
      </c>
      <c r="G31" s="31">
        <v>3382.364</v>
      </c>
      <c r="H31" s="32">
        <v>0</v>
      </c>
      <c r="I31" s="32">
        <f>ROUND(3382.364*H31,P4)</f>
        <v>0</v>
      </c>
      <c r="J31" s="30" t="s">
        <v>118</v>
      </c>
      <c r="O31" s="33">
        <f>I31*0.21</f>
        <v>0</v>
      </c>
      <c r="P31">
        <v>3</v>
      </c>
    </row>
    <row r="32" spans="1:16" ht="216" x14ac:dyDescent="0.3">
      <c r="A32" s="27" t="s">
        <v>101</v>
      </c>
      <c r="B32" s="34"/>
      <c r="E32" s="29" t="s">
        <v>309</v>
      </c>
      <c r="J32" s="35"/>
    </row>
    <row r="33" spans="1:16" x14ac:dyDescent="0.3">
      <c r="A33" s="27" t="s">
        <v>103</v>
      </c>
      <c r="B33" s="34"/>
      <c r="E33" s="36" t="s">
        <v>310</v>
      </c>
      <c r="J33" s="35"/>
    </row>
    <row r="34" spans="1:16" x14ac:dyDescent="0.3">
      <c r="A34" s="27" t="s">
        <v>103</v>
      </c>
      <c r="B34" s="34"/>
      <c r="E34" s="36" t="s">
        <v>311</v>
      </c>
      <c r="J34" s="35"/>
    </row>
    <row r="35" spans="1:16" x14ac:dyDescent="0.3">
      <c r="A35" s="27" t="s">
        <v>103</v>
      </c>
      <c r="B35" s="34"/>
      <c r="E35" s="36" t="s">
        <v>312</v>
      </c>
      <c r="J35" s="35"/>
    </row>
    <row r="36" spans="1:16" x14ac:dyDescent="0.3">
      <c r="A36" s="27" t="s">
        <v>103</v>
      </c>
      <c r="B36" s="34"/>
      <c r="E36" s="36" t="s">
        <v>313</v>
      </c>
      <c r="J36" s="35"/>
    </row>
    <row r="37" spans="1:16" x14ac:dyDescent="0.3">
      <c r="A37" s="27" t="s">
        <v>103</v>
      </c>
      <c r="B37" s="34"/>
      <c r="E37" s="36" t="s">
        <v>314</v>
      </c>
      <c r="J37" s="35"/>
    </row>
    <row r="38" spans="1:16" x14ac:dyDescent="0.3">
      <c r="A38" s="27" t="s">
        <v>103</v>
      </c>
      <c r="B38" s="34"/>
      <c r="E38" s="36" t="s">
        <v>315</v>
      </c>
      <c r="J38" s="35"/>
    </row>
    <row r="39" spans="1:16" x14ac:dyDescent="0.3">
      <c r="A39" s="27" t="s">
        <v>103</v>
      </c>
      <c r="B39" s="34"/>
      <c r="E39" s="36" t="s">
        <v>316</v>
      </c>
      <c r="J39" s="35"/>
    </row>
    <row r="40" spans="1:16" x14ac:dyDescent="0.3">
      <c r="A40" s="27" t="s">
        <v>103</v>
      </c>
      <c r="B40" s="34"/>
      <c r="E40" s="36" t="s">
        <v>317</v>
      </c>
      <c r="J40" s="35"/>
    </row>
    <row r="41" spans="1:16" x14ac:dyDescent="0.3">
      <c r="A41" s="27" t="s">
        <v>103</v>
      </c>
      <c r="B41" s="34"/>
      <c r="E41" s="36" t="s">
        <v>318</v>
      </c>
      <c r="J41" s="35"/>
    </row>
    <row r="42" spans="1:16" x14ac:dyDescent="0.3">
      <c r="A42" s="27" t="s">
        <v>103</v>
      </c>
      <c r="B42" s="34"/>
      <c r="E42" s="36" t="s">
        <v>319</v>
      </c>
      <c r="J42" s="35"/>
    </row>
    <row r="43" spans="1:16" x14ac:dyDescent="0.3">
      <c r="A43" s="27" t="s">
        <v>103</v>
      </c>
      <c r="B43" s="34"/>
      <c r="E43" s="36" t="s">
        <v>320</v>
      </c>
      <c r="J43" s="35"/>
    </row>
    <row r="44" spans="1:16" x14ac:dyDescent="0.3">
      <c r="A44" s="27" t="s">
        <v>103</v>
      </c>
      <c r="B44" s="34"/>
      <c r="E44" s="36" t="s">
        <v>321</v>
      </c>
      <c r="J44" s="35"/>
    </row>
    <row r="45" spans="1:16" x14ac:dyDescent="0.3">
      <c r="A45" s="27" t="s">
        <v>103</v>
      </c>
      <c r="B45" s="34"/>
      <c r="E45" s="36" t="s">
        <v>322</v>
      </c>
      <c r="J45" s="35"/>
    </row>
    <row r="46" spans="1:16" ht="72" x14ac:dyDescent="0.3">
      <c r="A46" s="27" t="s">
        <v>105</v>
      </c>
      <c r="B46" s="34"/>
      <c r="E46" s="29" t="s">
        <v>287</v>
      </c>
      <c r="J46" s="35"/>
    </row>
    <row r="47" spans="1:16" ht="28.8" x14ac:dyDescent="0.3">
      <c r="A47" s="27" t="s">
        <v>95</v>
      </c>
      <c r="B47" s="27">
        <v>6</v>
      </c>
      <c r="C47" s="28" t="s">
        <v>323</v>
      </c>
      <c r="D47" s="27" t="s">
        <v>129</v>
      </c>
      <c r="E47" s="29" t="s">
        <v>324</v>
      </c>
      <c r="F47" s="30" t="s">
        <v>237</v>
      </c>
      <c r="G47" s="31">
        <v>99.344999999999999</v>
      </c>
      <c r="H47" s="32">
        <v>0</v>
      </c>
      <c r="I47" s="32">
        <f>ROUND(99.345*H47,P4)</f>
        <v>0</v>
      </c>
      <c r="J47" s="30" t="s">
        <v>118</v>
      </c>
      <c r="O47" s="33">
        <f>I47*0.21</f>
        <v>0</v>
      </c>
      <c r="P47">
        <v>3</v>
      </c>
    </row>
    <row r="48" spans="1:16" ht="216" x14ac:dyDescent="0.3">
      <c r="A48" s="27" t="s">
        <v>101</v>
      </c>
      <c r="B48" s="34"/>
      <c r="E48" s="29" t="s">
        <v>325</v>
      </c>
      <c r="J48" s="35"/>
    </row>
    <row r="49" spans="1:16" x14ac:dyDescent="0.3">
      <c r="A49" s="27" t="s">
        <v>103</v>
      </c>
      <c r="B49" s="34"/>
      <c r="E49" s="36" t="s">
        <v>326</v>
      </c>
      <c r="J49" s="35"/>
    </row>
    <row r="50" spans="1:16" x14ac:dyDescent="0.3">
      <c r="A50" s="27" t="s">
        <v>103</v>
      </c>
      <c r="B50" s="34"/>
      <c r="E50" s="36" t="s">
        <v>327</v>
      </c>
      <c r="J50" s="35"/>
    </row>
    <row r="51" spans="1:16" ht="72" x14ac:dyDescent="0.3">
      <c r="A51" s="27" t="s">
        <v>105</v>
      </c>
      <c r="B51" s="34"/>
      <c r="E51" s="29" t="s">
        <v>287</v>
      </c>
      <c r="J51" s="35"/>
    </row>
    <row r="52" spans="1:16" x14ac:dyDescent="0.3">
      <c r="A52" s="27" t="s">
        <v>95</v>
      </c>
      <c r="B52" s="27">
        <v>7</v>
      </c>
      <c r="C52" s="28" t="s">
        <v>328</v>
      </c>
      <c r="D52" s="27" t="s">
        <v>97</v>
      </c>
      <c r="E52" s="29" t="s">
        <v>329</v>
      </c>
      <c r="F52" s="30" t="s">
        <v>229</v>
      </c>
      <c r="G52" s="31">
        <v>460.64600000000002</v>
      </c>
      <c r="H52" s="32">
        <v>0</v>
      </c>
      <c r="I52" s="32">
        <f>ROUND(460.646*H52,P4)</f>
        <v>0</v>
      </c>
      <c r="J52" s="30" t="s">
        <v>118</v>
      </c>
      <c r="O52" s="33">
        <f>I52*0.21</f>
        <v>0</v>
      </c>
      <c r="P52">
        <v>3</v>
      </c>
    </row>
    <row r="53" spans="1:16" ht="216" x14ac:dyDescent="0.3">
      <c r="A53" s="27" t="s">
        <v>101</v>
      </c>
      <c r="B53" s="34"/>
      <c r="E53" s="29" t="s">
        <v>330</v>
      </c>
      <c r="J53" s="35"/>
    </row>
    <row r="54" spans="1:16" x14ac:dyDescent="0.3">
      <c r="A54" s="27" t="s">
        <v>103</v>
      </c>
      <c r="B54" s="34"/>
      <c r="E54" s="36" t="s">
        <v>331</v>
      </c>
      <c r="J54" s="35"/>
    </row>
    <row r="55" spans="1:16" x14ac:dyDescent="0.3">
      <c r="A55" s="27" t="s">
        <v>103</v>
      </c>
      <c r="B55" s="34"/>
      <c r="E55" s="36" t="s">
        <v>332</v>
      </c>
      <c r="J55" s="35"/>
    </row>
    <row r="56" spans="1:16" x14ac:dyDescent="0.3">
      <c r="A56" s="27" t="s">
        <v>103</v>
      </c>
      <c r="B56" s="34"/>
      <c r="E56" s="36" t="s">
        <v>333</v>
      </c>
      <c r="J56" s="35"/>
    </row>
    <row r="57" spans="1:16" x14ac:dyDescent="0.3">
      <c r="A57" s="27" t="s">
        <v>103</v>
      </c>
      <c r="B57" s="34"/>
      <c r="E57" s="36" t="s">
        <v>334</v>
      </c>
      <c r="J57" s="35"/>
    </row>
    <row r="58" spans="1:16" x14ac:dyDescent="0.3">
      <c r="A58" s="27" t="s">
        <v>103</v>
      </c>
      <c r="B58" s="34"/>
      <c r="E58" s="36" t="s">
        <v>335</v>
      </c>
      <c r="J58" s="35"/>
    </row>
    <row r="59" spans="1:16" x14ac:dyDescent="0.3">
      <c r="A59" s="27" t="s">
        <v>103</v>
      </c>
      <c r="B59" s="34"/>
      <c r="E59" s="36" t="s">
        <v>336</v>
      </c>
      <c r="J59" s="35"/>
    </row>
    <row r="60" spans="1:16" ht="72" x14ac:dyDescent="0.3">
      <c r="A60" s="27" t="s">
        <v>105</v>
      </c>
      <c r="B60" s="34"/>
      <c r="E60" s="29" t="s">
        <v>287</v>
      </c>
      <c r="J60" s="35"/>
    </row>
    <row r="61" spans="1:16" x14ac:dyDescent="0.3">
      <c r="A61" s="27" t="s">
        <v>95</v>
      </c>
      <c r="B61" s="27">
        <v>8</v>
      </c>
      <c r="C61" s="28" t="s">
        <v>328</v>
      </c>
      <c r="D61" s="27" t="s">
        <v>107</v>
      </c>
      <c r="E61" s="29" t="s">
        <v>329</v>
      </c>
      <c r="F61" s="30" t="s">
        <v>229</v>
      </c>
      <c r="G61" s="31">
        <v>636.88900000000001</v>
      </c>
      <c r="H61" s="32">
        <v>0</v>
      </c>
      <c r="I61" s="32">
        <f>ROUND(636.889*H61,P4)</f>
        <v>0</v>
      </c>
      <c r="J61" s="30" t="s">
        <v>118</v>
      </c>
      <c r="O61" s="33">
        <f>I61*0.21</f>
        <v>0</v>
      </c>
      <c r="P61">
        <v>3</v>
      </c>
    </row>
    <row r="62" spans="1:16" ht="216" x14ac:dyDescent="0.3">
      <c r="A62" s="27" t="s">
        <v>101</v>
      </c>
      <c r="B62" s="34"/>
      <c r="E62" s="29" t="s">
        <v>337</v>
      </c>
      <c r="J62" s="35"/>
    </row>
    <row r="63" spans="1:16" x14ac:dyDescent="0.3">
      <c r="A63" s="27" t="s">
        <v>103</v>
      </c>
      <c r="B63" s="34"/>
      <c r="E63" s="36" t="s">
        <v>338</v>
      </c>
      <c r="J63" s="35"/>
    </row>
    <row r="64" spans="1:16" x14ac:dyDescent="0.3">
      <c r="A64" s="27" t="s">
        <v>103</v>
      </c>
      <c r="B64" s="34"/>
      <c r="E64" s="36" t="s">
        <v>339</v>
      </c>
      <c r="J64" s="35"/>
    </row>
    <row r="65" spans="1:16" x14ac:dyDescent="0.3">
      <c r="A65" s="27" t="s">
        <v>103</v>
      </c>
      <c r="B65" s="34"/>
      <c r="E65" s="36" t="s">
        <v>340</v>
      </c>
      <c r="J65" s="35"/>
    </row>
    <row r="66" spans="1:16" ht="72" x14ac:dyDescent="0.3">
      <c r="A66" s="27" t="s">
        <v>105</v>
      </c>
      <c r="B66" s="34"/>
      <c r="E66" s="29" t="s">
        <v>287</v>
      </c>
      <c r="J66" s="35"/>
    </row>
    <row r="67" spans="1:16" x14ac:dyDescent="0.3">
      <c r="A67" s="21" t="s">
        <v>92</v>
      </c>
      <c r="B67" s="22"/>
      <c r="C67" s="23" t="s">
        <v>252</v>
      </c>
      <c r="D67" s="24"/>
      <c r="E67" s="21" t="s">
        <v>253</v>
      </c>
      <c r="F67" s="24"/>
      <c r="G67" s="24"/>
      <c r="H67" s="24"/>
      <c r="I67" s="25">
        <f>SUMIFS(I68:I93,A68:A93,"P")</f>
        <v>0</v>
      </c>
      <c r="J67" s="26"/>
    </row>
    <row r="68" spans="1:16" ht="28.8" x14ac:dyDescent="0.3">
      <c r="A68" s="27" t="s">
        <v>95</v>
      </c>
      <c r="B68" s="27">
        <v>9</v>
      </c>
      <c r="C68" s="28" t="s">
        <v>341</v>
      </c>
      <c r="D68" s="27" t="s">
        <v>129</v>
      </c>
      <c r="E68" s="29" t="s">
        <v>342</v>
      </c>
      <c r="F68" s="30" t="s">
        <v>237</v>
      </c>
      <c r="G68" s="31">
        <v>3.24</v>
      </c>
      <c r="H68" s="32">
        <v>0</v>
      </c>
      <c r="I68" s="32">
        <f>ROUND(3.24*H68,P4)</f>
        <v>0</v>
      </c>
      <c r="J68" s="30" t="s">
        <v>118</v>
      </c>
      <c r="O68" s="33">
        <f>I68*0.21</f>
        <v>0</v>
      </c>
      <c r="P68">
        <v>3</v>
      </c>
    </row>
    <row r="69" spans="1:16" ht="216" x14ac:dyDescent="0.3">
      <c r="A69" s="27" t="s">
        <v>101</v>
      </c>
      <c r="B69" s="34"/>
      <c r="E69" s="29" t="s">
        <v>343</v>
      </c>
      <c r="J69" s="35"/>
    </row>
    <row r="70" spans="1:16" x14ac:dyDescent="0.3">
      <c r="A70" s="27" t="s">
        <v>103</v>
      </c>
      <c r="B70" s="34"/>
      <c r="E70" s="36" t="s">
        <v>344</v>
      </c>
      <c r="J70" s="35"/>
    </row>
    <row r="71" spans="1:16" x14ac:dyDescent="0.3">
      <c r="A71" s="27" t="s">
        <v>103</v>
      </c>
      <c r="B71" s="34"/>
      <c r="E71" s="36" t="s">
        <v>345</v>
      </c>
      <c r="J71" s="35"/>
    </row>
    <row r="72" spans="1:16" ht="43.2" x14ac:dyDescent="0.3">
      <c r="A72" s="27" t="s">
        <v>105</v>
      </c>
      <c r="B72" s="34"/>
      <c r="E72" s="29" t="s">
        <v>346</v>
      </c>
      <c r="J72" s="35"/>
    </row>
    <row r="73" spans="1:16" x14ac:dyDescent="0.3">
      <c r="A73" s="27" t="s">
        <v>95</v>
      </c>
      <c r="B73" s="27">
        <v>10</v>
      </c>
      <c r="C73" s="28" t="s">
        <v>347</v>
      </c>
      <c r="D73" s="27" t="s">
        <v>129</v>
      </c>
      <c r="E73" s="29" t="s">
        <v>348</v>
      </c>
      <c r="F73" s="30" t="s">
        <v>117</v>
      </c>
      <c r="G73" s="31">
        <v>2</v>
      </c>
      <c r="H73" s="32">
        <v>0</v>
      </c>
      <c r="I73" s="32">
        <f>ROUND(2*H73,P4)</f>
        <v>0</v>
      </c>
      <c r="J73" s="30" t="s">
        <v>118</v>
      </c>
      <c r="O73" s="33">
        <f>I73*0.21</f>
        <v>0</v>
      </c>
      <c r="P73">
        <v>3</v>
      </c>
    </row>
    <row r="74" spans="1:16" ht="216" x14ac:dyDescent="0.3">
      <c r="A74" s="27" t="s">
        <v>101</v>
      </c>
      <c r="B74" s="34"/>
      <c r="E74" s="29" t="s">
        <v>349</v>
      </c>
      <c r="J74" s="35"/>
    </row>
    <row r="75" spans="1:16" x14ac:dyDescent="0.3">
      <c r="A75" s="27" t="s">
        <v>103</v>
      </c>
      <c r="B75" s="34"/>
      <c r="E75" s="36" t="s">
        <v>350</v>
      </c>
      <c r="J75" s="35"/>
    </row>
    <row r="76" spans="1:16" x14ac:dyDescent="0.3">
      <c r="A76" s="27" t="s">
        <v>103</v>
      </c>
      <c r="B76" s="34"/>
      <c r="E76" s="36" t="s">
        <v>351</v>
      </c>
      <c r="J76" s="35"/>
    </row>
    <row r="77" spans="1:16" x14ac:dyDescent="0.3">
      <c r="A77" s="27" t="s">
        <v>103</v>
      </c>
      <c r="B77" s="34"/>
      <c r="E77" s="36" t="s">
        <v>352</v>
      </c>
      <c r="J77" s="35"/>
    </row>
    <row r="78" spans="1:16" ht="144" x14ac:dyDescent="0.3">
      <c r="A78" s="27" t="s">
        <v>105</v>
      </c>
      <c r="B78" s="34"/>
      <c r="E78" s="29" t="s">
        <v>353</v>
      </c>
      <c r="J78" s="35"/>
    </row>
    <row r="79" spans="1:16" x14ac:dyDescent="0.3">
      <c r="A79" s="27" t="s">
        <v>95</v>
      </c>
      <c r="B79" s="27">
        <v>11</v>
      </c>
      <c r="C79" s="28" t="s">
        <v>354</v>
      </c>
      <c r="D79" s="27" t="s">
        <v>129</v>
      </c>
      <c r="E79" s="29" t="s">
        <v>355</v>
      </c>
      <c r="F79" s="30" t="s">
        <v>117</v>
      </c>
      <c r="G79" s="31">
        <v>1</v>
      </c>
      <c r="H79" s="32">
        <v>0</v>
      </c>
      <c r="I79" s="32">
        <f>ROUND(1*H79,P4)</f>
        <v>0</v>
      </c>
      <c r="J79" s="30" t="s">
        <v>118</v>
      </c>
      <c r="O79" s="33">
        <f>I79*0.21</f>
        <v>0</v>
      </c>
      <c r="P79">
        <v>3</v>
      </c>
    </row>
    <row r="80" spans="1:16" ht="216" x14ac:dyDescent="0.3">
      <c r="A80" s="27" t="s">
        <v>101</v>
      </c>
      <c r="B80" s="34"/>
      <c r="E80" s="29" t="s">
        <v>356</v>
      </c>
      <c r="J80" s="35"/>
    </row>
    <row r="81" spans="1:16" x14ac:dyDescent="0.3">
      <c r="A81" s="27" t="s">
        <v>103</v>
      </c>
      <c r="B81" s="34"/>
      <c r="E81" s="36" t="s">
        <v>357</v>
      </c>
      <c r="J81" s="35"/>
    </row>
    <row r="82" spans="1:16" x14ac:dyDescent="0.3">
      <c r="A82" s="27" t="s">
        <v>103</v>
      </c>
      <c r="B82" s="34"/>
      <c r="E82" s="36" t="s">
        <v>358</v>
      </c>
      <c r="J82" s="35"/>
    </row>
    <row r="83" spans="1:16" ht="144" x14ac:dyDescent="0.3">
      <c r="A83" s="27" t="s">
        <v>105</v>
      </c>
      <c r="B83" s="34"/>
      <c r="E83" s="29" t="s">
        <v>353</v>
      </c>
      <c r="J83" s="35"/>
    </row>
    <row r="84" spans="1:16" x14ac:dyDescent="0.3">
      <c r="A84" s="27" t="s">
        <v>95</v>
      </c>
      <c r="B84" s="27">
        <v>12</v>
      </c>
      <c r="C84" s="28" t="s">
        <v>359</v>
      </c>
      <c r="D84" s="27" t="s">
        <v>129</v>
      </c>
      <c r="E84" s="29" t="s">
        <v>360</v>
      </c>
      <c r="F84" s="30" t="s">
        <v>237</v>
      </c>
      <c r="G84" s="31">
        <v>12.912000000000001</v>
      </c>
      <c r="H84" s="32">
        <v>0</v>
      </c>
      <c r="I84" s="32">
        <f>ROUND(12.912*H84,P4)</f>
        <v>0</v>
      </c>
      <c r="J84" s="30" t="s">
        <v>118</v>
      </c>
      <c r="O84" s="33">
        <f>I84*0.21</f>
        <v>0</v>
      </c>
      <c r="P84">
        <v>3</v>
      </c>
    </row>
    <row r="85" spans="1:16" ht="216" x14ac:dyDescent="0.3">
      <c r="A85" s="27" t="s">
        <v>101</v>
      </c>
      <c r="B85" s="34"/>
      <c r="E85" s="29" t="s">
        <v>361</v>
      </c>
      <c r="J85" s="35"/>
    </row>
    <row r="86" spans="1:16" x14ac:dyDescent="0.3">
      <c r="A86" s="27" t="s">
        <v>103</v>
      </c>
      <c r="B86" s="34"/>
      <c r="E86" s="36" t="s">
        <v>362</v>
      </c>
      <c r="J86" s="35"/>
    </row>
    <row r="87" spans="1:16" x14ac:dyDescent="0.3">
      <c r="A87" s="27" t="s">
        <v>103</v>
      </c>
      <c r="B87" s="34"/>
      <c r="E87" s="36" t="s">
        <v>363</v>
      </c>
      <c r="J87" s="35"/>
    </row>
    <row r="88" spans="1:16" x14ac:dyDescent="0.3">
      <c r="A88" s="27" t="s">
        <v>103</v>
      </c>
      <c r="B88" s="34"/>
      <c r="E88" s="36" t="s">
        <v>364</v>
      </c>
      <c r="J88" s="35"/>
    </row>
    <row r="89" spans="1:16" ht="100.8" x14ac:dyDescent="0.3">
      <c r="A89" s="27" t="s">
        <v>105</v>
      </c>
      <c r="B89" s="34"/>
      <c r="E89" s="29" t="s">
        <v>365</v>
      </c>
      <c r="J89" s="35"/>
    </row>
    <row r="90" spans="1:16" x14ac:dyDescent="0.3">
      <c r="A90" s="27" t="s">
        <v>95</v>
      </c>
      <c r="B90" s="27">
        <v>13</v>
      </c>
      <c r="C90" s="28" t="s">
        <v>366</v>
      </c>
      <c r="D90" s="27" t="s">
        <v>129</v>
      </c>
      <c r="E90" s="29" t="s">
        <v>367</v>
      </c>
      <c r="F90" s="30" t="s">
        <v>237</v>
      </c>
      <c r="G90" s="31">
        <v>12.532</v>
      </c>
      <c r="H90" s="32">
        <v>0</v>
      </c>
      <c r="I90" s="32">
        <f>ROUND(12.532*H90,P4)</f>
        <v>0</v>
      </c>
      <c r="J90" s="30" t="s">
        <v>118</v>
      </c>
      <c r="O90" s="33">
        <f>I90*0.21</f>
        <v>0</v>
      </c>
      <c r="P90">
        <v>3</v>
      </c>
    </row>
    <row r="91" spans="1:16" ht="216" x14ac:dyDescent="0.3">
      <c r="A91" s="27" t="s">
        <v>101</v>
      </c>
      <c r="B91" s="34"/>
      <c r="E91" s="29" t="s">
        <v>368</v>
      </c>
      <c r="J91" s="35"/>
    </row>
    <row r="92" spans="1:16" x14ac:dyDescent="0.3">
      <c r="A92" s="27" t="s">
        <v>103</v>
      </c>
      <c r="B92" s="34"/>
      <c r="E92" s="36" t="s">
        <v>369</v>
      </c>
      <c r="J92" s="35"/>
    </row>
    <row r="93" spans="1:16" ht="144" x14ac:dyDescent="0.3">
      <c r="A93" s="27" t="s">
        <v>105</v>
      </c>
      <c r="B93" s="37"/>
      <c r="C93" s="38"/>
      <c r="D93" s="38"/>
      <c r="E93" s="29" t="s">
        <v>370</v>
      </c>
      <c r="F93" s="38"/>
      <c r="G93" s="38"/>
      <c r="H93" s="38"/>
      <c r="I93" s="38"/>
      <c r="J93"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1"/>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15</v>
      </c>
      <c r="I3" s="16">
        <f>SUMIFS(I8:I61,A8:A61,"SD")</f>
        <v>0</v>
      </c>
      <c r="J3" s="12"/>
      <c r="O3">
        <v>0</v>
      </c>
      <c r="P3">
        <v>2</v>
      </c>
    </row>
    <row r="4" spans="1:16" x14ac:dyDescent="0.3">
      <c r="A4" s="2" t="s">
        <v>79</v>
      </c>
      <c r="B4" s="13" t="s">
        <v>80</v>
      </c>
      <c r="C4" s="43" t="s">
        <v>15</v>
      </c>
      <c r="D4" s="44"/>
      <c r="E4" s="14" t="s">
        <v>16</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SUMIFS(I9:I48,A9:A48,"P")</f>
        <v>0</v>
      </c>
      <c r="J8" s="26"/>
    </row>
    <row r="9" spans="1:16" x14ac:dyDescent="0.3">
      <c r="A9" s="27" t="s">
        <v>95</v>
      </c>
      <c r="B9" s="27">
        <v>1</v>
      </c>
      <c r="C9" s="28" t="s">
        <v>371</v>
      </c>
      <c r="D9" s="27" t="s">
        <v>129</v>
      </c>
      <c r="E9" s="29" t="s">
        <v>372</v>
      </c>
      <c r="F9" s="30" t="s">
        <v>248</v>
      </c>
      <c r="G9" s="31">
        <v>3049.2130000000002</v>
      </c>
      <c r="H9" s="32">
        <v>0</v>
      </c>
      <c r="I9" s="32">
        <f>ROUND(3049.213*H9,P4)</f>
        <v>0</v>
      </c>
      <c r="J9" s="30" t="s">
        <v>118</v>
      </c>
      <c r="O9" s="33">
        <f>I9*0.21</f>
        <v>0</v>
      </c>
      <c r="P9">
        <v>3</v>
      </c>
    </row>
    <row r="10" spans="1:16" ht="115.2" x14ac:dyDescent="0.3">
      <c r="A10" s="27" t="s">
        <v>101</v>
      </c>
      <c r="B10" s="34"/>
      <c r="E10" s="29" t="s">
        <v>373</v>
      </c>
      <c r="J10" s="35"/>
    </row>
    <row r="11" spans="1:16" ht="28.8" x14ac:dyDescent="0.3">
      <c r="A11" s="27" t="s">
        <v>103</v>
      </c>
      <c r="B11" s="34"/>
      <c r="E11" s="36" t="s">
        <v>374</v>
      </c>
      <c r="J11" s="35"/>
    </row>
    <row r="12" spans="1:16" ht="28.8" x14ac:dyDescent="0.3">
      <c r="A12" s="27" t="s">
        <v>103</v>
      </c>
      <c r="B12" s="34"/>
      <c r="E12" s="36" t="s">
        <v>375</v>
      </c>
      <c r="J12" s="35"/>
    </row>
    <row r="13" spans="1:16" ht="28.8" x14ac:dyDescent="0.3">
      <c r="A13" s="27" t="s">
        <v>103</v>
      </c>
      <c r="B13" s="34"/>
      <c r="E13" s="36" t="s">
        <v>376</v>
      </c>
      <c r="J13" s="35"/>
    </row>
    <row r="14" spans="1:16" ht="28.8" x14ac:dyDescent="0.3">
      <c r="A14" s="27" t="s">
        <v>103</v>
      </c>
      <c r="B14" s="34"/>
      <c r="E14" s="36" t="s">
        <v>377</v>
      </c>
      <c r="J14" s="35"/>
    </row>
    <row r="15" spans="1:16" ht="28.8" x14ac:dyDescent="0.3">
      <c r="A15" s="27" t="s">
        <v>103</v>
      </c>
      <c r="B15" s="34"/>
      <c r="E15" s="36" t="s">
        <v>378</v>
      </c>
      <c r="J15" s="35"/>
    </row>
    <row r="16" spans="1:16" ht="28.8" x14ac:dyDescent="0.3">
      <c r="A16" s="27" t="s">
        <v>103</v>
      </c>
      <c r="B16" s="34"/>
      <c r="E16" s="36" t="s">
        <v>379</v>
      </c>
      <c r="J16" s="35"/>
    </row>
    <row r="17" spans="1:16" ht="28.8" x14ac:dyDescent="0.3">
      <c r="A17" s="27" t="s">
        <v>103</v>
      </c>
      <c r="B17" s="34"/>
      <c r="E17" s="36" t="s">
        <v>380</v>
      </c>
      <c r="J17" s="35"/>
    </row>
    <row r="18" spans="1:16" ht="28.8" x14ac:dyDescent="0.3">
      <c r="A18" s="27" t="s">
        <v>103</v>
      </c>
      <c r="B18" s="34"/>
      <c r="E18" s="36" t="s">
        <v>381</v>
      </c>
      <c r="J18" s="35"/>
    </row>
    <row r="19" spans="1:16" ht="28.8" x14ac:dyDescent="0.3">
      <c r="A19" s="27" t="s">
        <v>103</v>
      </c>
      <c r="B19" s="34"/>
      <c r="E19" s="36" t="s">
        <v>382</v>
      </c>
      <c r="J19" s="35"/>
    </row>
    <row r="20" spans="1:16" ht="28.8" x14ac:dyDescent="0.3">
      <c r="A20" s="27" t="s">
        <v>103</v>
      </c>
      <c r="B20" s="34"/>
      <c r="E20" s="36" t="s">
        <v>383</v>
      </c>
      <c r="J20" s="35"/>
    </row>
    <row r="21" spans="1:16" ht="28.8" x14ac:dyDescent="0.3">
      <c r="A21" s="27" t="s">
        <v>103</v>
      </c>
      <c r="B21" s="34"/>
      <c r="E21" s="36" t="s">
        <v>384</v>
      </c>
      <c r="J21" s="35"/>
    </row>
    <row r="22" spans="1:16" ht="28.8" x14ac:dyDescent="0.3">
      <c r="A22" s="27" t="s">
        <v>103</v>
      </c>
      <c r="B22" s="34"/>
      <c r="E22" s="36" t="s">
        <v>385</v>
      </c>
      <c r="J22" s="35"/>
    </row>
    <row r="23" spans="1:16" ht="28.8" x14ac:dyDescent="0.3">
      <c r="A23" s="27" t="s">
        <v>103</v>
      </c>
      <c r="B23" s="34"/>
      <c r="E23" s="36" t="s">
        <v>386</v>
      </c>
      <c r="J23" s="35"/>
    </row>
    <row r="24" spans="1:16" ht="28.8" x14ac:dyDescent="0.3">
      <c r="A24" s="27" t="s">
        <v>103</v>
      </c>
      <c r="B24" s="34"/>
      <c r="E24" s="36" t="s">
        <v>387</v>
      </c>
      <c r="J24" s="35"/>
    </row>
    <row r="25" spans="1:16" x14ac:dyDescent="0.3">
      <c r="A25" s="27" t="s">
        <v>103</v>
      </c>
      <c r="B25" s="34"/>
      <c r="E25" s="36" t="s">
        <v>388</v>
      </c>
      <c r="J25" s="35"/>
    </row>
    <row r="26" spans="1:16" x14ac:dyDescent="0.3">
      <c r="A26" s="27" t="s">
        <v>105</v>
      </c>
      <c r="B26" s="34"/>
      <c r="E26" s="29" t="s">
        <v>389</v>
      </c>
      <c r="J26" s="35"/>
    </row>
    <row r="27" spans="1:16" x14ac:dyDescent="0.3">
      <c r="A27" s="27" t="s">
        <v>95</v>
      </c>
      <c r="B27" s="27">
        <v>2</v>
      </c>
      <c r="C27" s="28" t="s">
        <v>390</v>
      </c>
      <c r="D27" s="27" t="s">
        <v>97</v>
      </c>
      <c r="E27" s="29" t="s">
        <v>391</v>
      </c>
      <c r="F27" s="30" t="s">
        <v>229</v>
      </c>
      <c r="G27" s="31">
        <v>1398.249</v>
      </c>
      <c r="H27" s="32">
        <v>0</v>
      </c>
      <c r="I27" s="32">
        <f>ROUND(1398.249*H27,P4)</f>
        <v>0</v>
      </c>
      <c r="J27" s="30" t="s">
        <v>118</v>
      </c>
      <c r="O27" s="33">
        <f>I27*0.21</f>
        <v>0</v>
      </c>
      <c r="P27">
        <v>3</v>
      </c>
    </row>
    <row r="28" spans="1:16" ht="129.6" x14ac:dyDescent="0.3">
      <c r="A28" s="27" t="s">
        <v>101</v>
      </c>
      <c r="B28" s="34"/>
      <c r="E28" s="29" t="s">
        <v>392</v>
      </c>
      <c r="J28" s="35"/>
    </row>
    <row r="29" spans="1:16" ht="28.8" x14ac:dyDescent="0.3">
      <c r="A29" s="27" t="s">
        <v>103</v>
      </c>
      <c r="B29" s="34"/>
      <c r="E29" s="36" t="s">
        <v>393</v>
      </c>
      <c r="J29" s="35"/>
    </row>
    <row r="30" spans="1:16" ht="28.8" x14ac:dyDescent="0.3">
      <c r="A30" s="27" t="s">
        <v>103</v>
      </c>
      <c r="B30" s="34"/>
      <c r="E30" s="36" t="s">
        <v>394</v>
      </c>
      <c r="J30" s="35"/>
    </row>
    <row r="31" spans="1:16" ht="28.8" x14ac:dyDescent="0.3">
      <c r="A31" s="27" t="s">
        <v>103</v>
      </c>
      <c r="B31" s="34"/>
      <c r="E31" s="36" t="s">
        <v>395</v>
      </c>
      <c r="J31" s="35"/>
    </row>
    <row r="32" spans="1:16" ht="28.8" x14ac:dyDescent="0.3">
      <c r="A32" s="27" t="s">
        <v>103</v>
      </c>
      <c r="B32" s="34"/>
      <c r="E32" s="36" t="s">
        <v>396</v>
      </c>
      <c r="J32" s="35"/>
    </row>
    <row r="33" spans="1:16" ht="28.8" x14ac:dyDescent="0.3">
      <c r="A33" s="27" t="s">
        <v>103</v>
      </c>
      <c r="B33" s="34"/>
      <c r="E33" s="36" t="s">
        <v>397</v>
      </c>
      <c r="J33" s="35"/>
    </row>
    <row r="34" spans="1:16" ht="28.8" x14ac:dyDescent="0.3">
      <c r="A34" s="27" t="s">
        <v>103</v>
      </c>
      <c r="B34" s="34"/>
      <c r="E34" s="36" t="s">
        <v>398</v>
      </c>
      <c r="J34" s="35"/>
    </row>
    <row r="35" spans="1:16" x14ac:dyDescent="0.3">
      <c r="A35" s="27" t="s">
        <v>103</v>
      </c>
      <c r="B35" s="34"/>
      <c r="E35" s="36" t="s">
        <v>399</v>
      </c>
      <c r="J35" s="35"/>
    </row>
    <row r="36" spans="1:16" ht="43.2" x14ac:dyDescent="0.3">
      <c r="A36" s="27" t="s">
        <v>105</v>
      </c>
      <c r="B36" s="34"/>
      <c r="E36" s="29" t="s">
        <v>400</v>
      </c>
      <c r="J36" s="35"/>
    </row>
    <row r="37" spans="1:16" x14ac:dyDescent="0.3">
      <c r="A37" s="27" t="s">
        <v>95</v>
      </c>
      <c r="B37" s="27">
        <v>3</v>
      </c>
      <c r="C37" s="28" t="s">
        <v>401</v>
      </c>
      <c r="D37" s="27" t="s">
        <v>107</v>
      </c>
      <c r="E37" s="29" t="s">
        <v>402</v>
      </c>
      <c r="F37" s="30" t="s">
        <v>229</v>
      </c>
      <c r="G37" s="31">
        <v>1311.799</v>
      </c>
      <c r="H37" s="32">
        <v>0</v>
      </c>
      <c r="I37" s="32">
        <f>ROUND(1311.799*H37,P4)</f>
        <v>0</v>
      </c>
      <c r="J37" s="30" t="s">
        <v>118</v>
      </c>
      <c r="O37" s="33">
        <f>I37*0.21</f>
        <v>0</v>
      </c>
      <c r="P37">
        <v>3</v>
      </c>
    </row>
    <row r="38" spans="1:16" ht="115.2" x14ac:dyDescent="0.3">
      <c r="A38" s="27" t="s">
        <v>101</v>
      </c>
      <c r="B38" s="34"/>
      <c r="E38" s="29" t="s">
        <v>403</v>
      </c>
      <c r="J38" s="35"/>
    </row>
    <row r="39" spans="1:16" ht="28.8" x14ac:dyDescent="0.3">
      <c r="A39" s="27" t="s">
        <v>103</v>
      </c>
      <c r="B39" s="34"/>
      <c r="E39" s="36" t="s">
        <v>404</v>
      </c>
      <c r="J39" s="35"/>
    </row>
    <row r="40" spans="1:16" ht="28.8" x14ac:dyDescent="0.3">
      <c r="A40" s="27" t="s">
        <v>103</v>
      </c>
      <c r="B40" s="34"/>
      <c r="E40" s="36" t="s">
        <v>405</v>
      </c>
      <c r="J40" s="35"/>
    </row>
    <row r="41" spans="1:16" ht="28.8" x14ac:dyDescent="0.3">
      <c r="A41" s="27" t="s">
        <v>103</v>
      </c>
      <c r="B41" s="34"/>
      <c r="E41" s="36" t="s">
        <v>406</v>
      </c>
      <c r="J41" s="35"/>
    </row>
    <row r="42" spans="1:16" ht="28.8" x14ac:dyDescent="0.3">
      <c r="A42" s="27" t="s">
        <v>103</v>
      </c>
      <c r="B42" s="34"/>
      <c r="E42" s="36" t="s">
        <v>407</v>
      </c>
      <c r="J42" s="35"/>
    </row>
    <row r="43" spans="1:16" ht="28.8" x14ac:dyDescent="0.3">
      <c r="A43" s="27" t="s">
        <v>103</v>
      </c>
      <c r="B43" s="34"/>
      <c r="E43" s="36" t="s">
        <v>408</v>
      </c>
      <c r="J43" s="35"/>
    </row>
    <row r="44" spans="1:16" ht="28.8" x14ac:dyDescent="0.3">
      <c r="A44" s="27" t="s">
        <v>103</v>
      </c>
      <c r="B44" s="34"/>
      <c r="E44" s="36" t="s">
        <v>409</v>
      </c>
      <c r="J44" s="35"/>
    </row>
    <row r="45" spans="1:16" ht="28.8" x14ac:dyDescent="0.3">
      <c r="A45" s="27" t="s">
        <v>103</v>
      </c>
      <c r="B45" s="34"/>
      <c r="E45" s="36" t="s">
        <v>410</v>
      </c>
      <c r="J45" s="35"/>
    </row>
    <row r="46" spans="1:16" ht="28.8" x14ac:dyDescent="0.3">
      <c r="A46" s="27" t="s">
        <v>103</v>
      </c>
      <c r="B46" s="34"/>
      <c r="E46" s="36" t="s">
        <v>411</v>
      </c>
      <c r="J46" s="35"/>
    </row>
    <row r="47" spans="1:16" x14ac:dyDescent="0.3">
      <c r="A47" s="27" t="s">
        <v>103</v>
      </c>
      <c r="B47" s="34"/>
      <c r="E47" s="36" t="s">
        <v>412</v>
      </c>
      <c r="J47" s="35"/>
    </row>
    <row r="48" spans="1:16" ht="43.2" x14ac:dyDescent="0.3">
      <c r="A48" s="27" t="s">
        <v>105</v>
      </c>
      <c r="B48" s="34"/>
      <c r="E48" s="29" t="s">
        <v>400</v>
      </c>
      <c r="J48" s="35"/>
    </row>
    <row r="49" spans="1:16" x14ac:dyDescent="0.3">
      <c r="A49" s="21" t="s">
        <v>92</v>
      </c>
      <c r="B49" s="22"/>
      <c r="C49" s="23" t="s">
        <v>252</v>
      </c>
      <c r="D49" s="24"/>
      <c r="E49" s="21" t="s">
        <v>253</v>
      </c>
      <c r="F49" s="24"/>
      <c r="G49" s="24"/>
      <c r="H49" s="24"/>
      <c r="I49" s="25">
        <f>SUMIFS(I50:I61,A50:A61,"P")</f>
        <v>0</v>
      </c>
      <c r="J49" s="26"/>
    </row>
    <row r="50" spans="1:16" x14ac:dyDescent="0.3">
      <c r="A50" s="27" t="s">
        <v>95</v>
      </c>
      <c r="B50" s="27">
        <v>4</v>
      </c>
      <c r="C50" s="28" t="s">
        <v>413</v>
      </c>
      <c r="D50" s="27" t="s">
        <v>129</v>
      </c>
      <c r="E50" s="29" t="s">
        <v>414</v>
      </c>
      <c r="F50" s="30" t="s">
        <v>237</v>
      </c>
      <c r="G50" s="31">
        <v>122.494</v>
      </c>
      <c r="H50" s="32">
        <v>0</v>
      </c>
      <c r="I50" s="32">
        <f>ROUND(122.494*H50,P4)</f>
        <v>0</v>
      </c>
      <c r="J50" s="30" t="s">
        <v>118</v>
      </c>
      <c r="O50" s="33">
        <f>I50*0.21</f>
        <v>0</v>
      </c>
      <c r="P50">
        <v>3</v>
      </c>
    </row>
    <row r="51" spans="1:16" ht="158.4" x14ac:dyDescent="0.3">
      <c r="A51" s="27" t="s">
        <v>101</v>
      </c>
      <c r="B51" s="34"/>
      <c r="E51" s="29" t="s">
        <v>415</v>
      </c>
      <c r="J51" s="35"/>
    </row>
    <row r="52" spans="1:16" ht="28.8" x14ac:dyDescent="0.3">
      <c r="A52" s="27" t="s">
        <v>103</v>
      </c>
      <c r="B52" s="34"/>
      <c r="E52" s="36" t="s">
        <v>416</v>
      </c>
      <c r="J52" s="35"/>
    </row>
    <row r="53" spans="1:16" ht="28.8" x14ac:dyDescent="0.3">
      <c r="A53" s="27" t="s">
        <v>103</v>
      </c>
      <c r="B53" s="34"/>
      <c r="E53" s="36" t="s">
        <v>417</v>
      </c>
      <c r="J53" s="35"/>
    </row>
    <row r="54" spans="1:16" ht="28.8" x14ac:dyDescent="0.3">
      <c r="A54" s="27" t="s">
        <v>103</v>
      </c>
      <c r="B54" s="34"/>
      <c r="E54" s="36" t="s">
        <v>418</v>
      </c>
      <c r="J54" s="35"/>
    </row>
    <row r="55" spans="1:16" ht="28.8" x14ac:dyDescent="0.3">
      <c r="A55" s="27" t="s">
        <v>103</v>
      </c>
      <c r="B55" s="34"/>
      <c r="E55" s="36" t="s">
        <v>419</v>
      </c>
      <c r="J55" s="35"/>
    </row>
    <row r="56" spans="1:16" ht="28.8" x14ac:dyDescent="0.3">
      <c r="A56" s="27" t="s">
        <v>103</v>
      </c>
      <c r="B56" s="34"/>
      <c r="E56" s="36" t="s">
        <v>420</v>
      </c>
      <c r="J56" s="35"/>
    </row>
    <row r="57" spans="1:16" ht="28.8" x14ac:dyDescent="0.3">
      <c r="A57" s="27" t="s">
        <v>103</v>
      </c>
      <c r="B57" s="34"/>
      <c r="E57" s="36" t="s">
        <v>421</v>
      </c>
      <c r="J57" s="35"/>
    </row>
    <row r="58" spans="1:16" ht="28.8" x14ac:dyDescent="0.3">
      <c r="A58" s="27" t="s">
        <v>103</v>
      </c>
      <c r="B58" s="34"/>
      <c r="E58" s="36" t="s">
        <v>422</v>
      </c>
      <c r="J58" s="35"/>
    </row>
    <row r="59" spans="1:16" ht="28.8" x14ac:dyDescent="0.3">
      <c r="A59" s="27" t="s">
        <v>103</v>
      </c>
      <c r="B59" s="34"/>
      <c r="E59" s="36" t="s">
        <v>423</v>
      </c>
      <c r="J59" s="35"/>
    </row>
    <row r="60" spans="1:16" x14ac:dyDescent="0.3">
      <c r="A60" s="27" t="s">
        <v>103</v>
      </c>
      <c r="B60" s="34"/>
      <c r="E60" s="36" t="s">
        <v>424</v>
      </c>
      <c r="J60" s="35"/>
    </row>
    <row r="61" spans="1:16" ht="28.8" x14ac:dyDescent="0.3">
      <c r="A61" s="27" t="s">
        <v>105</v>
      </c>
      <c r="B61" s="37"/>
      <c r="C61" s="38"/>
      <c r="D61" s="38"/>
      <c r="E61" s="29" t="s">
        <v>425</v>
      </c>
      <c r="F61" s="38"/>
      <c r="G61" s="38"/>
      <c r="H61" s="38"/>
      <c r="I61" s="38"/>
      <c r="J61"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0"/>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17</v>
      </c>
      <c r="I3" s="16">
        <f>SUMIFS(I8:I40,A8:A40,"SD")</f>
        <v>0</v>
      </c>
      <c r="J3" s="12"/>
      <c r="O3">
        <v>0</v>
      </c>
      <c r="P3">
        <v>2</v>
      </c>
    </row>
    <row r="4" spans="1:16" x14ac:dyDescent="0.3">
      <c r="A4" s="2" t="s">
        <v>79</v>
      </c>
      <c r="B4" s="13" t="s">
        <v>80</v>
      </c>
      <c r="C4" s="43" t="s">
        <v>17</v>
      </c>
      <c r="D4" s="44"/>
      <c r="E4" s="14" t="s">
        <v>18</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SUMIFS(I9:I40,A9:A40,"P")</f>
        <v>0</v>
      </c>
      <c r="J8" s="26"/>
    </row>
    <row r="9" spans="1:16" x14ac:dyDescent="0.3">
      <c r="A9" s="27" t="s">
        <v>95</v>
      </c>
      <c r="B9" s="27">
        <v>1</v>
      </c>
      <c r="C9" s="28" t="s">
        <v>426</v>
      </c>
      <c r="D9" s="27" t="s">
        <v>129</v>
      </c>
      <c r="E9" s="29" t="s">
        <v>427</v>
      </c>
      <c r="F9" s="30" t="s">
        <v>229</v>
      </c>
      <c r="G9" s="31">
        <v>343.113</v>
      </c>
      <c r="H9" s="32">
        <v>0</v>
      </c>
      <c r="I9" s="32">
        <f>ROUND(343.113*H9,P4)</f>
        <v>0</v>
      </c>
      <c r="J9" s="30" t="s">
        <v>118</v>
      </c>
      <c r="O9" s="33">
        <f>I9*0.21</f>
        <v>0</v>
      </c>
      <c r="P9">
        <v>3</v>
      </c>
    </row>
    <row r="10" spans="1:16" ht="172.8" x14ac:dyDescent="0.3">
      <c r="A10" s="27" t="s">
        <v>101</v>
      </c>
      <c r="B10" s="34"/>
      <c r="E10" s="29" t="s">
        <v>428</v>
      </c>
      <c r="J10" s="35"/>
    </row>
    <row r="11" spans="1:16" ht="28.8" x14ac:dyDescent="0.3">
      <c r="A11" s="27" t="s">
        <v>103</v>
      </c>
      <c r="B11" s="34"/>
      <c r="E11" s="36" t="s">
        <v>429</v>
      </c>
      <c r="J11" s="35"/>
    </row>
    <row r="12" spans="1:16" ht="28.8" x14ac:dyDescent="0.3">
      <c r="A12" s="27" t="s">
        <v>103</v>
      </c>
      <c r="B12" s="34"/>
      <c r="E12" s="36" t="s">
        <v>430</v>
      </c>
      <c r="J12" s="35"/>
    </row>
    <row r="13" spans="1:16" ht="28.8" x14ac:dyDescent="0.3">
      <c r="A13" s="27" t="s">
        <v>103</v>
      </c>
      <c r="B13" s="34"/>
      <c r="E13" s="36" t="s">
        <v>431</v>
      </c>
      <c r="J13" s="35"/>
    </row>
    <row r="14" spans="1:16" ht="28.8" x14ac:dyDescent="0.3">
      <c r="A14" s="27" t="s">
        <v>103</v>
      </c>
      <c r="B14" s="34"/>
      <c r="E14" s="36" t="s">
        <v>432</v>
      </c>
      <c r="J14" s="35"/>
    </row>
    <row r="15" spans="1:16" x14ac:dyDescent="0.3">
      <c r="A15" s="27" t="s">
        <v>103</v>
      </c>
      <c r="B15" s="34"/>
      <c r="E15" s="36" t="s">
        <v>433</v>
      </c>
      <c r="J15" s="35"/>
    </row>
    <row r="16" spans="1:16" ht="374.4" x14ac:dyDescent="0.3">
      <c r="A16" s="27" t="s">
        <v>105</v>
      </c>
      <c r="B16" s="34"/>
      <c r="E16" s="29" t="s">
        <v>434</v>
      </c>
      <c r="J16" s="35"/>
    </row>
    <row r="17" spans="1:16" x14ac:dyDescent="0.3">
      <c r="A17" s="27" t="s">
        <v>95</v>
      </c>
      <c r="B17" s="27">
        <v>2</v>
      </c>
      <c r="C17" s="28" t="s">
        <v>435</v>
      </c>
      <c r="D17" s="27" t="s">
        <v>129</v>
      </c>
      <c r="E17" s="29" t="s">
        <v>436</v>
      </c>
      <c r="F17" s="30" t="s">
        <v>229</v>
      </c>
      <c r="G17" s="31">
        <v>343.113</v>
      </c>
      <c r="H17" s="32">
        <v>0</v>
      </c>
      <c r="I17" s="32">
        <f>ROUND(343.113*H17,P4)</f>
        <v>0</v>
      </c>
      <c r="J17" s="30" t="s">
        <v>118</v>
      </c>
      <c r="O17" s="33">
        <f>I17*0.21</f>
        <v>0</v>
      </c>
      <c r="P17">
        <v>3</v>
      </c>
    </row>
    <row r="18" spans="1:16" ht="172.8" x14ac:dyDescent="0.3">
      <c r="A18" s="27" t="s">
        <v>101</v>
      </c>
      <c r="B18" s="34"/>
      <c r="E18" s="29" t="s">
        <v>437</v>
      </c>
      <c r="J18" s="35"/>
    </row>
    <row r="19" spans="1:16" ht="28.8" x14ac:dyDescent="0.3">
      <c r="A19" s="27" t="s">
        <v>103</v>
      </c>
      <c r="B19" s="34"/>
      <c r="E19" s="36" t="s">
        <v>429</v>
      </c>
      <c r="J19" s="35"/>
    </row>
    <row r="20" spans="1:16" ht="28.8" x14ac:dyDescent="0.3">
      <c r="A20" s="27" t="s">
        <v>103</v>
      </c>
      <c r="B20" s="34"/>
      <c r="E20" s="36" t="s">
        <v>430</v>
      </c>
      <c r="J20" s="35"/>
    </row>
    <row r="21" spans="1:16" ht="28.8" x14ac:dyDescent="0.3">
      <c r="A21" s="27" t="s">
        <v>103</v>
      </c>
      <c r="B21" s="34"/>
      <c r="E21" s="36" t="s">
        <v>431</v>
      </c>
      <c r="J21" s="35"/>
    </row>
    <row r="22" spans="1:16" ht="28.8" x14ac:dyDescent="0.3">
      <c r="A22" s="27" t="s">
        <v>103</v>
      </c>
      <c r="B22" s="34"/>
      <c r="E22" s="36" t="s">
        <v>432</v>
      </c>
      <c r="J22" s="35"/>
    </row>
    <row r="23" spans="1:16" x14ac:dyDescent="0.3">
      <c r="A23" s="27" t="s">
        <v>103</v>
      </c>
      <c r="B23" s="34"/>
      <c r="E23" s="36" t="s">
        <v>433</v>
      </c>
      <c r="J23" s="35"/>
    </row>
    <row r="24" spans="1:16" ht="43.2" x14ac:dyDescent="0.3">
      <c r="A24" s="27" t="s">
        <v>105</v>
      </c>
      <c r="B24" s="34"/>
      <c r="E24" s="29" t="s">
        <v>438</v>
      </c>
      <c r="J24" s="35"/>
    </row>
    <row r="25" spans="1:16" x14ac:dyDescent="0.3">
      <c r="A25" s="27" t="s">
        <v>95</v>
      </c>
      <c r="B25" s="27">
        <v>3</v>
      </c>
      <c r="C25" s="28" t="s">
        <v>439</v>
      </c>
      <c r="D25" s="27" t="s">
        <v>129</v>
      </c>
      <c r="E25" s="29" t="s">
        <v>440</v>
      </c>
      <c r="F25" s="30" t="s">
        <v>248</v>
      </c>
      <c r="G25" s="31">
        <v>1719.443</v>
      </c>
      <c r="H25" s="32">
        <v>0</v>
      </c>
      <c r="I25" s="32">
        <f>ROUND(1719.443*H25,P4)</f>
        <v>0</v>
      </c>
      <c r="J25" s="30" t="s">
        <v>118</v>
      </c>
      <c r="O25" s="33">
        <f>I25*0.21</f>
        <v>0</v>
      </c>
      <c r="P25">
        <v>3</v>
      </c>
    </row>
    <row r="26" spans="1:16" ht="187.2" x14ac:dyDescent="0.3">
      <c r="A26" s="27" t="s">
        <v>101</v>
      </c>
      <c r="B26" s="34"/>
      <c r="E26" s="29" t="s">
        <v>441</v>
      </c>
      <c r="J26" s="35"/>
    </row>
    <row r="27" spans="1:16" ht="28.8" x14ac:dyDescent="0.3">
      <c r="A27" s="27" t="s">
        <v>103</v>
      </c>
      <c r="B27" s="34"/>
      <c r="E27" s="36" t="s">
        <v>442</v>
      </c>
      <c r="J27" s="35"/>
    </row>
    <row r="28" spans="1:16" ht="28.8" x14ac:dyDescent="0.3">
      <c r="A28" s="27" t="s">
        <v>103</v>
      </c>
      <c r="B28" s="34"/>
      <c r="E28" s="36" t="s">
        <v>443</v>
      </c>
      <c r="J28" s="35"/>
    </row>
    <row r="29" spans="1:16" ht="28.8" x14ac:dyDescent="0.3">
      <c r="A29" s="27" t="s">
        <v>103</v>
      </c>
      <c r="B29" s="34"/>
      <c r="E29" s="36" t="s">
        <v>444</v>
      </c>
      <c r="J29" s="35"/>
    </row>
    <row r="30" spans="1:16" ht="28.8" x14ac:dyDescent="0.3">
      <c r="A30" s="27" t="s">
        <v>103</v>
      </c>
      <c r="B30" s="34"/>
      <c r="E30" s="36" t="s">
        <v>445</v>
      </c>
      <c r="J30" s="35"/>
    </row>
    <row r="31" spans="1:16" x14ac:dyDescent="0.3">
      <c r="A31" s="27" t="s">
        <v>103</v>
      </c>
      <c r="B31" s="34"/>
      <c r="E31" s="36" t="s">
        <v>446</v>
      </c>
      <c r="J31" s="35"/>
    </row>
    <row r="32" spans="1:16" ht="28.8" x14ac:dyDescent="0.3">
      <c r="A32" s="27" t="s">
        <v>105</v>
      </c>
      <c r="B32" s="34"/>
      <c r="E32" s="29" t="s">
        <v>447</v>
      </c>
      <c r="J32" s="35"/>
    </row>
    <row r="33" spans="1:16" x14ac:dyDescent="0.3">
      <c r="A33" s="27" t="s">
        <v>95</v>
      </c>
      <c r="B33" s="27">
        <v>4</v>
      </c>
      <c r="C33" s="28" t="s">
        <v>448</v>
      </c>
      <c r="D33" s="27" t="s">
        <v>129</v>
      </c>
      <c r="E33" s="29" t="s">
        <v>449</v>
      </c>
      <c r="F33" s="30" t="s">
        <v>248</v>
      </c>
      <c r="G33" s="31">
        <v>1719.443</v>
      </c>
      <c r="H33" s="32">
        <v>0</v>
      </c>
      <c r="I33" s="32">
        <f>ROUND(1719.443*H33,P4)</f>
        <v>0</v>
      </c>
      <c r="J33" s="30" t="s">
        <v>118</v>
      </c>
      <c r="O33" s="33">
        <f>I33*0.21</f>
        <v>0</v>
      </c>
      <c r="P33">
        <v>3</v>
      </c>
    </row>
    <row r="34" spans="1:16" ht="201.6" x14ac:dyDescent="0.3">
      <c r="A34" s="27" t="s">
        <v>101</v>
      </c>
      <c r="B34" s="34"/>
      <c r="E34" s="29" t="s">
        <v>450</v>
      </c>
      <c r="J34" s="35"/>
    </row>
    <row r="35" spans="1:16" ht="28.8" x14ac:dyDescent="0.3">
      <c r="A35" s="27" t="s">
        <v>103</v>
      </c>
      <c r="B35" s="34"/>
      <c r="E35" s="36" t="s">
        <v>442</v>
      </c>
      <c r="J35" s="35"/>
    </row>
    <row r="36" spans="1:16" ht="28.8" x14ac:dyDescent="0.3">
      <c r="A36" s="27" t="s">
        <v>103</v>
      </c>
      <c r="B36" s="34"/>
      <c r="E36" s="36" t="s">
        <v>443</v>
      </c>
      <c r="J36" s="35"/>
    </row>
    <row r="37" spans="1:16" ht="28.8" x14ac:dyDescent="0.3">
      <c r="A37" s="27" t="s">
        <v>103</v>
      </c>
      <c r="B37" s="34"/>
      <c r="E37" s="36" t="s">
        <v>444</v>
      </c>
      <c r="J37" s="35"/>
    </row>
    <row r="38" spans="1:16" ht="28.8" x14ac:dyDescent="0.3">
      <c r="A38" s="27" t="s">
        <v>103</v>
      </c>
      <c r="B38" s="34"/>
      <c r="E38" s="36" t="s">
        <v>445</v>
      </c>
      <c r="J38" s="35"/>
    </row>
    <row r="39" spans="1:16" x14ac:dyDescent="0.3">
      <c r="A39" s="27" t="s">
        <v>103</v>
      </c>
      <c r="B39" s="34"/>
      <c r="E39" s="36" t="s">
        <v>446</v>
      </c>
      <c r="J39" s="35"/>
    </row>
    <row r="40" spans="1:16" ht="43.2" x14ac:dyDescent="0.3">
      <c r="A40" s="27" t="s">
        <v>105</v>
      </c>
      <c r="B40" s="37"/>
      <c r="C40" s="38"/>
      <c r="D40" s="38"/>
      <c r="E40" s="29" t="s">
        <v>451</v>
      </c>
      <c r="F40" s="38"/>
      <c r="G40" s="38"/>
      <c r="H40" s="38"/>
      <c r="I40" s="38"/>
      <c r="J40"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19</v>
      </c>
      <c r="I3" s="16">
        <f>SUMIFS(I8:I53,A8:A53,"SD")</f>
        <v>0</v>
      </c>
      <c r="J3" s="12"/>
      <c r="O3">
        <v>0</v>
      </c>
      <c r="P3">
        <v>2</v>
      </c>
    </row>
    <row r="4" spans="1:16" x14ac:dyDescent="0.3">
      <c r="A4" s="2" t="s">
        <v>79</v>
      </c>
      <c r="B4" s="13" t="s">
        <v>80</v>
      </c>
      <c r="C4" s="43" t="s">
        <v>19</v>
      </c>
      <c r="D4" s="44"/>
      <c r="E4" s="14" t="s">
        <v>20</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SUMIFS(I9:I53,A9:A53,"P")</f>
        <v>0</v>
      </c>
      <c r="J8" s="26"/>
    </row>
    <row r="9" spans="1:16" x14ac:dyDescent="0.3">
      <c r="A9" s="27" t="s">
        <v>95</v>
      </c>
      <c r="B9" s="27">
        <v>1</v>
      </c>
      <c r="C9" s="28" t="s">
        <v>452</v>
      </c>
      <c r="D9" s="27" t="s">
        <v>129</v>
      </c>
      <c r="E9" s="29" t="s">
        <v>453</v>
      </c>
      <c r="F9" s="30" t="s">
        <v>229</v>
      </c>
      <c r="G9" s="31">
        <v>102.176</v>
      </c>
      <c r="H9" s="32">
        <v>0</v>
      </c>
      <c r="I9" s="32">
        <f>ROUND(102.176*H9,P4)</f>
        <v>0</v>
      </c>
      <c r="J9" s="30" t="s">
        <v>118</v>
      </c>
      <c r="O9" s="33">
        <f>I9*0.21</f>
        <v>0</v>
      </c>
      <c r="P9">
        <v>3</v>
      </c>
    </row>
    <row r="10" spans="1:16" ht="115.2" x14ac:dyDescent="0.3">
      <c r="A10" s="27" t="s">
        <v>101</v>
      </c>
      <c r="B10" s="34"/>
      <c r="E10" s="29" t="s">
        <v>454</v>
      </c>
      <c r="J10" s="35"/>
    </row>
    <row r="11" spans="1:16" ht="28.8" x14ac:dyDescent="0.3">
      <c r="A11" s="27" t="s">
        <v>103</v>
      </c>
      <c r="B11" s="34"/>
      <c r="E11" s="36" t="s">
        <v>455</v>
      </c>
      <c r="J11" s="35"/>
    </row>
    <row r="12" spans="1:16" ht="28.8" x14ac:dyDescent="0.3">
      <c r="A12" s="27" t="s">
        <v>103</v>
      </c>
      <c r="B12" s="34"/>
      <c r="E12" s="36" t="s">
        <v>456</v>
      </c>
      <c r="J12" s="35"/>
    </row>
    <row r="13" spans="1:16" ht="28.8" x14ac:dyDescent="0.3">
      <c r="A13" s="27" t="s">
        <v>103</v>
      </c>
      <c r="B13" s="34"/>
      <c r="E13" s="36" t="s">
        <v>457</v>
      </c>
      <c r="J13" s="35"/>
    </row>
    <row r="14" spans="1:16" ht="28.8" x14ac:dyDescent="0.3">
      <c r="A14" s="27" t="s">
        <v>103</v>
      </c>
      <c r="B14" s="34"/>
      <c r="E14" s="36" t="s">
        <v>458</v>
      </c>
      <c r="J14" s="35"/>
    </row>
    <row r="15" spans="1:16" ht="28.8" x14ac:dyDescent="0.3">
      <c r="A15" s="27" t="s">
        <v>103</v>
      </c>
      <c r="B15" s="34"/>
      <c r="E15" s="36" t="s">
        <v>459</v>
      </c>
      <c r="J15" s="35"/>
    </row>
    <row r="16" spans="1:16" ht="28.8" x14ac:dyDescent="0.3">
      <c r="A16" s="27" t="s">
        <v>103</v>
      </c>
      <c r="B16" s="34"/>
      <c r="E16" s="36" t="s">
        <v>460</v>
      </c>
      <c r="J16" s="35"/>
    </row>
    <row r="17" spans="1:16" ht="28.8" x14ac:dyDescent="0.3">
      <c r="A17" s="27" t="s">
        <v>103</v>
      </c>
      <c r="B17" s="34"/>
      <c r="E17" s="36" t="s">
        <v>461</v>
      </c>
      <c r="J17" s="35"/>
    </row>
    <row r="18" spans="1:16" ht="28.8" x14ac:dyDescent="0.3">
      <c r="A18" s="27" t="s">
        <v>103</v>
      </c>
      <c r="B18" s="34"/>
      <c r="E18" s="36" t="s">
        <v>462</v>
      </c>
      <c r="J18" s="35"/>
    </row>
    <row r="19" spans="1:16" ht="28.8" x14ac:dyDescent="0.3">
      <c r="A19" s="27" t="s">
        <v>103</v>
      </c>
      <c r="B19" s="34"/>
      <c r="E19" s="36" t="s">
        <v>463</v>
      </c>
      <c r="J19" s="35"/>
    </row>
    <row r="20" spans="1:16" ht="28.8" x14ac:dyDescent="0.3">
      <c r="A20" s="27" t="s">
        <v>103</v>
      </c>
      <c r="B20" s="34"/>
      <c r="E20" s="36" t="s">
        <v>464</v>
      </c>
      <c r="J20" s="35"/>
    </row>
    <row r="21" spans="1:16" ht="28.8" x14ac:dyDescent="0.3">
      <c r="A21" s="27" t="s">
        <v>103</v>
      </c>
      <c r="B21" s="34"/>
      <c r="E21" s="36" t="s">
        <v>465</v>
      </c>
      <c r="J21" s="35"/>
    </row>
    <row r="22" spans="1:16" ht="28.8" x14ac:dyDescent="0.3">
      <c r="A22" s="27" t="s">
        <v>103</v>
      </c>
      <c r="B22" s="34"/>
      <c r="E22" s="36" t="s">
        <v>466</v>
      </c>
      <c r="J22" s="35"/>
    </row>
    <row r="23" spans="1:16" ht="28.8" x14ac:dyDescent="0.3">
      <c r="A23" s="27" t="s">
        <v>103</v>
      </c>
      <c r="B23" s="34"/>
      <c r="E23" s="36" t="s">
        <v>467</v>
      </c>
      <c r="J23" s="35"/>
    </row>
    <row r="24" spans="1:16" ht="28.8" x14ac:dyDescent="0.3">
      <c r="A24" s="27" t="s">
        <v>103</v>
      </c>
      <c r="B24" s="34"/>
      <c r="E24" s="36" t="s">
        <v>468</v>
      </c>
      <c r="J24" s="35"/>
    </row>
    <row r="25" spans="1:16" ht="28.8" x14ac:dyDescent="0.3">
      <c r="A25" s="27" t="s">
        <v>103</v>
      </c>
      <c r="B25" s="34"/>
      <c r="E25" s="36" t="s">
        <v>469</v>
      </c>
      <c r="J25" s="35"/>
    </row>
    <row r="26" spans="1:16" ht="28.8" x14ac:dyDescent="0.3">
      <c r="A26" s="27" t="s">
        <v>103</v>
      </c>
      <c r="B26" s="34"/>
      <c r="E26" s="36" t="s">
        <v>470</v>
      </c>
      <c r="J26" s="35"/>
    </row>
    <row r="27" spans="1:16" x14ac:dyDescent="0.3">
      <c r="A27" s="27" t="s">
        <v>103</v>
      </c>
      <c r="B27" s="34"/>
      <c r="E27" s="36" t="s">
        <v>471</v>
      </c>
      <c r="J27" s="35"/>
    </row>
    <row r="28" spans="1:16" ht="409.6" x14ac:dyDescent="0.3">
      <c r="A28" s="27" t="s">
        <v>105</v>
      </c>
      <c r="B28" s="34"/>
      <c r="E28" s="29" t="s">
        <v>472</v>
      </c>
      <c r="J28" s="35"/>
    </row>
    <row r="29" spans="1:16" x14ac:dyDescent="0.3">
      <c r="A29" s="27" t="s">
        <v>95</v>
      </c>
      <c r="B29" s="27">
        <v>2</v>
      </c>
      <c r="C29" s="28" t="s">
        <v>426</v>
      </c>
      <c r="D29" s="27" t="s">
        <v>129</v>
      </c>
      <c r="E29" s="29" t="s">
        <v>427</v>
      </c>
      <c r="F29" s="30" t="s">
        <v>229</v>
      </c>
      <c r="G29" s="31">
        <v>309.23899999999998</v>
      </c>
      <c r="H29" s="32">
        <v>0</v>
      </c>
      <c r="I29" s="32">
        <f>ROUND(309.239*H29,P4)</f>
        <v>0</v>
      </c>
      <c r="J29" s="30" t="s">
        <v>118</v>
      </c>
      <c r="O29" s="33">
        <f>I29*0.21</f>
        <v>0</v>
      </c>
      <c r="P29">
        <v>3</v>
      </c>
    </row>
    <row r="30" spans="1:16" ht="172.8" x14ac:dyDescent="0.3">
      <c r="A30" s="27" t="s">
        <v>101</v>
      </c>
      <c r="B30" s="34"/>
      <c r="E30" s="29" t="s">
        <v>473</v>
      </c>
      <c r="J30" s="35"/>
    </row>
    <row r="31" spans="1:16" ht="28.8" x14ac:dyDescent="0.3">
      <c r="A31" s="27" t="s">
        <v>103</v>
      </c>
      <c r="B31" s="34"/>
      <c r="E31" s="36" t="s">
        <v>474</v>
      </c>
      <c r="J31" s="35"/>
    </row>
    <row r="32" spans="1:16" x14ac:dyDescent="0.3">
      <c r="A32" s="27" t="s">
        <v>103</v>
      </c>
      <c r="B32" s="34"/>
      <c r="E32" s="36" t="s">
        <v>475</v>
      </c>
      <c r="J32" s="35"/>
    </row>
    <row r="33" spans="1:16" ht="374.4" x14ac:dyDescent="0.3">
      <c r="A33" s="27" t="s">
        <v>105</v>
      </c>
      <c r="B33" s="34"/>
      <c r="E33" s="29" t="s">
        <v>434</v>
      </c>
      <c r="J33" s="35"/>
    </row>
    <row r="34" spans="1:16" x14ac:dyDescent="0.3">
      <c r="A34" s="27" t="s">
        <v>95</v>
      </c>
      <c r="B34" s="27">
        <v>3</v>
      </c>
      <c r="C34" s="28" t="s">
        <v>476</v>
      </c>
      <c r="D34" s="27" t="s">
        <v>129</v>
      </c>
      <c r="E34" s="29" t="s">
        <v>477</v>
      </c>
      <c r="F34" s="30" t="s">
        <v>229</v>
      </c>
      <c r="G34" s="31">
        <v>308.06700000000001</v>
      </c>
      <c r="H34" s="32">
        <v>0</v>
      </c>
      <c r="I34" s="32">
        <f>ROUND(308.067*H34,P4)</f>
        <v>0</v>
      </c>
      <c r="J34" s="30" t="s">
        <v>118</v>
      </c>
      <c r="O34" s="33">
        <f>I34*0.21</f>
        <v>0</v>
      </c>
      <c r="P34">
        <v>3</v>
      </c>
    </row>
    <row r="35" spans="1:16" ht="172.8" x14ac:dyDescent="0.3">
      <c r="A35" s="27" t="s">
        <v>101</v>
      </c>
      <c r="B35" s="34"/>
      <c r="E35" s="29" t="s">
        <v>478</v>
      </c>
      <c r="J35" s="35"/>
    </row>
    <row r="36" spans="1:16" ht="28.8" x14ac:dyDescent="0.3">
      <c r="A36" s="27" t="s">
        <v>103</v>
      </c>
      <c r="B36" s="34"/>
      <c r="E36" s="36" t="s">
        <v>479</v>
      </c>
      <c r="J36" s="35"/>
    </row>
    <row r="37" spans="1:16" x14ac:dyDescent="0.3">
      <c r="A37" s="27" t="s">
        <v>103</v>
      </c>
      <c r="B37" s="34"/>
      <c r="E37" s="36" t="s">
        <v>480</v>
      </c>
      <c r="J37" s="35"/>
    </row>
    <row r="38" spans="1:16" ht="216" x14ac:dyDescent="0.3">
      <c r="A38" s="27" t="s">
        <v>105</v>
      </c>
      <c r="B38" s="34"/>
      <c r="E38" s="29" t="s">
        <v>481</v>
      </c>
      <c r="J38" s="35"/>
    </row>
    <row r="39" spans="1:16" x14ac:dyDescent="0.3">
      <c r="A39" s="27" t="s">
        <v>95</v>
      </c>
      <c r="B39" s="27">
        <v>4</v>
      </c>
      <c r="C39" s="28" t="s">
        <v>435</v>
      </c>
      <c r="D39" s="27" t="s">
        <v>129</v>
      </c>
      <c r="E39" s="29" t="s">
        <v>436</v>
      </c>
      <c r="F39" s="30" t="s">
        <v>229</v>
      </c>
      <c r="G39" s="31">
        <v>309.23899999999998</v>
      </c>
      <c r="H39" s="32">
        <v>0</v>
      </c>
      <c r="I39" s="32">
        <f>ROUND(309.239*H39,P4)</f>
        <v>0</v>
      </c>
      <c r="J39" s="30" t="s">
        <v>118</v>
      </c>
      <c r="O39" s="33">
        <f>I39*0.21</f>
        <v>0</v>
      </c>
      <c r="P39">
        <v>3</v>
      </c>
    </row>
    <row r="40" spans="1:16" ht="172.8" x14ac:dyDescent="0.3">
      <c r="A40" s="27" t="s">
        <v>101</v>
      </c>
      <c r="B40" s="34"/>
      <c r="E40" s="29" t="s">
        <v>473</v>
      </c>
      <c r="J40" s="35"/>
    </row>
    <row r="41" spans="1:16" ht="28.8" x14ac:dyDescent="0.3">
      <c r="A41" s="27" t="s">
        <v>103</v>
      </c>
      <c r="B41" s="34"/>
      <c r="E41" s="36" t="s">
        <v>474</v>
      </c>
      <c r="J41" s="35"/>
    </row>
    <row r="42" spans="1:16" x14ac:dyDescent="0.3">
      <c r="A42" s="27" t="s">
        <v>103</v>
      </c>
      <c r="B42" s="34"/>
      <c r="E42" s="36" t="s">
        <v>475</v>
      </c>
      <c r="J42" s="35"/>
    </row>
    <row r="43" spans="1:16" ht="43.2" x14ac:dyDescent="0.3">
      <c r="A43" s="27" t="s">
        <v>105</v>
      </c>
      <c r="B43" s="34"/>
      <c r="E43" s="29" t="s">
        <v>438</v>
      </c>
      <c r="J43" s="35"/>
    </row>
    <row r="44" spans="1:16" x14ac:dyDescent="0.3">
      <c r="A44" s="27" t="s">
        <v>95</v>
      </c>
      <c r="B44" s="27">
        <v>5</v>
      </c>
      <c r="C44" s="28" t="s">
        <v>439</v>
      </c>
      <c r="D44" s="27" t="s">
        <v>129</v>
      </c>
      <c r="E44" s="29" t="s">
        <v>440</v>
      </c>
      <c r="F44" s="30" t="s">
        <v>248</v>
      </c>
      <c r="G44" s="31">
        <v>1566.09</v>
      </c>
      <c r="H44" s="32">
        <v>0</v>
      </c>
      <c r="I44" s="32">
        <f>ROUND(1566.09*H44,P4)</f>
        <v>0</v>
      </c>
      <c r="J44" s="30" t="s">
        <v>118</v>
      </c>
      <c r="O44" s="33">
        <f>I44*0.21</f>
        <v>0</v>
      </c>
      <c r="P44">
        <v>3</v>
      </c>
    </row>
    <row r="45" spans="1:16" ht="187.2" x14ac:dyDescent="0.3">
      <c r="A45" s="27" t="s">
        <v>101</v>
      </c>
      <c r="B45" s="34"/>
      <c r="E45" s="29" t="s">
        <v>441</v>
      </c>
      <c r="J45" s="35"/>
    </row>
    <row r="46" spans="1:16" ht="28.8" x14ac:dyDescent="0.3">
      <c r="A46" s="27" t="s">
        <v>103</v>
      </c>
      <c r="B46" s="34"/>
      <c r="E46" s="36" t="s">
        <v>482</v>
      </c>
      <c r="J46" s="35"/>
    </row>
    <row r="47" spans="1:16" x14ac:dyDescent="0.3">
      <c r="A47" s="27" t="s">
        <v>103</v>
      </c>
      <c r="B47" s="34"/>
      <c r="E47" s="36" t="s">
        <v>483</v>
      </c>
      <c r="J47" s="35"/>
    </row>
    <row r="48" spans="1:16" ht="28.8" x14ac:dyDescent="0.3">
      <c r="A48" s="27" t="s">
        <v>105</v>
      </c>
      <c r="B48" s="34"/>
      <c r="E48" s="29" t="s">
        <v>447</v>
      </c>
      <c r="J48" s="35"/>
    </row>
    <row r="49" spans="1:16" x14ac:dyDescent="0.3">
      <c r="A49" s="27" t="s">
        <v>95</v>
      </c>
      <c r="B49" s="27">
        <v>6</v>
      </c>
      <c r="C49" s="28" t="s">
        <v>448</v>
      </c>
      <c r="D49" s="27" t="s">
        <v>129</v>
      </c>
      <c r="E49" s="29" t="s">
        <v>449</v>
      </c>
      <c r="F49" s="30" t="s">
        <v>248</v>
      </c>
      <c r="G49" s="31">
        <v>1566.09</v>
      </c>
      <c r="H49" s="32">
        <v>0</v>
      </c>
      <c r="I49" s="32">
        <f>ROUND(1566.09*H49,P4)</f>
        <v>0</v>
      </c>
      <c r="J49" s="30" t="s">
        <v>118</v>
      </c>
      <c r="O49" s="33">
        <f>I49*0.21</f>
        <v>0</v>
      </c>
      <c r="P49">
        <v>3</v>
      </c>
    </row>
    <row r="50" spans="1:16" ht="201.6" x14ac:dyDescent="0.3">
      <c r="A50" s="27" t="s">
        <v>101</v>
      </c>
      <c r="B50" s="34"/>
      <c r="E50" s="29" t="s">
        <v>450</v>
      </c>
      <c r="J50" s="35"/>
    </row>
    <row r="51" spans="1:16" ht="28.8" x14ac:dyDescent="0.3">
      <c r="A51" s="27" t="s">
        <v>103</v>
      </c>
      <c r="B51" s="34"/>
      <c r="E51" s="36" t="s">
        <v>482</v>
      </c>
      <c r="J51" s="35"/>
    </row>
    <row r="52" spans="1:16" x14ac:dyDescent="0.3">
      <c r="A52" s="27" t="s">
        <v>103</v>
      </c>
      <c r="B52" s="34"/>
      <c r="E52" s="36" t="s">
        <v>483</v>
      </c>
      <c r="J52" s="35"/>
    </row>
    <row r="53" spans="1:16" ht="43.2" x14ac:dyDescent="0.3">
      <c r="A53" s="27" t="s">
        <v>105</v>
      </c>
      <c r="B53" s="37"/>
      <c r="C53" s="38"/>
      <c r="D53" s="38"/>
      <c r="E53" s="29" t="s">
        <v>451</v>
      </c>
      <c r="F53" s="38"/>
      <c r="G53" s="38"/>
      <c r="H53" s="38"/>
      <c r="I53" s="38"/>
      <c r="J53"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21</v>
      </c>
      <c r="I3" s="16">
        <f>SUMIFS(I8:I28,A8:A28,"SD")</f>
        <v>0</v>
      </c>
      <c r="J3" s="12"/>
      <c r="O3">
        <v>0</v>
      </c>
      <c r="P3">
        <v>2</v>
      </c>
    </row>
    <row r="4" spans="1:16" x14ac:dyDescent="0.3">
      <c r="A4" s="2" t="s">
        <v>79</v>
      </c>
      <c r="B4" s="13" t="s">
        <v>80</v>
      </c>
      <c r="C4" s="43" t="s">
        <v>21</v>
      </c>
      <c r="D4" s="44"/>
      <c r="E4" s="14" t="s">
        <v>22</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SUMIFS(I9:I28,A9:A28,"P")</f>
        <v>0</v>
      </c>
      <c r="J8" s="26"/>
    </row>
    <row r="9" spans="1:16" x14ac:dyDescent="0.3">
      <c r="A9" s="27" t="s">
        <v>95</v>
      </c>
      <c r="B9" s="27">
        <v>1</v>
      </c>
      <c r="C9" s="28" t="s">
        <v>426</v>
      </c>
      <c r="D9" s="27" t="s">
        <v>129</v>
      </c>
      <c r="E9" s="29" t="s">
        <v>427</v>
      </c>
      <c r="F9" s="30" t="s">
        <v>229</v>
      </c>
      <c r="G9" s="31">
        <v>43.314</v>
      </c>
      <c r="H9" s="32">
        <v>0</v>
      </c>
      <c r="I9" s="32">
        <f>ROUND(43.314*H9,P4)</f>
        <v>0</v>
      </c>
      <c r="J9" s="30" t="s">
        <v>118</v>
      </c>
      <c r="O9" s="33">
        <f>I9*0.21</f>
        <v>0</v>
      </c>
      <c r="P9">
        <v>3</v>
      </c>
    </row>
    <row r="10" spans="1:16" ht="172.8" x14ac:dyDescent="0.3">
      <c r="A10" s="27" t="s">
        <v>101</v>
      </c>
      <c r="B10" s="34"/>
      <c r="E10" s="29" t="s">
        <v>437</v>
      </c>
      <c r="J10" s="35"/>
    </row>
    <row r="11" spans="1:16" ht="28.8" x14ac:dyDescent="0.3">
      <c r="A11" s="27" t="s">
        <v>103</v>
      </c>
      <c r="B11" s="34"/>
      <c r="E11" s="36" t="s">
        <v>484</v>
      </c>
      <c r="J11" s="35"/>
    </row>
    <row r="12" spans="1:16" x14ac:dyDescent="0.3">
      <c r="A12" s="27" t="s">
        <v>103</v>
      </c>
      <c r="B12" s="34"/>
      <c r="E12" s="36" t="s">
        <v>485</v>
      </c>
      <c r="J12" s="35"/>
    </row>
    <row r="13" spans="1:16" ht="374.4" x14ac:dyDescent="0.3">
      <c r="A13" s="27" t="s">
        <v>105</v>
      </c>
      <c r="B13" s="34"/>
      <c r="E13" s="29" t="s">
        <v>434</v>
      </c>
      <c r="J13" s="35"/>
    </row>
    <row r="14" spans="1:16" x14ac:dyDescent="0.3">
      <c r="A14" s="27" t="s">
        <v>95</v>
      </c>
      <c r="B14" s="27">
        <v>2</v>
      </c>
      <c r="C14" s="28" t="s">
        <v>435</v>
      </c>
      <c r="D14" s="27" t="s">
        <v>129</v>
      </c>
      <c r="E14" s="29" t="s">
        <v>436</v>
      </c>
      <c r="F14" s="30" t="s">
        <v>229</v>
      </c>
      <c r="G14" s="31">
        <v>43.314</v>
      </c>
      <c r="H14" s="32">
        <v>0</v>
      </c>
      <c r="I14" s="32">
        <f>ROUND(43.314*H14,P4)</f>
        <v>0</v>
      </c>
      <c r="J14" s="30" t="s">
        <v>118</v>
      </c>
      <c r="O14" s="33">
        <f>I14*0.21</f>
        <v>0</v>
      </c>
      <c r="P14">
        <v>3</v>
      </c>
    </row>
    <row r="15" spans="1:16" ht="172.8" x14ac:dyDescent="0.3">
      <c r="A15" s="27" t="s">
        <v>101</v>
      </c>
      <c r="B15" s="34"/>
      <c r="E15" s="29" t="s">
        <v>437</v>
      </c>
      <c r="J15" s="35"/>
    </row>
    <row r="16" spans="1:16" ht="28.8" x14ac:dyDescent="0.3">
      <c r="A16" s="27" t="s">
        <v>103</v>
      </c>
      <c r="B16" s="34"/>
      <c r="E16" s="36" t="s">
        <v>484</v>
      </c>
      <c r="J16" s="35"/>
    </row>
    <row r="17" spans="1:16" x14ac:dyDescent="0.3">
      <c r="A17" s="27" t="s">
        <v>103</v>
      </c>
      <c r="B17" s="34"/>
      <c r="E17" s="36" t="s">
        <v>485</v>
      </c>
      <c r="J17" s="35"/>
    </row>
    <row r="18" spans="1:16" ht="43.2" x14ac:dyDescent="0.3">
      <c r="A18" s="27" t="s">
        <v>105</v>
      </c>
      <c r="B18" s="34"/>
      <c r="E18" s="29" t="s">
        <v>438</v>
      </c>
      <c r="J18" s="35"/>
    </row>
    <row r="19" spans="1:16" x14ac:dyDescent="0.3">
      <c r="A19" s="27" t="s">
        <v>95</v>
      </c>
      <c r="B19" s="27">
        <v>3</v>
      </c>
      <c r="C19" s="28" t="s">
        <v>439</v>
      </c>
      <c r="D19" s="27" t="s">
        <v>129</v>
      </c>
      <c r="E19" s="29" t="s">
        <v>440</v>
      </c>
      <c r="F19" s="30" t="s">
        <v>248</v>
      </c>
      <c r="G19" s="31">
        <v>216.71799999999999</v>
      </c>
      <c r="H19" s="32">
        <v>0</v>
      </c>
      <c r="I19" s="32">
        <f>ROUND(216.718*H19,P4)</f>
        <v>0</v>
      </c>
      <c r="J19" s="30" t="s">
        <v>118</v>
      </c>
      <c r="O19" s="33">
        <f>I19*0.21</f>
        <v>0</v>
      </c>
      <c r="P19">
        <v>3</v>
      </c>
    </row>
    <row r="20" spans="1:16" ht="187.2" x14ac:dyDescent="0.3">
      <c r="A20" s="27" t="s">
        <v>101</v>
      </c>
      <c r="B20" s="34"/>
      <c r="E20" s="29" t="s">
        <v>441</v>
      </c>
      <c r="J20" s="35"/>
    </row>
    <row r="21" spans="1:16" ht="28.8" x14ac:dyDescent="0.3">
      <c r="A21" s="27" t="s">
        <v>103</v>
      </c>
      <c r="B21" s="34"/>
      <c r="E21" s="36" t="s">
        <v>486</v>
      </c>
      <c r="J21" s="35"/>
    </row>
    <row r="22" spans="1:16" x14ac:dyDescent="0.3">
      <c r="A22" s="27" t="s">
        <v>103</v>
      </c>
      <c r="B22" s="34"/>
      <c r="E22" s="36" t="s">
        <v>487</v>
      </c>
      <c r="J22" s="35"/>
    </row>
    <row r="23" spans="1:16" ht="28.8" x14ac:dyDescent="0.3">
      <c r="A23" s="27" t="s">
        <v>105</v>
      </c>
      <c r="B23" s="34"/>
      <c r="E23" s="29" t="s">
        <v>447</v>
      </c>
      <c r="J23" s="35"/>
    </row>
    <row r="24" spans="1:16" x14ac:dyDescent="0.3">
      <c r="A24" s="27" t="s">
        <v>95</v>
      </c>
      <c r="B24" s="27">
        <v>4</v>
      </c>
      <c r="C24" s="28" t="s">
        <v>448</v>
      </c>
      <c r="D24" s="27" t="s">
        <v>129</v>
      </c>
      <c r="E24" s="29" t="s">
        <v>449</v>
      </c>
      <c r="F24" s="30" t="s">
        <v>248</v>
      </c>
      <c r="G24" s="31">
        <v>216.71799999999999</v>
      </c>
      <c r="H24" s="32">
        <v>0</v>
      </c>
      <c r="I24" s="32">
        <f>ROUND(216.718*H24,P4)</f>
        <v>0</v>
      </c>
      <c r="J24" s="30" t="s">
        <v>118</v>
      </c>
      <c r="O24" s="33">
        <f>I24*0.21</f>
        <v>0</v>
      </c>
      <c r="P24">
        <v>3</v>
      </c>
    </row>
    <row r="25" spans="1:16" ht="201.6" x14ac:dyDescent="0.3">
      <c r="A25" s="27" t="s">
        <v>101</v>
      </c>
      <c r="B25" s="34"/>
      <c r="E25" s="29" t="s">
        <v>450</v>
      </c>
      <c r="J25" s="35"/>
    </row>
    <row r="26" spans="1:16" ht="28.8" x14ac:dyDescent="0.3">
      <c r="A26" s="27" t="s">
        <v>103</v>
      </c>
      <c r="B26" s="34"/>
      <c r="E26" s="36" t="s">
        <v>486</v>
      </c>
      <c r="J26" s="35"/>
    </row>
    <row r="27" spans="1:16" x14ac:dyDescent="0.3">
      <c r="A27" s="27" t="s">
        <v>103</v>
      </c>
      <c r="B27" s="34"/>
      <c r="E27" s="36" t="s">
        <v>487</v>
      </c>
      <c r="J27" s="35"/>
    </row>
    <row r="28" spans="1:16" ht="43.2" x14ac:dyDescent="0.3">
      <c r="A28" s="27" t="s">
        <v>105</v>
      </c>
      <c r="B28" s="37"/>
      <c r="C28" s="38"/>
      <c r="D28" s="38"/>
      <c r="E28" s="29" t="s">
        <v>451</v>
      </c>
      <c r="F28" s="38"/>
      <c r="G28" s="38"/>
      <c r="H28" s="38"/>
      <c r="I28" s="38"/>
      <c r="J28"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23</v>
      </c>
      <c r="I3" s="16">
        <f>SUMIFS(I8:I28,A8:A28,"SD")</f>
        <v>0</v>
      </c>
      <c r="J3" s="12"/>
      <c r="O3">
        <v>0</v>
      </c>
      <c r="P3">
        <v>2</v>
      </c>
    </row>
    <row r="4" spans="1:16" x14ac:dyDescent="0.3">
      <c r="A4" s="2" t="s">
        <v>79</v>
      </c>
      <c r="B4" s="13" t="s">
        <v>80</v>
      </c>
      <c r="C4" s="43" t="s">
        <v>23</v>
      </c>
      <c r="D4" s="44"/>
      <c r="E4" s="14" t="s">
        <v>24</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SUMIFS(I9:I28,A9:A28,"P")</f>
        <v>0</v>
      </c>
      <c r="J8" s="26"/>
    </row>
    <row r="9" spans="1:16" x14ac:dyDescent="0.3">
      <c r="A9" s="27" t="s">
        <v>95</v>
      </c>
      <c r="B9" s="27">
        <v>1</v>
      </c>
      <c r="C9" s="28" t="s">
        <v>426</v>
      </c>
      <c r="D9" s="27" t="s">
        <v>129</v>
      </c>
      <c r="E9" s="29" t="s">
        <v>427</v>
      </c>
      <c r="F9" s="30" t="s">
        <v>229</v>
      </c>
      <c r="G9" s="31">
        <v>391.94499999999999</v>
      </c>
      <c r="H9" s="32">
        <v>0</v>
      </c>
      <c r="I9" s="32">
        <f>ROUND(391.945*H9,P4)</f>
        <v>0</v>
      </c>
      <c r="J9" s="30" t="s">
        <v>118</v>
      </c>
      <c r="O9" s="33">
        <f>I9*0.21</f>
        <v>0</v>
      </c>
      <c r="P9">
        <v>3</v>
      </c>
    </row>
    <row r="10" spans="1:16" ht="172.8" x14ac:dyDescent="0.3">
      <c r="A10" s="27" t="s">
        <v>101</v>
      </c>
      <c r="B10" s="34"/>
      <c r="E10" s="29" t="s">
        <v>437</v>
      </c>
      <c r="J10" s="35"/>
    </row>
    <row r="11" spans="1:16" ht="28.8" x14ac:dyDescent="0.3">
      <c r="A11" s="27" t="s">
        <v>103</v>
      </c>
      <c r="B11" s="34"/>
      <c r="E11" s="36" t="s">
        <v>488</v>
      </c>
      <c r="J11" s="35"/>
    </row>
    <row r="12" spans="1:16" x14ac:dyDescent="0.3">
      <c r="A12" s="27" t="s">
        <v>103</v>
      </c>
      <c r="B12" s="34"/>
      <c r="E12" s="36" t="s">
        <v>489</v>
      </c>
      <c r="J12" s="35"/>
    </row>
    <row r="13" spans="1:16" ht="374.4" x14ac:dyDescent="0.3">
      <c r="A13" s="27" t="s">
        <v>105</v>
      </c>
      <c r="B13" s="34"/>
      <c r="E13" s="29" t="s">
        <v>434</v>
      </c>
      <c r="J13" s="35"/>
    </row>
    <row r="14" spans="1:16" x14ac:dyDescent="0.3">
      <c r="A14" s="27" t="s">
        <v>95</v>
      </c>
      <c r="B14" s="27">
        <v>2</v>
      </c>
      <c r="C14" s="28" t="s">
        <v>435</v>
      </c>
      <c r="D14" s="27" t="s">
        <v>129</v>
      </c>
      <c r="E14" s="29" t="s">
        <v>436</v>
      </c>
      <c r="F14" s="30" t="s">
        <v>229</v>
      </c>
      <c r="G14" s="31">
        <v>391.94499999999999</v>
      </c>
      <c r="H14" s="32">
        <v>0</v>
      </c>
      <c r="I14" s="32">
        <f>ROUND(391.945*H14,P4)</f>
        <v>0</v>
      </c>
      <c r="J14" s="30" t="s">
        <v>118</v>
      </c>
      <c r="O14" s="33">
        <f>I14*0.21</f>
        <v>0</v>
      </c>
      <c r="P14">
        <v>3</v>
      </c>
    </row>
    <row r="15" spans="1:16" ht="172.8" x14ac:dyDescent="0.3">
      <c r="A15" s="27" t="s">
        <v>101</v>
      </c>
      <c r="B15" s="34"/>
      <c r="E15" s="29" t="s">
        <v>437</v>
      </c>
      <c r="J15" s="35"/>
    </row>
    <row r="16" spans="1:16" ht="28.8" x14ac:dyDescent="0.3">
      <c r="A16" s="27" t="s">
        <v>103</v>
      </c>
      <c r="B16" s="34"/>
      <c r="E16" s="36" t="s">
        <v>488</v>
      </c>
      <c r="J16" s="35"/>
    </row>
    <row r="17" spans="1:16" x14ac:dyDescent="0.3">
      <c r="A17" s="27" t="s">
        <v>103</v>
      </c>
      <c r="B17" s="34"/>
      <c r="E17" s="36" t="s">
        <v>489</v>
      </c>
      <c r="J17" s="35"/>
    </row>
    <row r="18" spans="1:16" ht="43.2" x14ac:dyDescent="0.3">
      <c r="A18" s="27" t="s">
        <v>105</v>
      </c>
      <c r="B18" s="34"/>
      <c r="E18" s="29" t="s">
        <v>438</v>
      </c>
      <c r="J18" s="35"/>
    </row>
    <row r="19" spans="1:16" x14ac:dyDescent="0.3">
      <c r="A19" s="27" t="s">
        <v>95</v>
      </c>
      <c r="B19" s="27">
        <v>3</v>
      </c>
      <c r="C19" s="28" t="s">
        <v>439</v>
      </c>
      <c r="D19" s="27" t="s">
        <v>129</v>
      </c>
      <c r="E19" s="29" t="s">
        <v>440</v>
      </c>
      <c r="F19" s="30" t="s">
        <v>248</v>
      </c>
      <c r="G19" s="31">
        <v>1972.423</v>
      </c>
      <c r="H19" s="32">
        <v>0</v>
      </c>
      <c r="I19" s="32">
        <f>ROUND(1972.423*H19,P4)</f>
        <v>0</v>
      </c>
      <c r="J19" s="30" t="s">
        <v>118</v>
      </c>
      <c r="O19" s="33">
        <f>I19*0.21</f>
        <v>0</v>
      </c>
      <c r="P19">
        <v>3</v>
      </c>
    </row>
    <row r="20" spans="1:16" ht="187.2" x14ac:dyDescent="0.3">
      <c r="A20" s="27" t="s">
        <v>101</v>
      </c>
      <c r="B20" s="34"/>
      <c r="E20" s="29" t="s">
        <v>441</v>
      </c>
      <c r="J20" s="35"/>
    </row>
    <row r="21" spans="1:16" ht="28.8" x14ac:dyDescent="0.3">
      <c r="A21" s="27" t="s">
        <v>103</v>
      </c>
      <c r="B21" s="34"/>
      <c r="E21" s="36" t="s">
        <v>490</v>
      </c>
      <c r="J21" s="35"/>
    </row>
    <row r="22" spans="1:16" x14ac:dyDescent="0.3">
      <c r="A22" s="27" t="s">
        <v>103</v>
      </c>
      <c r="B22" s="34"/>
      <c r="E22" s="36" t="s">
        <v>491</v>
      </c>
      <c r="J22" s="35"/>
    </row>
    <row r="23" spans="1:16" ht="28.8" x14ac:dyDescent="0.3">
      <c r="A23" s="27" t="s">
        <v>105</v>
      </c>
      <c r="B23" s="34"/>
      <c r="E23" s="29" t="s">
        <v>447</v>
      </c>
      <c r="J23" s="35"/>
    </row>
    <row r="24" spans="1:16" x14ac:dyDescent="0.3">
      <c r="A24" s="27" t="s">
        <v>95</v>
      </c>
      <c r="B24" s="27">
        <v>4</v>
      </c>
      <c r="C24" s="28" t="s">
        <v>448</v>
      </c>
      <c r="D24" s="27" t="s">
        <v>129</v>
      </c>
      <c r="E24" s="29" t="s">
        <v>449</v>
      </c>
      <c r="F24" s="30" t="s">
        <v>248</v>
      </c>
      <c r="G24" s="31">
        <v>1972.423</v>
      </c>
      <c r="H24" s="32">
        <v>0</v>
      </c>
      <c r="I24" s="32">
        <f>ROUND(1972.423*H24,P4)</f>
        <v>0</v>
      </c>
      <c r="J24" s="30" t="s">
        <v>118</v>
      </c>
      <c r="O24" s="33">
        <f>I24*0.21</f>
        <v>0</v>
      </c>
      <c r="P24">
        <v>3</v>
      </c>
    </row>
    <row r="25" spans="1:16" ht="201.6" x14ac:dyDescent="0.3">
      <c r="A25" s="27" t="s">
        <v>101</v>
      </c>
      <c r="B25" s="34"/>
      <c r="E25" s="29" t="s">
        <v>450</v>
      </c>
      <c r="J25" s="35"/>
    </row>
    <row r="26" spans="1:16" ht="28.8" x14ac:dyDescent="0.3">
      <c r="A26" s="27" t="s">
        <v>103</v>
      </c>
      <c r="B26" s="34"/>
      <c r="E26" s="36" t="s">
        <v>490</v>
      </c>
      <c r="J26" s="35"/>
    </row>
    <row r="27" spans="1:16" x14ac:dyDescent="0.3">
      <c r="A27" s="27" t="s">
        <v>103</v>
      </c>
      <c r="B27" s="34"/>
      <c r="E27" s="36" t="s">
        <v>491</v>
      </c>
      <c r="J27" s="35"/>
    </row>
    <row r="28" spans="1:16" ht="43.2" x14ac:dyDescent="0.3">
      <c r="A28" s="27" t="s">
        <v>105</v>
      </c>
      <c r="B28" s="37"/>
      <c r="C28" s="38"/>
      <c r="D28" s="38"/>
      <c r="E28" s="29" t="s">
        <v>451</v>
      </c>
      <c r="F28" s="38"/>
      <c r="G28" s="38"/>
      <c r="H28" s="38"/>
      <c r="I28" s="38"/>
      <c r="J28"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09"/>
  <sheetViews>
    <sheetView tabSelected="1" topLeftCell="B606"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25</v>
      </c>
      <c r="I3" s="16">
        <f>SUMIFS(I9:I909,A9:A909,"SD")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25</v>
      </c>
      <c r="D5" s="44"/>
      <c r="E5" s="14" t="s">
        <v>26</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SUMIFS(I10:I219,A10:A219,"P")</f>
        <v>0</v>
      </c>
      <c r="J9" s="26"/>
    </row>
    <row r="10" spans="1:16" x14ac:dyDescent="0.3">
      <c r="A10" s="27" t="s">
        <v>95</v>
      </c>
      <c r="B10" s="27">
        <v>1</v>
      </c>
      <c r="C10" s="28" t="s">
        <v>496</v>
      </c>
      <c r="D10" s="27" t="s">
        <v>129</v>
      </c>
      <c r="E10" s="29" t="s">
        <v>497</v>
      </c>
      <c r="F10" s="30" t="s">
        <v>229</v>
      </c>
      <c r="G10" s="31">
        <v>269.77699999999999</v>
      </c>
      <c r="H10" s="32">
        <v>0</v>
      </c>
      <c r="I10" s="32">
        <f>ROUND(4.482*H10,P4)+ROUND(112.402*H10,P4)+ROUND(152.893*H10,P4)</f>
        <v>0</v>
      </c>
      <c r="J10" s="30" t="s">
        <v>118</v>
      </c>
      <c r="O10" s="33">
        <f>I10*0.21</f>
        <v>0</v>
      </c>
      <c r="P10">
        <v>3</v>
      </c>
    </row>
    <row r="11" spans="1:16" ht="172.8" x14ac:dyDescent="0.3">
      <c r="A11" s="27" t="s">
        <v>101</v>
      </c>
      <c r="B11" s="34"/>
      <c r="E11" s="29" t="s">
        <v>498</v>
      </c>
      <c r="J11" s="35"/>
    </row>
    <row r="12" spans="1:16" ht="28.8" x14ac:dyDescent="0.3">
      <c r="A12" s="27" t="s">
        <v>103</v>
      </c>
      <c r="B12" s="34"/>
      <c r="E12" s="36" t="s">
        <v>499</v>
      </c>
      <c r="J12" s="35"/>
    </row>
    <row r="13" spans="1:16" ht="28.8" x14ac:dyDescent="0.3">
      <c r="A13" s="27" t="s">
        <v>103</v>
      </c>
      <c r="B13" s="34"/>
      <c r="E13" s="36" t="s">
        <v>500</v>
      </c>
      <c r="J13" s="35"/>
    </row>
    <row r="14" spans="1:16" ht="28.8" x14ac:dyDescent="0.3">
      <c r="A14" s="27" t="s">
        <v>103</v>
      </c>
      <c r="B14" s="34"/>
      <c r="E14" s="36" t="s">
        <v>501</v>
      </c>
      <c r="J14" s="35"/>
    </row>
    <row r="15" spans="1:16" ht="28.8" x14ac:dyDescent="0.3">
      <c r="A15" s="27" t="s">
        <v>103</v>
      </c>
      <c r="B15" s="34"/>
      <c r="E15" s="36" t="s">
        <v>502</v>
      </c>
      <c r="J15" s="35"/>
    </row>
    <row r="16" spans="1:16" ht="28.8" x14ac:dyDescent="0.3">
      <c r="A16" s="27" t="s">
        <v>103</v>
      </c>
      <c r="B16" s="34"/>
      <c r="E16" s="36" t="s">
        <v>503</v>
      </c>
      <c r="J16" s="35"/>
    </row>
    <row r="17" spans="1:10" ht="28.8" x14ac:dyDescent="0.3">
      <c r="A17" s="27" t="s">
        <v>103</v>
      </c>
      <c r="B17" s="34"/>
      <c r="E17" s="36" t="s">
        <v>504</v>
      </c>
      <c r="J17" s="35"/>
    </row>
    <row r="18" spans="1:10" ht="28.8" x14ac:dyDescent="0.3">
      <c r="A18" s="27" t="s">
        <v>103</v>
      </c>
      <c r="B18" s="34"/>
      <c r="E18" s="36" t="s">
        <v>505</v>
      </c>
      <c r="J18" s="35"/>
    </row>
    <row r="19" spans="1:10" ht="28.8" x14ac:dyDescent="0.3">
      <c r="A19" s="27" t="s">
        <v>103</v>
      </c>
      <c r="B19" s="34"/>
      <c r="E19" s="36" t="s">
        <v>506</v>
      </c>
      <c r="J19" s="35"/>
    </row>
    <row r="20" spans="1:10" ht="28.8" x14ac:dyDescent="0.3">
      <c r="A20" s="27" t="s">
        <v>103</v>
      </c>
      <c r="B20" s="34"/>
      <c r="E20" s="36" t="s">
        <v>507</v>
      </c>
      <c r="J20" s="35"/>
    </row>
    <row r="21" spans="1:10" ht="28.8" x14ac:dyDescent="0.3">
      <c r="A21" s="27" t="s">
        <v>103</v>
      </c>
      <c r="B21" s="34"/>
      <c r="E21" s="36" t="s">
        <v>508</v>
      </c>
      <c r="J21" s="35"/>
    </row>
    <row r="22" spans="1:10" x14ac:dyDescent="0.3">
      <c r="A22" s="27" t="s">
        <v>103</v>
      </c>
      <c r="B22" s="34"/>
      <c r="E22" s="36" t="s">
        <v>509</v>
      </c>
      <c r="J22" s="35"/>
    </row>
    <row r="23" spans="1:10" ht="28.8" x14ac:dyDescent="0.3">
      <c r="A23" s="27" t="s">
        <v>103</v>
      </c>
      <c r="B23" s="34"/>
      <c r="E23" s="36" t="s">
        <v>510</v>
      </c>
      <c r="J23" s="35"/>
    </row>
    <row r="24" spans="1:10" ht="28.8" x14ac:dyDescent="0.3">
      <c r="A24" s="27" t="s">
        <v>103</v>
      </c>
      <c r="B24" s="34"/>
      <c r="E24" s="36" t="s">
        <v>511</v>
      </c>
      <c r="J24" s="35"/>
    </row>
    <row r="25" spans="1:10" ht="28.8" x14ac:dyDescent="0.3">
      <c r="A25" s="27" t="s">
        <v>103</v>
      </c>
      <c r="B25" s="34"/>
      <c r="E25" s="36" t="s">
        <v>512</v>
      </c>
      <c r="J25" s="35"/>
    </row>
    <row r="26" spans="1:10" ht="28.8" x14ac:dyDescent="0.3">
      <c r="A26" s="27" t="s">
        <v>103</v>
      </c>
      <c r="B26" s="34"/>
      <c r="E26" s="36" t="s">
        <v>513</v>
      </c>
      <c r="J26" s="35"/>
    </row>
    <row r="27" spans="1:10" ht="28.8" x14ac:dyDescent="0.3">
      <c r="A27" s="27" t="s">
        <v>103</v>
      </c>
      <c r="B27" s="34"/>
      <c r="E27" s="36" t="s">
        <v>514</v>
      </c>
      <c r="J27" s="35"/>
    </row>
    <row r="28" spans="1:10" ht="28.8" x14ac:dyDescent="0.3">
      <c r="A28" s="27" t="s">
        <v>103</v>
      </c>
      <c r="B28" s="34"/>
      <c r="E28" s="36" t="s">
        <v>515</v>
      </c>
      <c r="J28" s="35"/>
    </row>
    <row r="29" spans="1:10" ht="28.8" x14ac:dyDescent="0.3">
      <c r="A29" s="27" t="s">
        <v>103</v>
      </c>
      <c r="B29" s="34"/>
      <c r="E29" s="36" t="s">
        <v>516</v>
      </c>
      <c r="J29" s="35"/>
    </row>
    <row r="30" spans="1:10" ht="28.8" x14ac:dyDescent="0.3">
      <c r="A30" s="27" t="s">
        <v>103</v>
      </c>
      <c r="B30" s="34"/>
      <c r="E30" s="36" t="s">
        <v>517</v>
      </c>
      <c r="J30" s="35"/>
    </row>
    <row r="31" spans="1:10" ht="28.8" x14ac:dyDescent="0.3">
      <c r="A31" s="27" t="s">
        <v>103</v>
      </c>
      <c r="B31" s="34"/>
      <c r="E31" s="36" t="s">
        <v>518</v>
      </c>
      <c r="J31" s="35"/>
    </row>
    <row r="32" spans="1:10" ht="28.8" x14ac:dyDescent="0.3">
      <c r="A32" s="27" t="s">
        <v>103</v>
      </c>
      <c r="B32" s="34"/>
      <c r="E32" s="36" t="s">
        <v>519</v>
      </c>
      <c r="J32" s="35"/>
    </row>
    <row r="33" spans="1:10" ht="28.8" x14ac:dyDescent="0.3">
      <c r="A33" s="27" t="s">
        <v>103</v>
      </c>
      <c r="B33" s="34"/>
      <c r="E33" s="36" t="s">
        <v>520</v>
      </c>
      <c r="J33" s="35"/>
    </row>
    <row r="34" spans="1:10" ht="28.8" x14ac:dyDescent="0.3">
      <c r="A34" s="27" t="s">
        <v>103</v>
      </c>
      <c r="B34" s="34"/>
      <c r="E34" s="36" t="s">
        <v>521</v>
      </c>
      <c r="J34" s="35"/>
    </row>
    <row r="35" spans="1:10" ht="28.8" x14ac:dyDescent="0.3">
      <c r="A35" s="27" t="s">
        <v>103</v>
      </c>
      <c r="B35" s="34"/>
      <c r="E35" s="36" t="s">
        <v>522</v>
      </c>
      <c r="J35" s="35"/>
    </row>
    <row r="36" spans="1:10" ht="28.8" x14ac:dyDescent="0.3">
      <c r="A36" s="27" t="s">
        <v>103</v>
      </c>
      <c r="B36" s="34"/>
      <c r="E36" s="36" t="s">
        <v>523</v>
      </c>
      <c r="J36" s="35"/>
    </row>
    <row r="37" spans="1:10" ht="28.8" x14ac:dyDescent="0.3">
      <c r="A37" s="27" t="s">
        <v>103</v>
      </c>
      <c r="B37" s="34"/>
      <c r="E37" s="36" t="s">
        <v>524</v>
      </c>
      <c r="J37" s="35"/>
    </row>
    <row r="38" spans="1:10" ht="28.8" x14ac:dyDescent="0.3">
      <c r="A38" s="27" t="s">
        <v>103</v>
      </c>
      <c r="B38" s="34"/>
      <c r="E38" s="36" t="s">
        <v>525</v>
      </c>
      <c r="J38" s="35"/>
    </row>
    <row r="39" spans="1:10" ht="28.8" x14ac:dyDescent="0.3">
      <c r="A39" s="27" t="s">
        <v>103</v>
      </c>
      <c r="B39" s="34"/>
      <c r="E39" s="36" t="s">
        <v>526</v>
      </c>
      <c r="J39" s="35"/>
    </row>
    <row r="40" spans="1:10" ht="28.8" x14ac:dyDescent="0.3">
      <c r="A40" s="27" t="s">
        <v>103</v>
      </c>
      <c r="B40" s="34"/>
      <c r="E40" s="36" t="s">
        <v>527</v>
      </c>
      <c r="J40" s="35"/>
    </row>
    <row r="41" spans="1:10" ht="28.8" x14ac:dyDescent="0.3">
      <c r="A41" s="27" t="s">
        <v>103</v>
      </c>
      <c r="B41" s="34"/>
      <c r="E41" s="36" t="s">
        <v>528</v>
      </c>
      <c r="J41" s="35"/>
    </row>
    <row r="42" spans="1:10" ht="28.8" x14ac:dyDescent="0.3">
      <c r="A42" s="27" t="s">
        <v>103</v>
      </c>
      <c r="B42" s="34"/>
      <c r="E42" s="36" t="s">
        <v>529</v>
      </c>
      <c r="J42" s="35"/>
    </row>
    <row r="43" spans="1:10" ht="28.8" x14ac:dyDescent="0.3">
      <c r="A43" s="27" t="s">
        <v>103</v>
      </c>
      <c r="B43" s="34"/>
      <c r="E43" s="36" t="s">
        <v>530</v>
      </c>
      <c r="J43" s="35"/>
    </row>
    <row r="44" spans="1:10" ht="28.8" x14ac:dyDescent="0.3">
      <c r="A44" s="27" t="s">
        <v>103</v>
      </c>
      <c r="B44" s="34"/>
      <c r="E44" s="36" t="s">
        <v>531</v>
      </c>
      <c r="J44" s="35"/>
    </row>
    <row r="45" spans="1:10" ht="28.8" x14ac:dyDescent="0.3">
      <c r="A45" s="27" t="s">
        <v>103</v>
      </c>
      <c r="B45" s="34"/>
      <c r="E45" s="36" t="s">
        <v>532</v>
      </c>
      <c r="J45" s="35"/>
    </row>
    <row r="46" spans="1:10" ht="28.8" x14ac:dyDescent="0.3">
      <c r="A46" s="27" t="s">
        <v>103</v>
      </c>
      <c r="B46" s="34"/>
      <c r="E46" s="36" t="s">
        <v>533</v>
      </c>
      <c r="J46" s="35"/>
    </row>
    <row r="47" spans="1:10" ht="28.8" x14ac:dyDescent="0.3">
      <c r="A47" s="27" t="s">
        <v>103</v>
      </c>
      <c r="B47" s="34"/>
      <c r="E47" s="36" t="s">
        <v>534</v>
      </c>
      <c r="J47" s="35"/>
    </row>
    <row r="48" spans="1:10" ht="28.8" x14ac:dyDescent="0.3">
      <c r="A48" s="27" t="s">
        <v>103</v>
      </c>
      <c r="B48" s="34"/>
      <c r="E48" s="36" t="s">
        <v>535</v>
      </c>
      <c r="J48" s="35"/>
    </row>
    <row r="49" spans="1:10" ht="28.8" x14ac:dyDescent="0.3">
      <c r="A49" s="27" t="s">
        <v>103</v>
      </c>
      <c r="B49" s="34"/>
      <c r="E49" s="36" t="s">
        <v>536</v>
      </c>
      <c r="J49" s="35"/>
    </row>
    <row r="50" spans="1:10" ht="28.8" x14ac:dyDescent="0.3">
      <c r="A50" s="27" t="s">
        <v>103</v>
      </c>
      <c r="B50" s="34"/>
      <c r="E50" s="36" t="s">
        <v>537</v>
      </c>
      <c r="J50" s="35"/>
    </row>
    <row r="51" spans="1:10" ht="28.8" x14ac:dyDescent="0.3">
      <c r="A51" s="27" t="s">
        <v>103</v>
      </c>
      <c r="B51" s="34"/>
      <c r="E51" s="36" t="s">
        <v>538</v>
      </c>
      <c r="J51" s="35"/>
    </row>
    <row r="52" spans="1:10" ht="28.8" x14ac:dyDescent="0.3">
      <c r="A52" s="27" t="s">
        <v>103</v>
      </c>
      <c r="B52" s="34"/>
      <c r="E52" s="36" t="s">
        <v>539</v>
      </c>
      <c r="J52" s="35"/>
    </row>
    <row r="53" spans="1:10" ht="28.8" x14ac:dyDescent="0.3">
      <c r="A53" s="27" t="s">
        <v>103</v>
      </c>
      <c r="B53" s="34"/>
      <c r="E53" s="36" t="s">
        <v>540</v>
      </c>
      <c r="J53" s="35"/>
    </row>
    <row r="54" spans="1:10" ht="28.8" x14ac:dyDescent="0.3">
      <c r="A54" s="27" t="s">
        <v>103</v>
      </c>
      <c r="B54" s="34"/>
      <c r="E54" s="36" t="s">
        <v>541</v>
      </c>
      <c r="J54" s="35"/>
    </row>
    <row r="55" spans="1:10" ht="28.8" x14ac:dyDescent="0.3">
      <c r="A55" s="27" t="s">
        <v>103</v>
      </c>
      <c r="B55" s="34"/>
      <c r="E55" s="36" t="s">
        <v>542</v>
      </c>
      <c r="J55" s="35"/>
    </row>
    <row r="56" spans="1:10" ht="28.8" x14ac:dyDescent="0.3">
      <c r="A56" s="27" t="s">
        <v>103</v>
      </c>
      <c r="B56" s="34"/>
      <c r="E56" s="36" t="s">
        <v>543</v>
      </c>
      <c r="J56" s="35"/>
    </row>
    <row r="57" spans="1:10" ht="28.8" x14ac:dyDescent="0.3">
      <c r="A57" s="27" t="s">
        <v>103</v>
      </c>
      <c r="B57" s="34"/>
      <c r="E57" s="36" t="s">
        <v>544</v>
      </c>
      <c r="J57" s="35"/>
    </row>
    <row r="58" spans="1:10" ht="28.8" x14ac:dyDescent="0.3">
      <c r="A58" s="27" t="s">
        <v>103</v>
      </c>
      <c r="B58" s="34"/>
      <c r="E58" s="36" t="s">
        <v>545</v>
      </c>
      <c r="J58" s="35"/>
    </row>
    <row r="59" spans="1:10" ht="28.8" x14ac:dyDescent="0.3">
      <c r="A59" s="27" t="s">
        <v>103</v>
      </c>
      <c r="B59" s="34"/>
      <c r="E59" s="36" t="s">
        <v>546</v>
      </c>
      <c r="J59" s="35"/>
    </row>
    <row r="60" spans="1:10" ht="28.8" x14ac:dyDescent="0.3">
      <c r="A60" s="27" t="s">
        <v>103</v>
      </c>
      <c r="B60" s="34"/>
      <c r="E60" s="36" t="s">
        <v>547</v>
      </c>
      <c r="J60" s="35"/>
    </row>
    <row r="61" spans="1:10" x14ac:dyDescent="0.3">
      <c r="A61" s="27" t="s">
        <v>103</v>
      </c>
      <c r="B61" s="34"/>
      <c r="E61" s="36" t="s">
        <v>548</v>
      </c>
      <c r="J61" s="35"/>
    </row>
    <row r="62" spans="1:10" ht="28.8" x14ac:dyDescent="0.3">
      <c r="A62" s="27" t="s">
        <v>103</v>
      </c>
      <c r="B62" s="34"/>
      <c r="E62" s="36" t="s">
        <v>549</v>
      </c>
      <c r="J62" s="35"/>
    </row>
    <row r="63" spans="1:10" ht="28.8" x14ac:dyDescent="0.3">
      <c r="A63" s="27" t="s">
        <v>103</v>
      </c>
      <c r="B63" s="34"/>
      <c r="E63" s="36" t="s">
        <v>550</v>
      </c>
      <c r="J63" s="35"/>
    </row>
    <row r="64" spans="1:10" ht="28.8" x14ac:dyDescent="0.3">
      <c r="A64" s="27" t="s">
        <v>103</v>
      </c>
      <c r="B64" s="34"/>
      <c r="E64" s="36" t="s">
        <v>551</v>
      </c>
      <c r="J64" s="35"/>
    </row>
    <row r="65" spans="1:10" ht="28.8" x14ac:dyDescent="0.3">
      <c r="A65" s="27" t="s">
        <v>103</v>
      </c>
      <c r="B65" s="34"/>
      <c r="E65" s="36" t="s">
        <v>552</v>
      </c>
      <c r="J65" s="35"/>
    </row>
    <row r="66" spans="1:10" ht="28.8" x14ac:dyDescent="0.3">
      <c r="A66" s="27" t="s">
        <v>103</v>
      </c>
      <c r="B66" s="34"/>
      <c r="E66" s="36" t="s">
        <v>553</v>
      </c>
      <c r="J66" s="35"/>
    </row>
    <row r="67" spans="1:10" ht="28.8" x14ac:dyDescent="0.3">
      <c r="A67" s="27" t="s">
        <v>103</v>
      </c>
      <c r="B67" s="34"/>
      <c r="E67" s="36" t="s">
        <v>554</v>
      </c>
      <c r="J67" s="35"/>
    </row>
    <row r="68" spans="1:10" ht="28.8" x14ac:dyDescent="0.3">
      <c r="A68" s="27" t="s">
        <v>103</v>
      </c>
      <c r="B68" s="34"/>
      <c r="E68" s="36" t="s">
        <v>555</v>
      </c>
      <c r="J68" s="35"/>
    </row>
    <row r="69" spans="1:10" ht="28.8" x14ac:dyDescent="0.3">
      <c r="A69" s="27" t="s">
        <v>103</v>
      </c>
      <c r="B69" s="34"/>
      <c r="E69" s="36" t="s">
        <v>556</v>
      </c>
      <c r="J69" s="35"/>
    </row>
    <row r="70" spans="1:10" ht="28.8" x14ac:dyDescent="0.3">
      <c r="A70" s="27" t="s">
        <v>103</v>
      </c>
      <c r="B70" s="34"/>
      <c r="E70" s="36" t="s">
        <v>557</v>
      </c>
      <c r="J70" s="35"/>
    </row>
    <row r="71" spans="1:10" ht="28.8" x14ac:dyDescent="0.3">
      <c r="A71" s="27" t="s">
        <v>103</v>
      </c>
      <c r="B71" s="34"/>
      <c r="E71" s="36" t="s">
        <v>558</v>
      </c>
      <c r="J71" s="35"/>
    </row>
    <row r="72" spans="1:10" ht="28.8" x14ac:dyDescent="0.3">
      <c r="A72" s="27" t="s">
        <v>103</v>
      </c>
      <c r="B72" s="34"/>
      <c r="E72" s="36" t="s">
        <v>559</v>
      </c>
      <c r="J72" s="35"/>
    </row>
    <row r="73" spans="1:10" ht="28.8" x14ac:dyDescent="0.3">
      <c r="A73" s="27" t="s">
        <v>103</v>
      </c>
      <c r="B73" s="34"/>
      <c r="E73" s="36" t="s">
        <v>560</v>
      </c>
      <c r="J73" s="35"/>
    </row>
    <row r="74" spans="1:10" ht="28.8" x14ac:dyDescent="0.3">
      <c r="A74" s="27" t="s">
        <v>103</v>
      </c>
      <c r="B74" s="34"/>
      <c r="E74" s="36" t="s">
        <v>561</v>
      </c>
      <c r="J74" s="35"/>
    </row>
    <row r="75" spans="1:10" ht="28.8" x14ac:dyDescent="0.3">
      <c r="A75" s="27" t="s">
        <v>103</v>
      </c>
      <c r="B75" s="34"/>
      <c r="E75" s="36" t="s">
        <v>562</v>
      </c>
      <c r="J75" s="35"/>
    </row>
    <row r="76" spans="1:10" ht="28.8" x14ac:dyDescent="0.3">
      <c r="A76" s="27" t="s">
        <v>103</v>
      </c>
      <c r="B76" s="34"/>
      <c r="E76" s="36" t="s">
        <v>563</v>
      </c>
      <c r="J76" s="35"/>
    </row>
    <row r="77" spans="1:10" ht="28.8" x14ac:dyDescent="0.3">
      <c r="A77" s="27" t="s">
        <v>103</v>
      </c>
      <c r="B77" s="34"/>
      <c r="E77" s="36" t="s">
        <v>564</v>
      </c>
      <c r="J77" s="35"/>
    </row>
    <row r="78" spans="1:10" ht="28.8" x14ac:dyDescent="0.3">
      <c r="A78" s="27" t="s">
        <v>103</v>
      </c>
      <c r="B78" s="34"/>
      <c r="E78" s="36" t="s">
        <v>565</v>
      </c>
      <c r="J78" s="35"/>
    </row>
    <row r="79" spans="1:10" ht="28.8" x14ac:dyDescent="0.3">
      <c r="A79" s="27" t="s">
        <v>103</v>
      </c>
      <c r="B79" s="34"/>
      <c r="E79" s="36" t="s">
        <v>566</v>
      </c>
      <c r="J79" s="35"/>
    </row>
    <row r="80" spans="1:10" ht="28.8" x14ac:dyDescent="0.3">
      <c r="A80" s="27" t="s">
        <v>103</v>
      </c>
      <c r="B80" s="34"/>
      <c r="E80" s="36" t="s">
        <v>567</v>
      </c>
      <c r="J80" s="35"/>
    </row>
    <row r="81" spans="1:16" ht="28.8" x14ac:dyDescent="0.3">
      <c r="A81" s="27" t="s">
        <v>103</v>
      </c>
      <c r="B81" s="34"/>
      <c r="E81" s="36" t="s">
        <v>568</v>
      </c>
      <c r="J81" s="35"/>
    </row>
    <row r="82" spans="1:16" ht="28.8" x14ac:dyDescent="0.3">
      <c r="A82" s="27" t="s">
        <v>103</v>
      </c>
      <c r="B82" s="34"/>
      <c r="E82" s="36" t="s">
        <v>569</v>
      </c>
      <c r="J82" s="35"/>
    </row>
    <row r="83" spans="1:16" ht="28.8" x14ac:dyDescent="0.3">
      <c r="A83" s="27" t="s">
        <v>103</v>
      </c>
      <c r="B83" s="34"/>
      <c r="E83" s="36" t="s">
        <v>570</v>
      </c>
      <c r="J83" s="35"/>
    </row>
    <row r="84" spans="1:16" ht="28.8" x14ac:dyDescent="0.3">
      <c r="A84" s="27" t="s">
        <v>103</v>
      </c>
      <c r="B84" s="34"/>
      <c r="E84" s="36" t="s">
        <v>571</v>
      </c>
      <c r="J84" s="35"/>
    </row>
    <row r="85" spans="1:16" ht="28.8" x14ac:dyDescent="0.3">
      <c r="A85" s="27" t="s">
        <v>103</v>
      </c>
      <c r="B85" s="34"/>
      <c r="E85" s="36" t="s">
        <v>572</v>
      </c>
      <c r="J85" s="35"/>
    </row>
    <row r="86" spans="1:16" ht="28.8" x14ac:dyDescent="0.3">
      <c r="A86" s="27" t="s">
        <v>103</v>
      </c>
      <c r="B86" s="34"/>
      <c r="E86" s="36" t="s">
        <v>573</v>
      </c>
      <c r="J86" s="35"/>
    </row>
    <row r="87" spans="1:16" x14ac:dyDescent="0.3">
      <c r="A87" s="27" t="s">
        <v>103</v>
      </c>
      <c r="B87" s="34"/>
      <c r="E87" s="36" t="s">
        <v>574</v>
      </c>
      <c r="J87" s="35"/>
    </row>
    <row r="88" spans="1:16" ht="374.4" x14ac:dyDescent="0.3">
      <c r="A88" s="27" t="s">
        <v>105</v>
      </c>
      <c r="B88" s="34"/>
      <c r="E88" s="29" t="s">
        <v>434</v>
      </c>
      <c r="J88" s="35"/>
    </row>
    <row r="89" spans="1:16" x14ac:dyDescent="0.3">
      <c r="A89" s="27" t="s">
        <v>95</v>
      </c>
      <c r="B89" s="27">
        <v>2</v>
      </c>
      <c r="C89" s="28" t="s">
        <v>575</v>
      </c>
      <c r="D89" s="27" t="s">
        <v>129</v>
      </c>
      <c r="E89" s="29" t="s">
        <v>576</v>
      </c>
      <c r="F89" s="30" t="s">
        <v>229</v>
      </c>
      <c r="G89" s="31">
        <v>11.778</v>
      </c>
      <c r="H89" s="32">
        <v>0</v>
      </c>
      <c r="I89" s="32">
        <f>ROUND(7.96*H89,P4)+ROUND(3.818*H89,P4)</f>
        <v>0</v>
      </c>
      <c r="J89" s="30" t="s">
        <v>118</v>
      </c>
      <c r="O89" s="33">
        <f>I89*0.21</f>
        <v>0</v>
      </c>
      <c r="P89">
        <v>3</v>
      </c>
    </row>
    <row r="90" spans="1:16" ht="129.6" x14ac:dyDescent="0.3">
      <c r="A90" s="27" t="s">
        <v>101</v>
      </c>
      <c r="B90" s="34"/>
      <c r="E90" s="29" t="s">
        <v>577</v>
      </c>
      <c r="J90" s="35"/>
    </row>
    <row r="91" spans="1:16" ht="28.8" x14ac:dyDescent="0.3">
      <c r="A91" s="27" t="s">
        <v>103</v>
      </c>
      <c r="B91" s="34"/>
      <c r="E91" s="36" t="s">
        <v>578</v>
      </c>
      <c r="J91" s="35"/>
    </row>
    <row r="92" spans="1:16" ht="28.8" x14ac:dyDescent="0.3">
      <c r="A92" s="27" t="s">
        <v>103</v>
      </c>
      <c r="B92" s="34"/>
      <c r="E92" s="36" t="s">
        <v>579</v>
      </c>
      <c r="J92" s="35"/>
    </row>
    <row r="93" spans="1:16" ht="28.8" x14ac:dyDescent="0.3">
      <c r="A93" s="27" t="s">
        <v>103</v>
      </c>
      <c r="B93" s="34"/>
      <c r="E93" s="36" t="s">
        <v>580</v>
      </c>
      <c r="J93" s="35"/>
    </row>
    <row r="94" spans="1:16" ht="28.8" x14ac:dyDescent="0.3">
      <c r="A94" s="27" t="s">
        <v>103</v>
      </c>
      <c r="B94" s="34"/>
      <c r="E94" s="36" t="s">
        <v>581</v>
      </c>
      <c r="J94" s="35"/>
    </row>
    <row r="95" spans="1:16" ht="28.8" x14ac:dyDescent="0.3">
      <c r="A95" s="27" t="s">
        <v>103</v>
      </c>
      <c r="B95" s="34"/>
      <c r="E95" s="36" t="s">
        <v>582</v>
      </c>
      <c r="J95" s="35"/>
    </row>
    <row r="96" spans="1:16" ht="28.8" x14ac:dyDescent="0.3">
      <c r="A96" s="27" t="s">
        <v>103</v>
      </c>
      <c r="B96" s="34"/>
      <c r="E96" s="36" t="s">
        <v>583</v>
      </c>
      <c r="J96" s="35"/>
    </row>
    <row r="97" spans="1:16" ht="28.8" x14ac:dyDescent="0.3">
      <c r="A97" s="27" t="s">
        <v>103</v>
      </c>
      <c r="B97" s="34"/>
      <c r="E97" s="36" t="s">
        <v>584</v>
      </c>
      <c r="J97" s="35"/>
    </row>
    <row r="98" spans="1:16" x14ac:dyDescent="0.3">
      <c r="A98" s="27" t="s">
        <v>103</v>
      </c>
      <c r="B98" s="34"/>
      <c r="E98" s="36" t="s">
        <v>585</v>
      </c>
      <c r="J98" s="35"/>
    </row>
    <row r="99" spans="1:16" ht="28.8" x14ac:dyDescent="0.3">
      <c r="A99" s="27" t="s">
        <v>103</v>
      </c>
      <c r="B99" s="34"/>
      <c r="E99" s="36" t="s">
        <v>586</v>
      </c>
      <c r="J99" s="35"/>
    </row>
    <row r="100" spans="1:16" ht="28.8" x14ac:dyDescent="0.3">
      <c r="A100" s="27" t="s">
        <v>103</v>
      </c>
      <c r="B100" s="34"/>
      <c r="E100" s="36" t="s">
        <v>587</v>
      </c>
      <c r="J100" s="35"/>
    </row>
    <row r="101" spans="1:16" ht="28.8" x14ac:dyDescent="0.3">
      <c r="A101" s="27" t="s">
        <v>103</v>
      </c>
      <c r="B101" s="34"/>
      <c r="E101" s="36" t="s">
        <v>588</v>
      </c>
      <c r="J101" s="35"/>
    </row>
    <row r="102" spans="1:16" x14ac:dyDescent="0.3">
      <c r="A102" s="27" t="s">
        <v>103</v>
      </c>
      <c r="B102" s="34"/>
      <c r="E102" s="36" t="s">
        <v>589</v>
      </c>
      <c r="J102" s="35"/>
    </row>
    <row r="103" spans="1:16" ht="388.8" x14ac:dyDescent="0.3">
      <c r="A103" s="27" t="s">
        <v>105</v>
      </c>
      <c r="B103" s="34"/>
      <c r="E103" s="29" t="s">
        <v>590</v>
      </c>
      <c r="J103" s="35"/>
    </row>
    <row r="104" spans="1:16" x14ac:dyDescent="0.3">
      <c r="A104" s="27" t="s">
        <v>95</v>
      </c>
      <c r="B104" s="27">
        <v>3</v>
      </c>
      <c r="C104" s="28" t="s">
        <v>476</v>
      </c>
      <c r="D104" s="27" t="s">
        <v>129</v>
      </c>
      <c r="E104" s="29" t="s">
        <v>477</v>
      </c>
      <c r="F104" s="30" t="s">
        <v>229</v>
      </c>
      <c r="G104" s="31">
        <v>11.778</v>
      </c>
      <c r="H104" s="32">
        <v>0</v>
      </c>
      <c r="I104" s="32">
        <f>ROUND(7.96*H104,P4)+ROUND(3.818*H104,P4)</f>
        <v>0</v>
      </c>
      <c r="J104" s="30" t="s">
        <v>118</v>
      </c>
      <c r="O104" s="33">
        <f>I104*0.21</f>
        <v>0</v>
      </c>
      <c r="P104">
        <v>3</v>
      </c>
    </row>
    <row r="105" spans="1:16" ht="129.6" x14ac:dyDescent="0.3">
      <c r="A105" s="27" t="s">
        <v>101</v>
      </c>
      <c r="B105" s="34"/>
      <c r="E105" s="29" t="s">
        <v>577</v>
      </c>
      <c r="J105" s="35"/>
    </row>
    <row r="106" spans="1:16" ht="28.8" x14ac:dyDescent="0.3">
      <c r="A106" s="27" t="s">
        <v>103</v>
      </c>
      <c r="B106" s="34"/>
      <c r="E106" s="36" t="s">
        <v>578</v>
      </c>
      <c r="J106" s="35"/>
    </row>
    <row r="107" spans="1:16" ht="28.8" x14ac:dyDescent="0.3">
      <c r="A107" s="27" t="s">
        <v>103</v>
      </c>
      <c r="B107" s="34"/>
      <c r="E107" s="36" t="s">
        <v>579</v>
      </c>
      <c r="J107" s="35"/>
    </row>
    <row r="108" spans="1:16" ht="28.8" x14ac:dyDescent="0.3">
      <c r="A108" s="27" t="s">
        <v>103</v>
      </c>
      <c r="B108" s="34"/>
      <c r="E108" s="36" t="s">
        <v>580</v>
      </c>
      <c r="J108" s="35"/>
    </row>
    <row r="109" spans="1:16" ht="28.8" x14ac:dyDescent="0.3">
      <c r="A109" s="27" t="s">
        <v>103</v>
      </c>
      <c r="B109" s="34"/>
      <c r="E109" s="36" t="s">
        <v>581</v>
      </c>
      <c r="J109" s="35"/>
    </row>
    <row r="110" spans="1:16" ht="28.8" x14ac:dyDescent="0.3">
      <c r="A110" s="27" t="s">
        <v>103</v>
      </c>
      <c r="B110" s="34"/>
      <c r="E110" s="36" t="s">
        <v>582</v>
      </c>
      <c r="J110" s="35"/>
    </row>
    <row r="111" spans="1:16" ht="28.8" x14ac:dyDescent="0.3">
      <c r="A111" s="27" t="s">
        <v>103</v>
      </c>
      <c r="B111" s="34"/>
      <c r="E111" s="36" t="s">
        <v>583</v>
      </c>
      <c r="J111" s="35"/>
    </row>
    <row r="112" spans="1:16" ht="28.8" x14ac:dyDescent="0.3">
      <c r="A112" s="27" t="s">
        <v>103</v>
      </c>
      <c r="B112" s="34"/>
      <c r="E112" s="36" t="s">
        <v>584</v>
      </c>
      <c r="J112" s="35"/>
    </row>
    <row r="113" spans="1:16" x14ac:dyDescent="0.3">
      <c r="A113" s="27" t="s">
        <v>103</v>
      </c>
      <c r="B113" s="34"/>
      <c r="E113" s="36" t="s">
        <v>585</v>
      </c>
      <c r="J113" s="35"/>
    </row>
    <row r="114" spans="1:16" ht="28.8" x14ac:dyDescent="0.3">
      <c r="A114" s="27" t="s">
        <v>103</v>
      </c>
      <c r="B114" s="34"/>
      <c r="E114" s="36" t="s">
        <v>586</v>
      </c>
      <c r="J114" s="35"/>
    </row>
    <row r="115" spans="1:16" ht="28.8" x14ac:dyDescent="0.3">
      <c r="A115" s="27" t="s">
        <v>103</v>
      </c>
      <c r="B115" s="34"/>
      <c r="E115" s="36" t="s">
        <v>587</v>
      </c>
      <c r="J115" s="35"/>
    </row>
    <row r="116" spans="1:16" ht="28.8" x14ac:dyDescent="0.3">
      <c r="A116" s="27" t="s">
        <v>103</v>
      </c>
      <c r="B116" s="34"/>
      <c r="E116" s="36" t="s">
        <v>588</v>
      </c>
      <c r="J116" s="35"/>
    </row>
    <row r="117" spans="1:16" x14ac:dyDescent="0.3">
      <c r="A117" s="27" t="s">
        <v>103</v>
      </c>
      <c r="B117" s="34"/>
      <c r="E117" s="36" t="s">
        <v>589</v>
      </c>
      <c r="J117" s="35"/>
    </row>
    <row r="118" spans="1:16" ht="216" x14ac:dyDescent="0.3">
      <c r="A118" s="27" t="s">
        <v>105</v>
      </c>
      <c r="B118" s="34"/>
      <c r="E118" s="29" t="s">
        <v>481</v>
      </c>
      <c r="J118" s="35"/>
    </row>
    <row r="119" spans="1:16" x14ac:dyDescent="0.3">
      <c r="A119" s="27" t="s">
        <v>95</v>
      </c>
      <c r="B119" s="27">
        <v>4</v>
      </c>
      <c r="C119" s="28" t="s">
        <v>591</v>
      </c>
      <c r="D119" s="27" t="s">
        <v>129</v>
      </c>
      <c r="E119" s="29" t="s">
        <v>592</v>
      </c>
      <c r="F119" s="30" t="s">
        <v>229</v>
      </c>
      <c r="G119" s="31">
        <v>269.77699999999999</v>
      </c>
      <c r="H119" s="32">
        <v>0</v>
      </c>
      <c r="I119" s="32">
        <f>ROUND(112.402*H119,P4)+ROUND(4.482*H119,P4)+ROUND(152.893*H119,P4)</f>
        <v>0</v>
      </c>
      <c r="J119" s="30" t="s">
        <v>118</v>
      </c>
      <c r="O119" s="33">
        <f>I119*0.21</f>
        <v>0</v>
      </c>
      <c r="P119">
        <v>3</v>
      </c>
    </row>
    <row r="120" spans="1:16" ht="172.8" x14ac:dyDescent="0.3">
      <c r="A120" s="27" t="s">
        <v>101</v>
      </c>
      <c r="B120" s="34"/>
      <c r="E120" s="29" t="s">
        <v>498</v>
      </c>
      <c r="J120" s="35"/>
    </row>
    <row r="121" spans="1:16" ht="28.8" x14ac:dyDescent="0.3">
      <c r="A121" s="27" t="s">
        <v>103</v>
      </c>
      <c r="B121" s="34"/>
      <c r="E121" s="36" t="s">
        <v>510</v>
      </c>
      <c r="J121" s="35"/>
    </row>
    <row r="122" spans="1:16" ht="28.8" x14ac:dyDescent="0.3">
      <c r="A122" s="27" t="s">
        <v>103</v>
      </c>
      <c r="B122" s="34"/>
      <c r="E122" s="36" t="s">
        <v>511</v>
      </c>
      <c r="J122" s="35"/>
    </row>
    <row r="123" spans="1:16" ht="28.8" x14ac:dyDescent="0.3">
      <c r="A123" s="27" t="s">
        <v>103</v>
      </c>
      <c r="B123" s="34"/>
      <c r="E123" s="36" t="s">
        <v>512</v>
      </c>
      <c r="J123" s="35"/>
    </row>
    <row r="124" spans="1:16" ht="28.8" x14ac:dyDescent="0.3">
      <c r="A124" s="27" t="s">
        <v>103</v>
      </c>
      <c r="B124" s="34"/>
      <c r="E124" s="36" t="s">
        <v>513</v>
      </c>
      <c r="J124" s="35"/>
    </row>
    <row r="125" spans="1:16" ht="28.8" x14ac:dyDescent="0.3">
      <c r="A125" s="27" t="s">
        <v>103</v>
      </c>
      <c r="B125" s="34"/>
      <c r="E125" s="36" t="s">
        <v>514</v>
      </c>
      <c r="J125" s="35"/>
    </row>
    <row r="126" spans="1:16" ht="28.8" x14ac:dyDescent="0.3">
      <c r="A126" s="27" t="s">
        <v>103</v>
      </c>
      <c r="B126" s="34"/>
      <c r="E126" s="36" t="s">
        <v>515</v>
      </c>
      <c r="J126" s="35"/>
    </row>
    <row r="127" spans="1:16" ht="28.8" x14ac:dyDescent="0.3">
      <c r="A127" s="27" t="s">
        <v>103</v>
      </c>
      <c r="B127" s="34"/>
      <c r="E127" s="36" t="s">
        <v>516</v>
      </c>
      <c r="J127" s="35"/>
    </row>
    <row r="128" spans="1:16" ht="28.8" x14ac:dyDescent="0.3">
      <c r="A128" s="27" t="s">
        <v>103</v>
      </c>
      <c r="B128" s="34"/>
      <c r="E128" s="36" t="s">
        <v>517</v>
      </c>
      <c r="J128" s="35"/>
    </row>
    <row r="129" spans="1:10" ht="28.8" x14ac:dyDescent="0.3">
      <c r="A129" s="27" t="s">
        <v>103</v>
      </c>
      <c r="B129" s="34"/>
      <c r="E129" s="36" t="s">
        <v>518</v>
      </c>
      <c r="J129" s="35"/>
    </row>
    <row r="130" spans="1:10" ht="28.8" x14ac:dyDescent="0.3">
      <c r="A130" s="27" t="s">
        <v>103</v>
      </c>
      <c r="B130" s="34"/>
      <c r="E130" s="36" t="s">
        <v>519</v>
      </c>
      <c r="J130" s="35"/>
    </row>
    <row r="131" spans="1:10" ht="28.8" x14ac:dyDescent="0.3">
      <c r="A131" s="27" t="s">
        <v>103</v>
      </c>
      <c r="B131" s="34"/>
      <c r="E131" s="36" t="s">
        <v>520</v>
      </c>
      <c r="J131" s="35"/>
    </row>
    <row r="132" spans="1:10" ht="28.8" x14ac:dyDescent="0.3">
      <c r="A132" s="27" t="s">
        <v>103</v>
      </c>
      <c r="B132" s="34"/>
      <c r="E132" s="36" t="s">
        <v>521</v>
      </c>
      <c r="J132" s="35"/>
    </row>
    <row r="133" spans="1:10" ht="28.8" x14ac:dyDescent="0.3">
      <c r="A133" s="27" t="s">
        <v>103</v>
      </c>
      <c r="B133" s="34"/>
      <c r="E133" s="36" t="s">
        <v>522</v>
      </c>
      <c r="J133" s="35"/>
    </row>
    <row r="134" spans="1:10" ht="28.8" x14ac:dyDescent="0.3">
      <c r="A134" s="27" t="s">
        <v>103</v>
      </c>
      <c r="B134" s="34"/>
      <c r="E134" s="36" t="s">
        <v>523</v>
      </c>
      <c r="J134" s="35"/>
    </row>
    <row r="135" spans="1:10" ht="28.8" x14ac:dyDescent="0.3">
      <c r="A135" s="27" t="s">
        <v>103</v>
      </c>
      <c r="B135" s="34"/>
      <c r="E135" s="36" t="s">
        <v>524</v>
      </c>
      <c r="J135" s="35"/>
    </row>
    <row r="136" spans="1:10" ht="28.8" x14ac:dyDescent="0.3">
      <c r="A136" s="27" t="s">
        <v>103</v>
      </c>
      <c r="B136" s="34"/>
      <c r="E136" s="36" t="s">
        <v>525</v>
      </c>
      <c r="J136" s="35"/>
    </row>
    <row r="137" spans="1:10" ht="28.8" x14ac:dyDescent="0.3">
      <c r="A137" s="27" t="s">
        <v>103</v>
      </c>
      <c r="B137" s="34"/>
      <c r="E137" s="36" t="s">
        <v>526</v>
      </c>
      <c r="J137" s="35"/>
    </row>
    <row r="138" spans="1:10" ht="28.8" x14ac:dyDescent="0.3">
      <c r="A138" s="27" t="s">
        <v>103</v>
      </c>
      <c r="B138" s="34"/>
      <c r="E138" s="36" t="s">
        <v>527</v>
      </c>
      <c r="J138" s="35"/>
    </row>
    <row r="139" spans="1:10" ht="28.8" x14ac:dyDescent="0.3">
      <c r="A139" s="27" t="s">
        <v>103</v>
      </c>
      <c r="B139" s="34"/>
      <c r="E139" s="36" t="s">
        <v>528</v>
      </c>
      <c r="J139" s="35"/>
    </row>
    <row r="140" spans="1:10" ht="28.8" x14ac:dyDescent="0.3">
      <c r="A140" s="27" t="s">
        <v>103</v>
      </c>
      <c r="B140" s="34"/>
      <c r="E140" s="36" t="s">
        <v>529</v>
      </c>
      <c r="J140" s="35"/>
    </row>
    <row r="141" spans="1:10" ht="28.8" x14ac:dyDescent="0.3">
      <c r="A141" s="27" t="s">
        <v>103</v>
      </c>
      <c r="B141" s="34"/>
      <c r="E141" s="36" t="s">
        <v>530</v>
      </c>
      <c r="J141" s="35"/>
    </row>
    <row r="142" spans="1:10" ht="28.8" x14ac:dyDescent="0.3">
      <c r="A142" s="27" t="s">
        <v>103</v>
      </c>
      <c r="B142" s="34"/>
      <c r="E142" s="36" t="s">
        <v>531</v>
      </c>
      <c r="J142" s="35"/>
    </row>
    <row r="143" spans="1:10" ht="28.8" x14ac:dyDescent="0.3">
      <c r="A143" s="27" t="s">
        <v>103</v>
      </c>
      <c r="B143" s="34"/>
      <c r="E143" s="36" t="s">
        <v>532</v>
      </c>
      <c r="J143" s="35"/>
    </row>
    <row r="144" spans="1:10" ht="28.8" x14ac:dyDescent="0.3">
      <c r="A144" s="27" t="s">
        <v>103</v>
      </c>
      <c r="B144" s="34"/>
      <c r="E144" s="36" t="s">
        <v>533</v>
      </c>
      <c r="J144" s="35"/>
    </row>
    <row r="145" spans="1:10" ht="28.8" x14ac:dyDescent="0.3">
      <c r="A145" s="27" t="s">
        <v>103</v>
      </c>
      <c r="B145" s="34"/>
      <c r="E145" s="36" t="s">
        <v>534</v>
      </c>
      <c r="J145" s="35"/>
    </row>
    <row r="146" spans="1:10" ht="28.8" x14ac:dyDescent="0.3">
      <c r="A146" s="27" t="s">
        <v>103</v>
      </c>
      <c r="B146" s="34"/>
      <c r="E146" s="36" t="s">
        <v>535</v>
      </c>
      <c r="J146" s="35"/>
    </row>
    <row r="147" spans="1:10" ht="28.8" x14ac:dyDescent="0.3">
      <c r="A147" s="27" t="s">
        <v>103</v>
      </c>
      <c r="B147" s="34"/>
      <c r="E147" s="36" t="s">
        <v>536</v>
      </c>
      <c r="J147" s="35"/>
    </row>
    <row r="148" spans="1:10" ht="28.8" x14ac:dyDescent="0.3">
      <c r="A148" s="27" t="s">
        <v>103</v>
      </c>
      <c r="B148" s="34"/>
      <c r="E148" s="36" t="s">
        <v>537</v>
      </c>
      <c r="J148" s="35"/>
    </row>
    <row r="149" spans="1:10" ht="28.8" x14ac:dyDescent="0.3">
      <c r="A149" s="27" t="s">
        <v>103</v>
      </c>
      <c r="B149" s="34"/>
      <c r="E149" s="36" t="s">
        <v>538</v>
      </c>
      <c r="J149" s="35"/>
    </row>
    <row r="150" spans="1:10" ht="28.8" x14ac:dyDescent="0.3">
      <c r="A150" s="27" t="s">
        <v>103</v>
      </c>
      <c r="B150" s="34"/>
      <c r="E150" s="36" t="s">
        <v>539</v>
      </c>
      <c r="J150" s="35"/>
    </row>
    <row r="151" spans="1:10" ht="28.8" x14ac:dyDescent="0.3">
      <c r="A151" s="27" t="s">
        <v>103</v>
      </c>
      <c r="B151" s="34"/>
      <c r="E151" s="36" t="s">
        <v>540</v>
      </c>
      <c r="J151" s="35"/>
    </row>
    <row r="152" spans="1:10" ht="28.8" x14ac:dyDescent="0.3">
      <c r="A152" s="27" t="s">
        <v>103</v>
      </c>
      <c r="B152" s="34"/>
      <c r="E152" s="36" t="s">
        <v>541</v>
      </c>
      <c r="J152" s="35"/>
    </row>
    <row r="153" spans="1:10" ht="28.8" x14ac:dyDescent="0.3">
      <c r="A153" s="27" t="s">
        <v>103</v>
      </c>
      <c r="B153" s="34"/>
      <c r="E153" s="36" t="s">
        <v>542</v>
      </c>
      <c r="J153" s="35"/>
    </row>
    <row r="154" spans="1:10" ht="28.8" x14ac:dyDescent="0.3">
      <c r="A154" s="27" t="s">
        <v>103</v>
      </c>
      <c r="B154" s="34"/>
      <c r="E154" s="36" t="s">
        <v>543</v>
      </c>
      <c r="J154" s="35"/>
    </row>
    <row r="155" spans="1:10" ht="28.8" x14ac:dyDescent="0.3">
      <c r="A155" s="27" t="s">
        <v>103</v>
      </c>
      <c r="B155" s="34"/>
      <c r="E155" s="36" t="s">
        <v>544</v>
      </c>
      <c r="J155" s="35"/>
    </row>
    <row r="156" spans="1:10" ht="28.8" x14ac:dyDescent="0.3">
      <c r="A156" s="27" t="s">
        <v>103</v>
      </c>
      <c r="B156" s="34"/>
      <c r="E156" s="36" t="s">
        <v>545</v>
      </c>
      <c r="J156" s="35"/>
    </row>
    <row r="157" spans="1:10" ht="28.8" x14ac:dyDescent="0.3">
      <c r="A157" s="27" t="s">
        <v>103</v>
      </c>
      <c r="B157" s="34"/>
      <c r="E157" s="36" t="s">
        <v>546</v>
      </c>
      <c r="J157" s="35"/>
    </row>
    <row r="158" spans="1:10" ht="28.8" x14ac:dyDescent="0.3">
      <c r="A158" s="27" t="s">
        <v>103</v>
      </c>
      <c r="B158" s="34"/>
      <c r="E158" s="36" t="s">
        <v>547</v>
      </c>
      <c r="J158" s="35"/>
    </row>
    <row r="159" spans="1:10" x14ac:dyDescent="0.3">
      <c r="A159" s="27" t="s">
        <v>103</v>
      </c>
      <c r="B159" s="34"/>
      <c r="E159" s="36" t="s">
        <v>548</v>
      </c>
      <c r="J159" s="35"/>
    </row>
    <row r="160" spans="1:10" ht="28.8" x14ac:dyDescent="0.3">
      <c r="A160" s="27" t="s">
        <v>103</v>
      </c>
      <c r="B160" s="34"/>
      <c r="E160" s="36" t="s">
        <v>499</v>
      </c>
      <c r="J160" s="35"/>
    </row>
    <row r="161" spans="1:10" ht="28.8" x14ac:dyDescent="0.3">
      <c r="A161" s="27" t="s">
        <v>103</v>
      </c>
      <c r="B161" s="34"/>
      <c r="E161" s="36" t="s">
        <v>500</v>
      </c>
      <c r="J161" s="35"/>
    </row>
    <row r="162" spans="1:10" ht="28.8" x14ac:dyDescent="0.3">
      <c r="A162" s="27" t="s">
        <v>103</v>
      </c>
      <c r="B162" s="34"/>
      <c r="E162" s="36" t="s">
        <v>501</v>
      </c>
      <c r="J162" s="35"/>
    </row>
    <row r="163" spans="1:10" ht="28.8" x14ac:dyDescent="0.3">
      <c r="A163" s="27" t="s">
        <v>103</v>
      </c>
      <c r="B163" s="34"/>
      <c r="E163" s="36" t="s">
        <v>502</v>
      </c>
      <c r="J163" s="35"/>
    </row>
    <row r="164" spans="1:10" ht="28.8" x14ac:dyDescent="0.3">
      <c r="A164" s="27" t="s">
        <v>103</v>
      </c>
      <c r="B164" s="34"/>
      <c r="E164" s="36" t="s">
        <v>503</v>
      </c>
      <c r="J164" s="35"/>
    </row>
    <row r="165" spans="1:10" ht="28.8" x14ac:dyDescent="0.3">
      <c r="A165" s="27" t="s">
        <v>103</v>
      </c>
      <c r="B165" s="34"/>
      <c r="E165" s="36" t="s">
        <v>504</v>
      </c>
      <c r="J165" s="35"/>
    </row>
    <row r="166" spans="1:10" ht="28.8" x14ac:dyDescent="0.3">
      <c r="A166" s="27" t="s">
        <v>103</v>
      </c>
      <c r="B166" s="34"/>
      <c r="E166" s="36" t="s">
        <v>505</v>
      </c>
      <c r="J166" s="35"/>
    </row>
    <row r="167" spans="1:10" ht="28.8" x14ac:dyDescent="0.3">
      <c r="A167" s="27" t="s">
        <v>103</v>
      </c>
      <c r="B167" s="34"/>
      <c r="E167" s="36" t="s">
        <v>506</v>
      </c>
      <c r="J167" s="35"/>
    </row>
    <row r="168" spans="1:10" ht="28.8" x14ac:dyDescent="0.3">
      <c r="A168" s="27" t="s">
        <v>103</v>
      </c>
      <c r="B168" s="34"/>
      <c r="E168" s="36" t="s">
        <v>507</v>
      </c>
      <c r="J168" s="35"/>
    </row>
    <row r="169" spans="1:10" ht="28.8" x14ac:dyDescent="0.3">
      <c r="A169" s="27" t="s">
        <v>103</v>
      </c>
      <c r="B169" s="34"/>
      <c r="E169" s="36" t="s">
        <v>508</v>
      </c>
      <c r="J169" s="35"/>
    </row>
    <row r="170" spans="1:10" x14ac:dyDescent="0.3">
      <c r="A170" s="27" t="s">
        <v>103</v>
      </c>
      <c r="B170" s="34"/>
      <c r="E170" s="36" t="s">
        <v>509</v>
      </c>
      <c r="J170" s="35"/>
    </row>
    <row r="171" spans="1:10" ht="28.8" x14ac:dyDescent="0.3">
      <c r="A171" s="27" t="s">
        <v>103</v>
      </c>
      <c r="B171" s="34"/>
      <c r="E171" s="36" t="s">
        <v>549</v>
      </c>
      <c r="J171" s="35"/>
    </row>
    <row r="172" spans="1:10" ht="28.8" x14ac:dyDescent="0.3">
      <c r="A172" s="27" t="s">
        <v>103</v>
      </c>
      <c r="B172" s="34"/>
      <c r="E172" s="36" t="s">
        <v>550</v>
      </c>
      <c r="J172" s="35"/>
    </row>
    <row r="173" spans="1:10" ht="28.8" x14ac:dyDescent="0.3">
      <c r="A173" s="27" t="s">
        <v>103</v>
      </c>
      <c r="B173" s="34"/>
      <c r="E173" s="36" t="s">
        <v>551</v>
      </c>
      <c r="J173" s="35"/>
    </row>
    <row r="174" spans="1:10" ht="28.8" x14ac:dyDescent="0.3">
      <c r="A174" s="27" t="s">
        <v>103</v>
      </c>
      <c r="B174" s="34"/>
      <c r="E174" s="36" t="s">
        <v>552</v>
      </c>
      <c r="J174" s="35"/>
    </row>
    <row r="175" spans="1:10" ht="28.8" x14ac:dyDescent="0.3">
      <c r="A175" s="27" t="s">
        <v>103</v>
      </c>
      <c r="B175" s="34"/>
      <c r="E175" s="36" t="s">
        <v>553</v>
      </c>
      <c r="J175" s="35"/>
    </row>
    <row r="176" spans="1:10" ht="28.8" x14ac:dyDescent="0.3">
      <c r="A176" s="27" t="s">
        <v>103</v>
      </c>
      <c r="B176" s="34"/>
      <c r="E176" s="36" t="s">
        <v>554</v>
      </c>
      <c r="J176" s="35"/>
    </row>
    <row r="177" spans="1:10" ht="28.8" x14ac:dyDescent="0.3">
      <c r="A177" s="27" t="s">
        <v>103</v>
      </c>
      <c r="B177" s="34"/>
      <c r="E177" s="36" t="s">
        <v>555</v>
      </c>
      <c r="J177" s="35"/>
    </row>
    <row r="178" spans="1:10" ht="28.8" x14ac:dyDescent="0.3">
      <c r="A178" s="27" t="s">
        <v>103</v>
      </c>
      <c r="B178" s="34"/>
      <c r="E178" s="36" t="s">
        <v>556</v>
      </c>
      <c r="J178" s="35"/>
    </row>
    <row r="179" spans="1:10" ht="28.8" x14ac:dyDescent="0.3">
      <c r="A179" s="27" t="s">
        <v>103</v>
      </c>
      <c r="B179" s="34"/>
      <c r="E179" s="36" t="s">
        <v>557</v>
      </c>
      <c r="J179" s="35"/>
    </row>
    <row r="180" spans="1:10" ht="28.8" x14ac:dyDescent="0.3">
      <c r="A180" s="27" t="s">
        <v>103</v>
      </c>
      <c r="B180" s="34"/>
      <c r="E180" s="36" t="s">
        <v>558</v>
      </c>
      <c r="J180" s="35"/>
    </row>
    <row r="181" spans="1:10" ht="28.8" x14ac:dyDescent="0.3">
      <c r="A181" s="27" t="s">
        <v>103</v>
      </c>
      <c r="B181" s="34"/>
      <c r="E181" s="36" t="s">
        <v>559</v>
      </c>
      <c r="J181" s="35"/>
    </row>
    <row r="182" spans="1:10" ht="28.8" x14ac:dyDescent="0.3">
      <c r="A182" s="27" t="s">
        <v>103</v>
      </c>
      <c r="B182" s="34"/>
      <c r="E182" s="36" t="s">
        <v>560</v>
      </c>
      <c r="J182" s="35"/>
    </row>
    <row r="183" spans="1:10" ht="28.8" x14ac:dyDescent="0.3">
      <c r="A183" s="27" t="s">
        <v>103</v>
      </c>
      <c r="B183" s="34"/>
      <c r="E183" s="36" t="s">
        <v>561</v>
      </c>
      <c r="J183" s="35"/>
    </row>
    <row r="184" spans="1:10" ht="28.8" x14ac:dyDescent="0.3">
      <c r="A184" s="27" t="s">
        <v>103</v>
      </c>
      <c r="B184" s="34"/>
      <c r="E184" s="36" t="s">
        <v>562</v>
      </c>
      <c r="J184" s="35"/>
    </row>
    <row r="185" spans="1:10" ht="28.8" x14ac:dyDescent="0.3">
      <c r="A185" s="27" t="s">
        <v>103</v>
      </c>
      <c r="B185" s="34"/>
      <c r="E185" s="36" t="s">
        <v>563</v>
      </c>
      <c r="J185" s="35"/>
    </row>
    <row r="186" spans="1:10" ht="28.8" x14ac:dyDescent="0.3">
      <c r="A186" s="27" t="s">
        <v>103</v>
      </c>
      <c r="B186" s="34"/>
      <c r="E186" s="36" t="s">
        <v>564</v>
      </c>
      <c r="J186" s="35"/>
    </row>
    <row r="187" spans="1:10" ht="28.8" x14ac:dyDescent="0.3">
      <c r="A187" s="27" t="s">
        <v>103</v>
      </c>
      <c r="B187" s="34"/>
      <c r="E187" s="36" t="s">
        <v>565</v>
      </c>
      <c r="J187" s="35"/>
    </row>
    <row r="188" spans="1:10" ht="28.8" x14ac:dyDescent="0.3">
      <c r="A188" s="27" t="s">
        <v>103</v>
      </c>
      <c r="B188" s="34"/>
      <c r="E188" s="36" t="s">
        <v>566</v>
      </c>
      <c r="J188" s="35"/>
    </row>
    <row r="189" spans="1:10" ht="28.8" x14ac:dyDescent="0.3">
      <c r="A189" s="27" t="s">
        <v>103</v>
      </c>
      <c r="B189" s="34"/>
      <c r="E189" s="36" t="s">
        <v>567</v>
      </c>
      <c r="J189" s="35"/>
    </row>
    <row r="190" spans="1:10" ht="28.8" x14ac:dyDescent="0.3">
      <c r="A190" s="27" t="s">
        <v>103</v>
      </c>
      <c r="B190" s="34"/>
      <c r="E190" s="36" t="s">
        <v>568</v>
      </c>
      <c r="J190" s="35"/>
    </row>
    <row r="191" spans="1:10" ht="28.8" x14ac:dyDescent="0.3">
      <c r="A191" s="27" t="s">
        <v>103</v>
      </c>
      <c r="B191" s="34"/>
      <c r="E191" s="36" t="s">
        <v>569</v>
      </c>
      <c r="J191" s="35"/>
    </row>
    <row r="192" spans="1:10" ht="28.8" x14ac:dyDescent="0.3">
      <c r="A192" s="27" t="s">
        <v>103</v>
      </c>
      <c r="B192" s="34"/>
      <c r="E192" s="36" t="s">
        <v>570</v>
      </c>
      <c r="J192" s="35"/>
    </row>
    <row r="193" spans="1:16" ht="28.8" x14ac:dyDescent="0.3">
      <c r="A193" s="27" t="s">
        <v>103</v>
      </c>
      <c r="B193" s="34"/>
      <c r="E193" s="36" t="s">
        <v>571</v>
      </c>
      <c r="J193" s="35"/>
    </row>
    <row r="194" spans="1:16" ht="28.8" x14ac:dyDescent="0.3">
      <c r="A194" s="27" t="s">
        <v>103</v>
      </c>
      <c r="B194" s="34"/>
      <c r="E194" s="36" t="s">
        <v>572</v>
      </c>
      <c r="J194" s="35"/>
    </row>
    <row r="195" spans="1:16" ht="28.8" x14ac:dyDescent="0.3">
      <c r="A195" s="27" t="s">
        <v>103</v>
      </c>
      <c r="B195" s="34"/>
      <c r="E195" s="36" t="s">
        <v>573</v>
      </c>
      <c r="J195" s="35"/>
    </row>
    <row r="196" spans="1:16" x14ac:dyDescent="0.3">
      <c r="A196" s="27" t="s">
        <v>103</v>
      </c>
      <c r="B196" s="34"/>
      <c r="E196" s="36" t="s">
        <v>574</v>
      </c>
      <c r="J196" s="35"/>
    </row>
    <row r="197" spans="1:16" ht="288" x14ac:dyDescent="0.3">
      <c r="A197" s="27" t="s">
        <v>105</v>
      </c>
      <c r="B197" s="34"/>
      <c r="E197" s="29" t="s">
        <v>593</v>
      </c>
      <c r="J197" s="35"/>
    </row>
    <row r="198" spans="1:16" x14ac:dyDescent="0.3">
      <c r="A198" s="27" t="s">
        <v>95</v>
      </c>
      <c r="B198" s="27">
        <v>5</v>
      </c>
      <c r="C198" s="28" t="s">
        <v>594</v>
      </c>
      <c r="D198" s="27" t="s">
        <v>107</v>
      </c>
      <c r="E198" s="29" t="s">
        <v>595</v>
      </c>
      <c r="F198" s="30" t="s">
        <v>229</v>
      </c>
      <c r="G198" s="31">
        <v>5.48</v>
      </c>
      <c r="H198" s="32">
        <v>0</v>
      </c>
      <c r="I198" s="32">
        <f>ROUND(5.311*H198,P4)+ROUND(0.169*H198,P4)</f>
        <v>0</v>
      </c>
      <c r="J198" s="30" t="s">
        <v>118</v>
      </c>
      <c r="O198" s="33">
        <f>I198*0.21</f>
        <v>0</v>
      </c>
      <c r="P198">
        <v>3</v>
      </c>
    </row>
    <row r="199" spans="1:16" ht="172.8" x14ac:dyDescent="0.3">
      <c r="A199" s="27" t="s">
        <v>101</v>
      </c>
      <c r="B199" s="34"/>
      <c r="E199" s="29" t="s">
        <v>596</v>
      </c>
      <c r="J199" s="35"/>
    </row>
    <row r="200" spans="1:16" ht="28.8" x14ac:dyDescent="0.3">
      <c r="A200" s="27" t="s">
        <v>103</v>
      </c>
      <c r="B200" s="34"/>
      <c r="E200" s="36" t="s">
        <v>597</v>
      </c>
      <c r="J200" s="35"/>
    </row>
    <row r="201" spans="1:16" ht="28.8" x14ac:dyDescent="0.3">
      <c r="A201" s="27" t="s">
        <v>103</v>
      </c>
      <c r="B201" s="34"/>
      <c r="E201" s="36" t="s">
        <v>598</v>
      </c>
      <c r="J201" s="35"/>
    </row>
    <row r="202" spans="1:16" ht="28.8" x14ac:dyDescent="0.3">
      <c r="A202" s="27" t="s">
        <v>103</v>
      </c>
      <c r="B202" s="34"/>
      <c r="E202" s="36" t="s">
        <v>599</v>
      </c>
      <c r="J202" s="35"/>
    </row>
    <row r="203" spans="1:16" ht="28.8" x14ac:dyDescent="0.3">
      <c r="A203" s="27" t="s">
        <v>103</v>
      </c>
      <c r="B203" s="34"/>
      <c r="E203" s="36" t="s">
        <v>600</v>
      </c>
      <c r="J203" s="35"/>
    </row>
    <row r="204" spans="1:16" ht="28.8" x14ac:dyDescent="0.3">
      <c r="A204" s="27" t="s">
        <v>103</v>
      </c>
      <c r="B204" s="34"/>
      <c r="E204" s="36" t="s">
        <v>601</v>
      </c>
      <c r="J204" s="35"/>
    </row>
    <row r="205" spans="1:16" ht="28.8" x14ac:dyDescent="0.3">
      <c r="A205" s="27" t="s">
        <v>103</v>
      </c>
      <c r="B205" s="34"/>
      <c r="E205" s="36" t="s">
        <v>602</v>
      </c>
      <c r="J205" s="35"/>
    </row>
    <row r="206" spans="1:16" ht="28.8" x14ac:dyDescent="0.3">
      <c r="A206" s="27" t="s">
        <v>103</v>
      </c>
      <c r="B206" s="34"/>
      <c r="E206" s="36" t="s">
        <v>603</v>
      </c>
      <c r="J206" s="35"/>
    </row>
    <row r="207" spans="1:16" x14ac:dyDescent="0.3">
      <c r="A207" s="27" t="s">
        <v>103</v>
      </c>
      <c r="B207" s="34"/>
      <c r="E207" s="36" t="s">
        <v>604</v>
      </c>
      <c r="J207" s="35"/>
    </row>
    <row r="208" spans="1:16" ht="28.8" x14ac:dyDescent="0.3">
      <c r="A208" s="27" t="s">
        <v>103</v>
      </c>
      <c r="B208" s="34"/>
      <c r="E208" s="36" t="s">
        <v>605</v>
      </c>
      <c r="J208" s="35"/>
    </row>
    <row r="209" spans="1:16" ht="28.8" x14ac:dyDescent="0.3">
      <c r="A209" s="27" t="s">
        <v>103</v>
      </c>
      <c r="B209" s="34"/>
      <c r="E209" s="36" t="s">
        <v>606</v>
      </c>
      <c r="J209" s="35"/>
    </row>
    <row r="210" spans="1:16" ht="28.8" x14ac:dyDescent="0.3">
      <c r="A210" s="27" t="s">
        <v>103</v>
      </c>
      <c r="B210" s="34"/>
      <c r="E210" s="36" t="s">
        <v>607</v>
      </c>
      <c r="J210" s="35"/>
    </row>
    <row r="211" spans="1:16" x14ac:dyDescent="0.3">
      <c r="A211" s="27" t="s">
        <v>103</v>
      </c>
      <c r="B211" s="34"/>
      <c r="E211" s="36" t="s">
        <v>608</v>
      </c>
      <c r="J211" s="35"/>
    </row>
    <row r="212" spans="1:16" ht="273.60000000000002" x14ac:dyDescent="0.3">
      <c r="A212" s="27" t="s">
        <v>105</v>
      </c>
      <c r="B212" s="34"/>
      <c r="E212" s="29" t="s">
        <v>609</v>
      </c>
      <c r="J212" s="35"/>
    </row>
    <row r="213" spans="1:16" x14ac:dyDescent="0.3">
      <c r="A213" s="27" t="s">
        <v>95</v>
      </c>
      <c r="B213" s="27">
        <v>6</v>
      </c>
      <c r="C213" s="28" t="s">
        <v>610</v>
      </c>
      <c r="D213" s="27" t="s">
        <v>129</v>
      </c>
      <c r="E213" s="29" t="s">
        <v>611</v>
      </c>
      <c r="F213" s="30" t="s">
        <v>248</v>
      </c>
      <c r="G213" s="31">
        <v>12404.638000000001</v>
      </c>
      <c r="H213" s="32">
        <v>0</v>
      </c>
      <c r="I213" s="32">
        <f>ROUND(4773.637*H213,P4)+ROUND(7631.001*H213,P4)</f>
        <v>0</v>
      </c>
      <c r="J213" s="30" t="s">
        <v>118</v>
      </c>
      <c r="O213" s="33">
        <f>I213*0.21</f>
        <v>0</v>
      </c>
      <c r="P213">
        <v>3</v>
      </c>
    </row>
    <row r="214" spans="1:16" ht="187.2" x14ac:dyDescent="0.3">
      <c r="A214" s="27" t="s">
        <v>101</v>
      </c>
      <c r="B214" s="34"/>
      <c r="E214" s="29" t="s">
        <v>612</v>
      </c>
      <c r="J214" s="35"/>
    </row>
    <row r="215" spans="1:16" ht="28.8" x14ac:dyDescent="0.3">
      <c r="A215" s="27" t="s">
        <v>103</v>
      </c>
      <c r="B215" s="34"/>
      <c r="E215" s="36" t="s">
        <v>613</v>
      </c>
      <c r="J215" s="35"/>
    </row>
    <row r="216" spans="1:16" x14ac:dyDescent="0.3">
      <c r="A216" s="27" t="s">
        <v>103</v>
      </c>
      <c r="B216" s="34"/>
      <c r="E216" s="36" t="s">
        <v>614</v>
      </c>
      <c r="J216" s="35"/>
    </row>
    <row r="217" spans="1:16" ht="28.8" x14ac:dyDescent="0.3">
      <c r="A217" s="27" t="s">
        <v>103</v>
      </c>
      <c r="B217" s="34"/>
      <c r="E217" s="36" t="s">
        <v>615</v>
      </c>
      <c r="J217" s="35"/>
    </row>
    <row r="218" spans="1:16" x14ac:dyDescent="0.3">
      <c r="A218" s="27" t="s">
        <v>103</v>
      </c>
      <c r="B218" s="34"/>
      <c r="E218" s="36" t="s">
        <v>616</v>
      </c>
      <c r="J218" s="35"/>
    </row>
    <row r="219" spans="1:16" ht="28.8" x14ac:dyDescent="0.3">
      <c r="A219" s="27" t="s">
        <v>105</v>
      </c>
      <c r="B219" s="34"/>
      <c r="E219" s="29" t="s">
        <v>617</v>
      </c>
      <c r="J219" s="35"/>
    </row>
    <row r="220" spans="1:16" x14ac:dyDescent="0.3">
      <c r="A220" s="21" t="s">
        <v>92</v>
      </c>
      <c r="B220" s="22"/>
      <c r="C220" s="23" t="s">
        <v>107</v>
      </c>
      <c r="D220" s="24"/>
      <c r="E220" s="21" t="s">
        <v>618</v>
      </c>
      <c r="F220" s="24"/>
      <c r="G220" s="24"/>
      <c r="H220" s="24"/>
      <c r="I220" s="25">
        <f>SUMIFS(I221:I269,A221:A269,"P")</f>
        <v>0</v>
      </c>
      <c r="J220" s="26"/>
    </row>
    <row r="221" spans="1:16" x14ac:dyDescent="0.3">
      <c r="A221" s="27" t="s">
        <v>95</v>
      </c>
      <c r="B221" s="27">
        <v>7</v>
      </c>
      <c r="C221" s="28" t="s">
        <v>619</v>
      </c>
      <c r="D221" s="27" t="s">
        <v>129</v>
      </c>
      <c r="E221" s="29" t="s">
        <v>620</v>
      </c>
      <c r="F221" s="30" t="s">
        <v>248</v>
      </c>
      <c r="G221" s="31">
        <v>3616.0949999999998</v>
      </c>
      <c r="H221" s="32">
        <v>0</v>
      </c>
      <c r="I221" s="32">
        <f>ROUND(1713.6*H221,P4)+ROUND(1902.495*H221,P4)</f>
        <v>0</v>
      </c>
      <c r="J221" s="30" t="s">
        <v>118</v>
      </c>
      <c r="O221" s="33">
        <f>I221*0.21</f>
        <v>0</v>
      </c>
      <c r="P221">
        <v>3</v>
      </c>
    </row>
    <row r="222" spans="1:16" ht="331.2" x14ac:dyDescent="0.3">
      <c r="A222" s="27" t="s">
        <v>101</v>
      </c>
      <c r="B222" s="34"/>
      <c r="E222" s="29" t="s">
        <v>621</v>
      </c>
      <c r="J222" s="35"/>
    </row>
    <row r="223" spans="1:16" ht="28.8" x14ac:dyDescent="0.3">
      <c r="A223" s="27" t="s">
        <v>103</v>
      </c>
      <c r="B223" s="34"/>
      <c r="E223" s="36" t="s">
        <v>622</v>
      </c>
      <c r="J223" s="35"/>
    </row>
    <row r="224" spans="1:16" ht="28.8" x14ac:dyDescent="0.3">
      <c r="A224" s="27" t="s">
        <v>103</v>
      </c>
      <c r="B224" s="34"/>
      <c r="E224" s="36" t="s">
        <v>623</v>
      </c>
      <c r="J224" s="35"/>
    </row>
    <row r="225" spans="1:16" ht="28.8" x14ac:dyDescent="0.3">
      <c r="A225" s="27" t="s">
        <v>103</v>
      </c>
      <c r="B225" s="34"/>
      <c r="E225" s="36" t="s">
        <v>624</v>
      </c>
      <c r="J225" s="35"/>
    </row>
    <row r="226" spans="1:16" x14ac:dyDescent="0.3">
      <c r="A226" s="27" t="s">
        <v>103</v>
      </c>
      <c r="B226" s="34"/>
      <c r="E226" s="36" t="s">
        <v>625</v>
      </c>
      <c r="J226" s="35"/>
    </row>
    <row r="227" spans="1:16" ht="28.8" x14ac:dyDescent="0.3">
      <c r="A227" s="27" t="s">
        <v>103</v>
      </c>
      <c r="B227" s="34"/>
      <c r="E227" s="36" t="s">
        <v>626</v>
      </c>
      <c r="J227" s="35"/>
    </row>
    <row r="228" spans="1:16" x14ac:dyDescent="0.3">
      <c r="A228" s="27" t="s">
        <v>103</v>
      </c>
      <c r="B228" s="34"/>
      <c r="E228" s="36" t="s">
        <v>627</v>
      </c>
      <c r="J228" s="35"/>
    </row>
    <row r="229" spans="1:16" ht="43.2" x14ac:dyDescent="0.3">
      <c r="A229" s="27" t="s">
        <v>105</v>
      </c>
      <c r="B229" s="34"/>
      <c r="E229" s="29" t="s">
        <v>628</v>
      </c>
      <c r="J229" s="35"/>
    </row>
    <row r="230" spans="1:16" x14ac:dyDescent="0.3">
      <c r="A230" s="27" t="s">
        <v>95</v>
      </c>
      <c r="B230" s="27">
        <v>8</v>
      </c>
      <c r="C230" s="28" t="s">
        <v>629</v>
      </c>
      <c r="D230" s="27" t="s">
        <v>129</v>
      </c>
      <c r="E230" s="29" t="s">
        <v>630</v>
      </c>
      <c r="F230" s="30" t="s">
        <v>237</v>
      </c>
      <c r="G230" s="31">
        <v>1595.58</v>
      </c>
      <c r="H230" s="32">
        <v>0</v>
      </c>
      <c r="I230" s="32">
        <f>ROUND(689.63*H230,P4)+ROUND(905.95*H230,P4)</f>
        <v>0</v>
      </c>
      <c r="J230" s="30" t="s">
        <v>118</v>
      </c>
      <c r="O230" s="33">
        <f>I230*0.21</f>
        <v>0</v>
      </c>
      <c r="P230">
        <v>3</v>
      </c>
    </row>
    <row r="231" spans="1:16" ht="331.2" x14ac:dyDescent="0.3">
      <c r="A231" s="27" t="s">
        <v>101</v>
      </c>
      <c r="B231" s="34"/>
      <c r="E231" s="29" t="s">
        <v>621</v>
      </c>
      <c r="J231" s="35"/>
    </row>
    <row r="232" spans="1:16" ht="28.8" x14ac:dyDescent="0.3">
      <c r="A232" s="27" t="s">
        <v>103</v>
      </c>
      <c r="B232" s="34"/>
      <c r="E232" s="36" t="s">
        <v>631</v>
      </c>
      <c r="J232" s="35"/>
    </row>
    <row r="233" spans="1:16" ht="28.8" x14ac:dyDescent="0.3">
      <c r="A233" s="27" t="s">
        <v>103</v>
      </c>
      <c r="B233" s="34"/>
      <c r="E233" s="36" t="s">
        <v>632</v>
      </c>
      <c r="J233" s="35"/>
    </row>
    <row r="234" spans="1:16" x14ac:dyDescent="0.3">
      <c r="A234" s="27" t="s">
        <v>103</v>
      </c>
      <c r="B234" s="34"/>
      <c r="E234" s="36" t="s">
        <v>633</v>
      </c>
      <c r="J234" s="35"/>
    </row>
    <row r="235" spans="1:16" x14ac:dyDescent="0.3">
      <c r="A235" s="27" t="s">
        <v>103</v>
      </c>
      <c r="B235" s="34"/>
      <c r="E235" s="36" t="s">
        <v>634</v>
      </c>
      <c r="J235" s="35"/>
    </row>
    <row r="236" spans="1:16" ht="28.8" x14ac:dyDescent="0.3">
      <c r="A236" s="27" t="s">
        <v>103</v>
      </c>
      <c r="B236" s="34"/>
      <c r="E236" s="36" t="s">
        <v>635</v>
      </c>
      <c r="J236" s="35"/>
    </row>
    <row r="237" spans="1:16" x14ac:dyDescent="0.3">
      <c r="A237" s="27" t="s">
        <v>103</v>
      </c>
      <c r="B237" s="34"/>
      <c r="E237" s="36" t="s">
        <v>636</v>
      </c>
      <c r="J237" s="35"/>
    </row>
    <row r="238" spans="1:16" ht="28.8" x14ac:dyDescent="0.3">
      <c r="A238" s="27" t="s">
        <v>103</v>
      </c>
      <c r="B238" s="34"/>
      <c r="E238" s="36" t="s">
        <v>637</v>
      </c>
      <c r="J238" s="35"/>
    </row>
    <row r="239" spans="1:16" ht="28.8" x14ac:dyDescent="0.3">
      <c r="A239" s="27" t="s">
        <v>103</v>
      </c>
      <c r="B239" s="34"/>
      <c r="E239" s="36" t="s">
        <v>638</v>
      </c>
      <c r="J239" s="35"/>
    </row>
    <row r="240" spans="1:16" ht="28.8" x14ac:dyDescent="0.3">
      <c r="A240" s="27" t="s">
        <v>103</v>
      </c>
      <c r="B240" s="34"/>
      <c r="E240" s="36" t="s">
        <v>639</v>
      </c>
      <c r="J240" s="35"/>
    </row>
    <row r="241" spans="1:10" ht="28.8" x14ac:dyDescent="0.3">
      <c r="A241" s="27" t="s">
        <v>103</v>
      </c>
      <c r="B241" s="34"/>
      <c r="E241" s="36" t="s">
        <v>640</v>
      </c>
      <c r="J241" s="35"/>
    </row>
    <row r="242" spans="1:10" ht="28.8" x14ac:dyDescent="0.3">
      <c r="A242" s="27" t="s">
        <v>103</v>
      </c>
      <c r="B242" s="34"/>
      <c r="E242" s="36" t="s">
        <v>641</v>
      </c>
      <c r="J242" s="35"/>
    </row>
    <row r="243" spans="1:10" ht="28.8" x14ac:dyDescent="0.3">
      <c r="A243" s="27" t="s">
        <v>103</v>
      </c>
      <c r="B243" s="34"/>
      <c r="E243" s="36" t="s">
        <v>642</v>
      </c>
      <c r="J243" s="35"/>
    </row>
    <row r="244" spans="1:10" ht="28.8" x14ac:dyDescent="0.3">
      <c r="A244" s="27" t="s">
        <v>103</v>
      </c>
      <c r="B244" s="34"/>
      <c r="E244" s="36" t="s">
        <v>643</v>
      </c>
      <c r="J244" s="35"/>
    </row>
    <row r="245" spans="1:10" ht="28.8" x14ac:dyDescent="0.3">
      <c r="A245" s="27" t="s">
        <v>103</v>
      </c>
      <c r="B245" s="34"/>
      <c r="E245" s="36" t="s">
        <v>644</v>
      </c>
      <c r="J245" s="35"/>
    </row>
    <row r="246" spans="1:10" ht="28.8" x14ac:dyDescent="0.3">
      <c r="A246" s="27" t="s">
        <v>103</v>
      </c>
      <c r="B246" s="34"/>
      <c r="E246" s="36" t="s">
        <v>645</v>
      </c>
      <c r="J246" s="35"/>
    </row>
    <row r="247" spans="1:10" ht="28.8" x14ac:dyDescent="0.3">
      <c r="A247" s="27" t="s">
        <v>103</v>
      </c>
      <c r="B247" s="34"/>
      <c r="E247" s="36" t="s">
        <v>646</v>
      </c>
      <c r="J247" s="35"/>
    </row>
    <row r="248" spans="1:10" ht="28.8" x14ac:dyDescent="0.3">
      <c r="A248" s="27" t="s">
        <v>103</v>
      </c>
      <c r="B248" s="34"/>
      <c r="E248" s="36" t="s">
        <v>647</v>
      </c>
      <c r="J248" s="35"/>
    </row>
    <row r="249" spans="1:10" ht="28.8" x14ac:dyDescent="0.3">
      <c r="A249" s="27" t="s">
        <v>103</v>
      </c>
      <c r="B249" s="34"/>
      <c r="E249" s="36" t="s">
        <v>648</v>
      </c>
      <c r="J249" s="35"/>
    </row>
    <row r="250" spans="1:10" ht="28.8" x14ac:dyDescent="0.3">
      <c r="A250" s="27" t="s">
        <v>103</v>
      </c>
      <c r="B250" s="34"/>
      <c r="E250" s="36" t="s">
        <v>649</v>
      </c>
      <c r="J250" s="35"/>
    </row>
    <row r="251" spans="1:10" ht="28.8" x14ac:dyDescent="0.3">
      <c r="A251" s="27" t="s">
        <v>103</v>
      </c>
      <c r="B251" s="34"/>
      <c r="E251" s="36" t="s">
        <v>650</v>
      </c>
      <c r="J251" s="35"/>
    </row>
    <row r="252" spans="1:10" ht="28.8" x14ac:dyDescent="0.3">
      <c r="A252" s="27" t="s">
        <v>103</v>
      </c>
      <c r="B252" s="34"/>
      <c r="E252" s="36" t="s">
        <v>651</v>
      </c>
      <c r="J252" s="35"/>
    </row>
    <row r="253" spans="1:10" ht="28.8" x14ac:dyDescent="0.3">
      <c r="A253" s="27" t="s">
        <v>103</v>
      </c>
      <c r="B253" s="34"/>
      <c r="E253" s="36" t="s">
        <v>652</v>
      </c>
      <c r="J253" s="35"/>
    </row>
    <row r="254" spans="1:10" ht="28.8" x14ac:dyDescent="0.3">
      <c r="A254" s="27" t="s">
        <v>103</v>
      </c>
      <c r="B254" s="34"/>
      <c r="E254" s="36" t="s">
        <v>653</v>
      </c>
      <c r="J254" s="35"/>
    </row>
    <row r="255" spans="1:10" ht="28.8" x14ac:dyDescent="0.3">
      <c r="A255" s="27" t="s">
        <v>103</v>
      </c>
      <c r="B255" s="34"/>
      <c r="E255" s="36" t="s">
        <v>654</v>
      </c>
      <c r="J255" s="35"/>
    </row>
    <row r="256" spans="1:10" ht="28.8" x14ac:dyDescent="0.3">
      <c r="A256" s="27" t="s">
        <v>103</v>
      </c>
      <c r="B256" s="34"/>
      <c r="E256" s="36" t="s">
        <v>655</v>
      </c>
      <c r="J256" s="35"/>
    </row>
    <row r="257" spans="1:16" ht="28.8" x14ac:dyDescent="0.3">
      <c r="A257" s="27" t="s">
        <v>103</v>
      </c>
      <c r="B257" s="34"/>
      <c r="E257" s="36" t="s">
        <v>656</v>
      </c>
      <c r="J257" s="35"/>
    </row>
    <row r="258" spans="1:16" ht="28.8" x14ac:dyDescent="0.3">
      <c r="A258" s="27" t="s">
        <v>103</v>
      </c>
      <c r="B258" s="34"/>
      <c r="E258" s="36" t="s">
        <v>657</v>
      </c>
      <c r="J258" s="35"/>
    </row>
    <row r="259" spans="1:16" ht="28.8" x14ac:dyDescent="0.3">
      <c r="A259" s="27" t="s">
        <v>103</v>
      </c>
      <c r="B259" s="34"/>
      <c r="E259" s="36" t="s">
        <v>658</v>
      </c>
      <c r="J259" s="35"/>
    </row>
    <row r="260" spans="1:16" ht="28.8" x14ac:dyDescent="0.3">
      <c r="A260" s="27" t="s">
        <v>103</v>
      </c>
      <c r="B260" s="34"/>
      <c r="E260" s="36" t="s">
        <v>659</v>
      </c>
      <c r="J260" s="35"/>
    </row>
    <row r="261" spans="1:16" ht="28.8" x14ac:dyDescent="0.3">
      <c r="A261" s="27" t="s">
        <v>103</v>
      </c>
      <c r="B261" s="34"/>
      <c r="E261" s="36" t="s">
        <v>660</v>
      </c>
      <c r="J261" s="35"/>
    </row>
    <row r="262" spans="1:16" ht="28.8" x14ac:dyDescent="0.3">
      <c r="A262" s="27" t="s">
        <v>103</v>
      </c>
      <c r="B262" s="34"/>
      <c r="E262" s="36" t="s">
        <v>661</v>
      </c>
      <c r="J262" s="35"/>
    </row>
    <row r="263" spans="1:16" ht="28.8" x14ac:dyDescent="0.3">
      <c r="A263" s="27" t="s">
        <v>103</v>
      </c>
      <c r="B263" s="34"/>
      <c r="E263" s="36" t="s">
        <v>662</v>
      </c>
      <c r="J263" s="35"/>
    </row>
    <row r="264" spans="1:16" ht="28.8" x14ac:dyDescent="0.3">
      <c r="A264" s="27" t="s">
        <v>103</v>
      </c>
      <c r="B264" s="34"/>
      <c r="E264" s="36" t="s">
        <v>663</v>
      </c>
      <c r="J264" s="35"/>
    </row>
    <row r="265" spans="1:16" ht="28.8" x14ac:dyDescent="0.3">
      <c r="A265" s="27" t="s">
        <v>103</v>
      </c>
      <c r="B265" s="34"/>
      <c r="E265" s="36" t="s">
        <v>664</v>
      </c>
      <c r="J265" s="35"/>
    </row>
    <row r="266" spans="1:16" ht="28.8" x14ac:dyDescent="0.3">
      <c r="A266" s="27" t="s">
        <v>103</v>
      </c>
      <c r="B266" s="34"/>
      <c r="E266" s="36" t="s">
        <v>665</v>
      </c>
      <c r="J266" s="35"/>
    </row>
    <row r="267" spans="1:16" ht="28.8" x14ac:dyDescent="0.3">
      <c r="A267" s="27" t="s">
        <v>103</v>
      </c>
      <c r="B267" s="34"/>
      <c r="E267" s="36" t="s">
        <v>666</v>
      </c>
      <c r="J267" s="35"/>
    </row>
    <row r="268" spans="1:16" x14ac:dyDescent="0.3">
      <c r="A268" s="27" t="s">
        <v>103</v>
      </c>
      <c r="B268" s="34"/>
      <c r="E268" s="36" t="s">
        <v>667</v>
      </c>
      <c r="J268" s="35"/>
    </row>
    <row r="269" spans="1:16" ht="187.2" x14ac:dyDescent="0.3">
      <c r="A269" s="27" t="s">
        <v>105</v>
      </c>
      <c r="B269" s="34"/>
      <c r="E269" s="29" t="s">
        <v>668</v>
      </c>
      <c r="J269" s="35"/>
    </row>
    <row r="270" spans="1:16" x14ac:dyDescent="0.3">
      <c r="A270" s="21" t="s">
        <v>92</v>
      </c>
      <c r="B270" s="22"/>
      <c r="C270" s="23" t="s">
        <v>121</v>
      </c>
      <c r="D270" s="24"/>
      <c r="E270" s="21" t="s">
        <v>669</v>
      </c>
      <c r="F270" s="24"/>
      <c r="G270" s="24"/>
      <c r="H270" s="24"/>
      <c r="I270" s="25">
        <f>SUMIFS(I271:I295,A271:A295,"P")</f>
        <v>0</v>
      </c>
      <c r="J270" s="26"/>
    </row>
    <row r="271" spans="1:16" x14ac:dyDescent="0.3">
      <c r="A271" s="27" t="s">
        <v>95</v>
      </c>
      <c r="B271" s="27">
        <v>9</v>
      </c>
      <c r="C271" s="28" t="s">
        <v>670</v>
      </c>
      <c r="D271" s="27" t="s">
        <v>129</v>
      </c>
      <c r="E271" s="29" t="s">
        <v>671</v>
      </c>
      <c r="F271" s="30" t="s">
        <v>229</v>
      </c>
      <c r="G271" s="31">
        <v>0.438</v>
      </c>
      <c r="H271" s="32">
        <v>0</v>
      </c>
      <c r="I271" s="32">
        <f>ROUND(0.438*H271,P4)</f>
        <v>0</v>
      </c>
      <c r="J271" s="30" t="s">
        <v>118</v>
      </c>
      <c r="O271" s="33">
        <f>I271*0.21</f>
        <v>0</v>
      </c>
      <c r="P271">
        <v>3</v>
      </c>
    </row>
    <row r="272" spans="1:16" ht="158.4" x14ac:dyDescent="0.3">
      <c r="A272" s="27" t="s">
        <v>101</v>
      </c>
      <c r="B272" s="34"/>
      <c r="E272" s="29" t="s">
        <v>672</v>
      </c>
      <c r="J272" s="35"/>
    </row>
    <row r="273" spans="1:16" ht="28.8" x14ac:dyDescent="0.3">
      <c r="A273" s="27" t="s">
        <v>103</v>
      </c>
      <c r="B273" s="34"/>
      <c r="E273" s="36" t="s">
        <v>673</v>
      </c>
      <c r="J273" s="35"/>
    </row>
    <row r="274" spans="1:16" ht="28.8" x14ac:dyDescent="0.3">
      <c r="A274" s="27" t="s">
        <v>103</v>
      </c>
      <c r="B274" s="34"/>
      <c r="E274" s="36" t="s">
        <v>674</v>
      </c>
      <c r="J274" s="35"/>
    </row>
    <row r="275" spans="1:16" ht="28.8" x14ac:dyDescent="0.3">
      <c r="A275" s="27" t="s">
        <v>103</v>
      </c>
      <c r="B275" s="34"/>
      <c r="E275" s="36" t="s">
        <v>675</v>
      </c>
      <c r="J275" s="35"/>
    </row>
    <row r="276" spans="1:16" ht="28.8" x14ac:dyDescent="0.3">
      <c r="A276" s="27" t="s">
        <v>103</v>
      </c>
      <c r="B276" s="34"/>
      <c r="E276" s="36" t="s">
        <v>676</v>
      </c>
      <c r="J276" s="35"/>
    </row>
    <row r="277" spans="1:16" ht="28.8" x14ac:dyDescent="0.3">
      <c r="A277" s="27" t="s">
        <v>103</v>
      </c>
      <c r="B277" s="34"/>
      <c r="E277" s="36" t="s">
        <v>677</v>
      </c>
      <c r="J277" s="35"/>
    </row>
    <row r="278" spans="1:16" ht="28.8" x14ac:dyDescent="0.3">
      <c r="A278" s="27" t="s">
        <v>103</v>
      </c>
      <c r="B278" s="34"/>
      <c r="E278" s="36" t="s">
        <v>678</v>
      </c>
      <c r="J278" s="35"/>
    </row>
    <row r="279" spans="1:16" x14ac:dyDescent="0.3">
      <c r="A279" s="27" t="s">
        <v>103</v>
      </c>
      <c r="B279" s="34"/>
      <c r="E279" s="36" t="s">
        <v>679</v>
      </c>
      <c r="J279" s="35"/>
    </row>
    <row r="280" spans="1:16" ht="409.6" x14ac:dyDescent="0.3">
      <c r="A280" s="27" t="s">
        <v>105</v>
      </c>
      <c r="B280" s="34"/>
      <c r="E280" s="29" t="s">
        <v>680</v>
      </c>
      <c r="J280" s="35"/>
    </row>
    <row r="281" spans="1:16" x14ac:dyDescent="0.3">
      <c r="A281" s="27" t="s">
        <v>95</v>
      </c>
      <c r="B281" s="27">
        <v>10</v>
      </c>
      <c r="C281" s="28" t="s">
        <v>681</v>
      </c>
      <c r="D281" s="27" t="s">
        <v>97</v>
      </c>
      <c r="E281" s="29" t="s">
        <v>682</v>
      </c>
      <c r="F281" s="30" t="s">
        <v>229</v>
      </c>
      <c r="G281" s="31">
        <v>2.0019999999999998</v>
      </c>
      <c r="H281" s="32">
        <v>0</v>
      </c>
      <c r="I281" s="32">
        <f>ROUND(1.372*H281,P4)+ROUND(0.63*H281,P4)</f>
        <v>0</v>
      </c>
      <c r="J281" s="30" t="s">
        <v>118</v>
      </c>
      <c r="O281" s="33">
        <f>I281*0.21</f>
        <v>0</v>
      </c>
      <c r="P281">
        <v>3</v>
      </c>
    </row>
    <row r="282" spans="1:16" ht="158.4" x14ac:dyDescent="0.3">
      <c r="A282" s="27" t="s">
        <v>101</v>
      </c>
      <c r="B282" s="34"/>
      <c r="E282" s="29" t="s">
        <v>683</v>
      </c>
      <c r="J282" s="35"/>
    </row>
    <row r="283" spans="1:16" ht="28.8" x14ac:dyDescent="0.3">
      <c r="A283" s="27" t="s">
        <v>103</v>
      </c>
      <c r="B283" s="34"/>
      <c r="E283" s="36" t="s">
        <v>684</v>
      </c>
      <c r="J283" s="35"/>
    </row>
    <row r="284" spans="1:16" ht="28.8" x14ac:dyDescent="0.3">
      <c r="A284" s="27" t="s">
        <v>103</v>
      </c>
      <c r="B284" s="34"/>
      <c r="E284" s="36" t="s">
        <v>685</v>
      </c>
      <c r="J284" s="35"/>
    </row>
    <row r="285" spans="1:16" ht="28.8" x14ac:dyDescent="0.3">
      <c r="A285" s="27" t="s">
        <v>103</v>
      </c>
      <c r="B285" s="34"/>
      <c r="E285" s="36" t="s">
        <v>686</v>
      </c>
      <c r="J285" s="35"/>
    </row>
    <row r="286" spans="1:16" ht="28.8" x14ac:dyDescent="0.3">
      <c r="A286" s="27" t="s">
        <v>103</v>
      </c>
      <c r="B286" s="34"/>
      <c r="E286" s="36" t="s">
        <v>687</v>
      </c>
      <c r="J286" s="35"/>
    </row>
    <row r="287" spans="1:16" ht="28.8" x14ac:dyDescent="0.3">
      <c r="A287" s="27" t="s">
        <v>103</v>
      </c>
      <c r="B287" s="34"/>
      <c r="E287" s="36" t="s">
        <v>688</v>
      </c>
      <c r="J287" s="35"/>
    </row>
    <row r="288" spans="1:16" ht="28.8" x14ac:dyDescent="0.3">
      <c r="A288" s="27" t="s">
        <v>103</v>
      </c>
      <c r="B288" s="34"/>
      <c r="E288" s="36" t="s">
        <v>689</v>
      </c>
      <c r="J288" s="35"/>
    </row>
    <row r="289" spans="1:16" ht="28.8" x14ac:dyDescent="0.3">
      <c r="A289" s="27" t="s">
        <v>103</v>
      </c>
      <c r="B289" s="34"/>
      <c r="E289" s="36" t="s">
        <v>690</v>
      </c>
      <c r="J289" s="35"/>
    </row>
    <row r="290" spans="1:16" x14ac:dyDescent="0.3">
      <c r="A290" s="27" t="s">
        <v>103</v>
      </c>
      <c r="B290" s="34"/>
      <c r="E290" s="36" t="s">
        <v>691</v>
      </c>
      <c r="J290" s="35"/>
    </row>
    <row r="291" spans="1:16" ht="28.8" x14ac:dyDescent="0.3">
      <c r="A291" s="27" t="s">
        <v>103</v>
      </c>
      <c r="B291" s="34"/>
      <c r="E291" s="36" t="s">
        <v>692</v>
      </c>
      <c r="J291" s="35"/>
    </row>
    <row r="292" spans="1:16" ht="28.8" x14ac:dyDescent="0.3">
      <c r="A292" s="27" t="s">
        <v>103</v>
      </c>
      <c r="B292" s="34"/>
      <c r="E292" s="36" t="s">
        <v>693</v>
      </c>
      <c r="J292" s="35"/>
    </row>
    <row r="293" spans="1:16" ht="28.8" x14ac:dyDescent="0.3">
      <c r="A293" s="27" t="s">
        <v>103</v>
      </c>
      <c r="B293" s="34"/>
      <c r="E293" s="36" t="s">
        <v>694</v>
      </c>
      <c r="J293" s="35"/>
    </row>
    <row r="294" spans="1:16" x14ac:dyDescent="0.3">
      <c r="A294" s="27" t="s">
        <v>103</v>
      </c>
      <c r="B294" s="34"/>
      <c r="E294" s="36" t="s">
        <v>695</v>
      </c>
      <c r="J294" s="35"/>
    </row>
    <row r="295" spans="1:16" ht="57.6" x14ac:dyDescent="0.3">
      <c r="A295" s="27" t="s">
        <v>105</v>
      </c>
      <c r="B295" s="34"/>
      <c r="E295" s="29" t="s">
        <v>696</v>
      </c>
      <c r="J295" s="35"/>
    </row>
    <row r="296" spans="1:16" x14ac:dyDescent="0.3">
      <c r="A296" s="21" t="s">
        <v>92</v>
      </c>
      <c r="B296" s="22"/>
      <c r="C296" s="23" t="s">
        <v>124</v>
      </c>
      <c r="D296" s="24"/>
      <c r="E296" s="21" t="s">
        <v>226</v>
      </c>
      <c r="F296" s="24"/>
      <c r="G296" s="24"/>
      <c r="H296" s="24"/>
      <c r="I296" s="25">
        <f>SUMIFS(I297:I768,A297:A768,"P")</f>
        <v>0</v>
      </c>
      <c r="J296" s="26"/>
    </row>
    <row r="297" spans="1:16" x14ac:dyDescent="0.3">
      <c r="A297" s="27" t="s">
        <v>95</v>
      </c>
      <c r="B297" s="27">
        <v>11</v>
      </c>
      <c r="C297" s="28" t="s">
        <v>697</v>
      </c>
      <c r="D297" s="27" t="s">
        <v>97</v>
      </c>
      <c r="E297" s="29" t="s">
        <v>698</v>
      </c>
      <c r="F297" s="30" t="s">
        <v>229</v>
      </c>
      <c r="G297" s="31">
        <v>2124.2049999999999</v>
      </c>
      <c r="H297" s="32">
        <v>0</v>
      </c>
      <c r="I297" s="32">
        <f>ROUND(7.282*H297,P4)+ROUND(1297.37*H297,P4)+ROUND(819.553*H297,P4)</f>
        <v>0</v>
      </c>
      <c r="J297" s="30" t="s">
        <v>118</v>
      </c>
      <c r="O297" s="33">
        <f>I297*0.21</f>
        <v>0</v>
      </c>
      <c r="P297">
        <v>3</v>
      </c>
    </row>
    <row r="298" spans="1:16" ht="158.4" x14ac:dyDescent="0.3">
      <c r="A298" s="27" t="s">
        <v>101</v>
      </c>
      <c r="B298" s="34"/>
      <c r="E298" s="29" t="s">
        <v>699</v>
      </c>
      <c r="J298" s="35"/>
    </row>
    <row r="299" spans="1:16" ht="28.8" x14ac:dyDescent="0.3">
      <c r="A299" s="27" t="s">
        <v>103</v>
      </c>
      <c r="B299" s="34"/>
      <c r="E299" s="36" t="s">
        <v>700</v>
      </c>
      <c r="J299" s="35"/>
    </row>
    <row r="300" spans="1:16" ht="28.8" x14ac:dyDescent="0.3">
      <c r="A300" s="27" t="s">
        <v>103</v>
      </c>
      <c r="B300" s="34"/>
      <c r="E300" s="36" t="s">
        <v>701</v>
      </c>
      <c r="J300" s="35"/>
    </row>
    <row r="301" spans="1:16" ht="28.8" x14ac:dyDescent="0.3">
      <c r="A301" s="27" t="s">
        <v>103</v>
      </c>
      <c r="B301" s="34"/>
      <c r="E301" s="36" t="s">
        <v>702</v>
      </c>
      <c r="J301" s="35"/>
    </row>
    <row r="302" spans="1:16" ht="28.8" x14ac:dyDescent="0.3">
      <c r="A302" s="27" t="s">
        <v>103</v>
      </c>
      <c r="B302" s="34"/>
      <c r="E302" s="36" t="s">
        <v>703</v>
      </c>
      <c r="J302" s="35"/>
    </row>
    <row r="303" spans="1:16" ht="28.8" x14ac:dyDescent="0.3">
      <c r="A303" s="27" t="s">
        <v>103</v>
      </c>
      <c r="B303" s="34"/>
      <c r="E303" s="36" t="s">
        <v>704</v>
      </c>
      <c r="J303" s="35"/>
    </row>
    <row r="304" spans="1:16" ht="28.8" x14ac:dyDescent="0.3">
      <c r="A304" s="27" t="s">
        <v>103</v>
      </c>
      <c r="B304" s="34"/>
      <c r="E304" s="36" t="s">
        <v>705</v>
      </c>
      <c r="J304" s="35"/>
    </row>
    <row r="305" spans="1:10" ht="28.8" x14ac:dyDescent="0.3">
      <c r="A305" s="27" t="s">
        <v>103</v>
      </c>
      <c r="B305" s="34"/>
      <c r="E305" s="36" t="s">
        <v>706</v>
      </c>
      <c r="J305" s="35"/>
    </row>
    <row r="306" spans="1:10" ht="28.8" x14ac:dyDescent="0.3">
      <c r="A306" s="27" t="s">
        <v>103</v>
      </c>
      <c r="B306" s="34"/>
      <c r="E306" s="36" t="s">
        <v>707</v>
      </c>
      <c r="J306" s="35"/>
    </row>
    <row r="307" spans="1:10" ht="28.8" x14ac:dyDescent="0.3">
      <c r="A307" s="27" t="s">
        <v>103</v>
      </c>
      <c r="B307" s="34"/>
      <c r="E307" s="36" t="s">
        <v>708</v>
      </c>
      <c r="J307" s="35"/>
    </row>
    <row r="308" spans="1:10" ht="28.8" x14ac:dyDescent="0.3">
      <c r="A308" s="27" t="s">
        <v>103</v>
      </c>
      <c r="B308" s="34"/>
      <c r="E308" s="36" t="s">
        <v>709</v>
      </c>
      <c r="J308" s="35"/>
    </row>
    <row r="309" spans="1:10" ht="28.8" x14ac:dyDescent="0.3">
      <c r="A309" s="27" t="s">
        <v>103</v>
      </c>
      <c r="B309" s="34"/>
      <c r="E309" s="36" t="s">
        <v>710</v>
      </c>
      <c r="J309" s="35"/>
    </row>
    <row r="310" spans="1:10" ht="28.8" x14ac:dyDescent="0.3">
      <c r="A310" s="27" t="s">
        <v>103</v>
      </c>
      <c r="B310" s="34"/>
      <c r="E310" s="36" t="s">
        <v>711</v>
      </c>
      <c r="J310" s="35"/>
    </row>
    <row r="311" spans="1:10" ht="28.8" x14ac:dyDescent="0.3">
      <c r="A311" s="27" t="s">
        <v>103</v>
      </c>
      <c r="B311" s="34"/>
      <c r="E311" s="36" t="s">
        <v>712</v>
      </c>
      <c r="J311" s="35"/>
    </row>
    <row r="312" spans="1:10" ht="28.8" x14ac:dyDescent="0.3">
      <c r="A312" s="27" t="s">
        <v>103</v>
      </c>
      <c r="B312" s="34"/>
      <c r="E312" s="36" t="s">
        <v>713</v>
      </c>
      <c r="J312" s="35"/>
    </row>
    <row r="313" spans="1:10" ht="28.8" x14ac:dyDescent="0.3">
      <c r="A313" s="27" t="s">
        <v>103</v>
      </c>
      <c r="B313" s="34"/>
      <c r="E313" s="36" t="s">
        <v>714</v>
      </c>
      <c r="J313" s="35"/>
    </row>
    <row r="314" spans="1:10" ht="28.8" x14ac:dyDescent="0.3">
      <c r="A314" s="27" t="s">
        <v>103</v>
      </c>
      <c r="B314" s="34"/>
      <c r="E314" s="36" t="s">
        <v>715</v>
      </c>
      <c r="J314" s="35"/>
    </row>
    <row r="315" spans="1:10" ht="28.8" x14ac:dyDescent="0.3">
      <c r="A315" s="27" t="s">
        <v>103</v>
      </c>
      <c r="B315" s="34"/>
      <c r="E315" s="36" t="s">
        <v>716</v>
      </c>
      <c r="J315" s="35"/>
    </row>
    <row r="316" spans="1:10" x14ac:dyDescent="0.3">
      <c r="A316" s="27" t="s">
        <v>103</v>
      </c>
      <c r="B316" s="34"/>
      <c r="E316" s="36" t="s">
        <v>717</v>
      </c>
      <c r="J316" s="35"/>
    </row>
    <row r="317" spans="1:10" ht="28.8" x14ac:dyDescent="0.3">
      <c r="A317" s="27" t="s">
        <v>103</v>
      </c>
      <c r="B317" s="34"/>
      <c r="E317" s="36" t="s">
        <v>718</v>
      </c>
      <c r="J317" s="35"/>
    </row>
    <row r="318" spans="1:10" ht="28.8" x14ac:dyDescent="0.3">
      <c r="A318" s="27" t="s">
        <v>103</v>
      </c>
      <c r="B318" s="34"/>
      <c r="E318" s="36" t="s">
        <v>719</v>
      </c>
      <c r="J318" s="35"/>
    </row>
    <row r="319" spans="1:10" ht="28.8" x14ac:dyDescent="0.3">
      <c r="A319" s="27" t="s">
        <v>103</v>
      </c>
      <c r="B319" s="34"/>
      <c r="E319" s="36" t="s">
        <v>720</v>
      </c>
      <c r="J319" s="35"/>
    </row>
    <row r="320" spans="1:10" ht="28.8" x14ac:dyDescent="0.3">
      <c r="A320" s="27" t="s">
        <v>103</v>
      </c>
      <c r="B320" s="34"/>
      <c r="E320" s="36" t="s">
        <v>721</v>
      </c>
      <c r="J320" s="35"/>
    </row>
    <row r="321" spans="1:10" ht="28.8" x14ac:dyDescent="0.3">
      <c r="A321" s="27" t="s">
        <v>103</v>
      </c>
      <c r="B321" s="34"/>
      <c r="E321" s="36" t="s">
        <v>722</v>
      </c>
      <c r="J321" s="35"/>
    </row>
    <row r="322" spans="1:10" ht="28.8" x14ac:dyDescent="0.3">
      <c r="A322" s="27" t="s">
        <v>103</v>
      </c>
      <c r="B322" s="34"/>
      <c r="E322" s="36" t="s">
        <v>723</v>
      </c>
      <c r="J322" s="35"/>
    </row>
    <row r="323" spans="1:10" ht="28.8" x14ac:dyDescent="0.3">
      <c r="A323" s="27" t="s">
        <v>103</v>
      </c>
      <c r="B323" s="34"/>
      <c r="E323" s="36" t="s">
        <v>724</v>
      </c>
      <c r="J323" s="35"/>
    </row>
    <row r="324" spans="1:10" ht="28.8" x14ac:dyDescent="0.3">
      <c r="A324" s="27" t="s">
        <v>103</v>
      </c>
      <c r="B324" s="34"/>
      <c r="E324" s="36" t="s">
        <v>725</v>
      </c>
      <c r="J324" s="35"/>
    </row>
    <row r="325" spans="1:10" ht="28.8" x14ac:dyDescent="0.3">
      <c r="A325" s="27" t="s">
        <v>103</v>
      </c>
      <c r="B325" s="34"/>
      <c r="E325" s="36" t="s">
        <v>726</v>
      </c>
      <c r="J325" s="35"/>
    </row>
    <row r="326" spans="1:10" ht="28.8" x14ac:dyDescent="0.3">
      <c r="A326" s="27" t="s">
        <v>103</v>
      </c>
      <c r="B326" s="34"/>
      <c r="E326" s="36" t="s">
        <v>727</v>
      </c>
      <c r="J326" s="35"/>
    </row>
    <row r="327" spans="1:10" ht="28.8" x14ac:dyDescent="0.3">
      <c r="A327" s="27" t="s">
        <v>103</v>
      </c>
      <c r="B327" s="34"/>
      <c r="E327" s="36" t="s">
        <v>728</v>
      </c>
      <c r="J327" s="35"/>
    </row>
    <row r="328" spans="1:10" ht="28.8" x14ac:dyDescent="0.3">
      <c r="A328" s="27" t="s">
        <v>103</v>
      </c>
      <c r="B328" s="34"/>
      <c r="E328" s="36" t="s">
        <v>729</v>
      </c>
      <c r="J328" s="35"/>
    </row>
    <row r="329" spans="1:10" ht="28.8" x14ac:dyDescent="0.3">
      <c r="A329" s="27" t="s">
        <v>103</v>
      </c>
      <c r="B329" s="34"/>
      <c r="E329" s="36" t="s">
        <v>730</v>
      </c>
      <c r="J329" s="35"/>
    </row>
    <row r="330" spans="1:10" ht="28.8" x14ac:dyDescent="0.3">
      <c r="A330" s="27" t="s">
        <v>103</v>
      </c>
      <c r="B330" s="34"/>
      <c r="E330" s="36" t="s">
        <v>731</v>
      </c>
      <c r="J330" s="35"/>
    </row>
    <row r="331" spans="1:10" ht="28.8" x14ac:dyDescent="0.3">
      <c r="A331" s="27" t="s">
        <v>103</v>
      </c>
      <c r="B331" s="34"/>
      <c r="E331" s="36" t="s">
        <v>732</v>
      </c>
      <c r="J331" s="35"/>
    </row>
    <row r="332" spans="1:10" ht="28.8" x14ac:dyDescent="0.3">
      <c r="A332" s="27" t="s">
        <v>103</v>
      </c>
      <c r="B332" s="34"/>
      <c r="E332" s="36" t="s">
        <v>733</v>
      </c>
      <c r="J332" s="35"/>
    </row>
    <row r="333" spans="1:10" ht="28.8" x14ac:dyDescent="0.3">
      <c r="A333" s="27" t="s">
        <v>103</v>
      </c>
      <c r="B333" s="34"/>
      <c r="E333" s="36" t="s">
        <v>734</v>
      </c>
      <c r="J333" s="35"/>
    </row>
    <row r="334" spans="1:10" ht="28.8" x14ac:dyDescent="0.3">
      <c r="A334" s="27" t="s">
        <v>103</v>
      </c>
      <c r="B334" s="34"/>
      <c r="E334" s="36" t="s">
        <v>735</v>
      </c>
      <c r="J334" s="35"/>
    </row>
    <row r="335" spans="1:10" ht="28.8" x14ac:dyDescent="0.3">
      <c r="A335" s="27" t="s">
        <v>103</v>
      </c>
      <c r="B335" s="34"/>
      <c r="E335" s="36" t="s">
        <v>736</v>
      </c>
      <c r="J335" s="35"/>
    </row>
    <row r="336" spans="1:10" ht="28.8" x14ac:dyDescent="0.3">
      <c r="A336" s="27" t="s">
        <v>103</v>
      </c>
      <c r="B336" s="34"/>
      <c r="E336" s="36" t="s">
        <v>737</v>
      </c>
      <c r="J336" s="35"/>
    </row>
    <row r="337" spans="1:10" ht="28.8" x14ac:dyDescent="0.3">
      <c r="A337" s="27" t="s">
        <v>103</v>
      </c>
      <c r="B337" s="34"/>
      <c r="E337" s="36" t="s">
        <v>738</v>
      </c>
      <c r="J337" s="35"/>
    </row>
    <row r="338" spans="1:10" ht="28.8" x14ac:dyDescent="0.3">
      <c r="A338" s="27" t="s">
        <v>103</v>
      </c>
      <c r="B338" s="34"/>
      <c r="E338" s="36" t="s">
        <v>739</v>
      </c>
      <c r="J338" s="35"/>
    </row>
    <row r="339" spans="1:10" ht="28.8" x14ac:dyDescent="0.3">
      <c r="A339" s="27" t="s">
        <v>103</v>
      </c>
      <c r="B339" s="34"/>
      <c r="E339" s="36" t="s">
        <v>740</v>
      </c>
      <c r="J339" s="35"/>
    </row>
    <row r="340" spans="1:10" ht="28.8" x14ac:dyDescent="0.3">
      <c r="A340" s="27" t="s">
        <v>103</v>
      </c>
      <c r="B340" s="34"/>
      <c r="E340" s="36" t="s">
        <v>741</v>
      </c>
      <c r="J340" s="35"/>
    </row>
    <row r="341" spans="1:10" ht="28.8" x14ac:dyDescent="0.3">
      <c r="A341" s="27" t="s">
        <v>103</v>
      </c>
      <c r="B341" s="34"/>
      <c r="E341" s="36" t="s">
        <v>742</v>
      </c>
      <c r="J341" s="35"/>
    </row>
    <row r="342" spans="1:10" x14ac:dyDescent="0.3">
      <c r="A342" s="27" t="s">
        <v>103</v>
      </c>
      <c r="B342" s="34"/>
      <c r="E342" s="36" t="s">
        <v>743</v>
      </c>
      <c r="J342" s="35"/>
    </row>
    <row r="343" spans="1:10" ht="28.8" x14ac:dyDescent="0.3">
      <c r="A343" s="27" t="s">
        <v>103</v>
      </c>
      <c r="B343" s="34"/>
      <c r="E343" s="36" t="s">
        <v>744</v>
      </c>
      <c r="J343" s="35"/>
    </row>
    <row r="344" spans="1:10" ht="28.8" x14ac:dyDescent="0.3">
      <c r="A344" s="27" t="s">
        <v>103</v>
      </c>
      <c r="B344" s="34"/>
      <c r="E344" s="36" t="s">
        <v>745</v>
      </c>
      <c r="J344" s="35"/>
    </row>
    <row r="345" spans="1:10" ht="28.8" x14ac:dyDescent="0.3">
      <c r="A345" s="27" t="s">
        <v>103</v>
      </c>
      <c r="B345" s="34"/>
      <c r="E345" s="36" t="s">
        <v>746</v>
      </c>
      <c r="J345" s="35"/>
    </row>
    <row r="346" spans="1:10" ht="28.8" x14ac:dyDescent="0.3">
      <c r="A346" s="27" t="s">
        <v>103</v>
      </c>
      <c r="B346" s="34"/>
      <c r="E346" s="36" t="s">
        <v>747</v>
      </c>
      <c r="J346" s="35"/>
    </row>
    <row r="347" spans="1:10" ht="28.8" x14ac:dyDescent="0.3">
      <c r="A347" s="27" t="s">
        <v>103</v>
      </c>
      <c r="B347" s="34"/>
      <c r="E347" s="36" t="s">
        <v>748</v>
      </c>
      <c r="J347" s="35"/>
    </row>
    <row r="348" spans="1:10" ht="28.8" x14ac:dyDescent="0.3">
      <c r="A348" s="27" t="s">
        <v>103</v>
      </c>
      <c r="B348" s="34"/>
      <c r="E348" s="36" t="s">
        <v>749</v>
      </c>
      <c r="J348" s="35"/>
    </row>
    <row r="349" spans="1:10" ht="28.8" x14ac:dyDescent="0.3">
      <c r="A349" s="27" t="s">
        <v>103</v>
      </c>
      <c r="B349" s="34"/>
      <c r="E349" s="36" t="s">
        <v>750</v>
      </c>
      <c r="J349" s="35"/>
    </row>
    <row r="350" spans="1:10" ht="28.8" x14ac:dyDescent="0.3">
      <c r="A350" s="27" t="s">
        <v>103</v>
      </c>
      <c r="B350" s="34"/>
      <c r="E350" s="36" t="s">
        <v>751</v>
      </c>
      <c r="J350" s="35"/>
    </row>
    <row r="351" spans="1:10" ht="28.8" x14ac:dyDescent="0.3">
      <c r="A351" s="27" t="s">
        <v>103</v>
      </c>
      <c r="B351" s="34"/>
      <c r="E351" s="36" t="s">
        <v>752</v>
      </c>
      <c r="J351" s="35"/>
    </row>
    <row r="352" spans="1:10" ht="28.8" x14ac:dyDescent="0.3">
      <c r="A352" s="27" t="s">
        <v>103</v>
      </c>
      <c r="B352" s="34"/>
      <c r="E352" s="36" t="s">
        <v>753</v>
      </c>
      <c r="J352" s="35"/>
    </row>
    <row r="353" spans="1:16" ht="28.8" x14ac:dyDescent="0.3">
      <c r="A353" s="27" t="s">
        <v>103</v>
      </c>
      <c r="B353" s="34"/>
      <c r="E353" s="36" t="s">
        <v>754</v>
      </c>
      <c r="J353" s="35"/>
    </row>
    <row r="354" spans="1:16" ht="28.8" x14ac:dyDescent="0.3">
      <c r="A354" s="27" t="s">
        <v>103</v>
      </c>
      <c r="B354" s="34"/>
      <c r="E354" s="36" t="s">
        <v>755</v>
      </c>
      <c r="J354" s="35"/>
    </row>
    <row r="355" spans="1:16" ht="28.8" x14ac:dyDescent="0.3">
      <c r="A355" s="27" t="s">
        <v>103</v>
      </c>
      <c r="B355" s="34"/>
      <c r="E355" s="36" t="s">
        <v>756</v>
      </c>
      <c r="J355" s="35"/>
    </row>
    <row r="356" spans="1:16" ht="28.8" x14ac:dyDescent="0.3">
      <c r="A356" s="27" t="s">
        <v>103</v>
      </c>
      <c r="B356" s="34"/>
      <c r="E356" s="36" t="s">
        <v>757</v>
      </c>
      <c r="J356" s="35"/>
    </row>
    <row r="357" spans="1:16" ht="28.8" x14ac:dyDescent="0.3">
      <c r="A357" s="27" t="s">
        <v>103</v>
      </c>
      <c r="B357" s="34"/>
      <c r="E357" s="36" t="s">
        <v>758</v>
      </c>
      <c r="J357" s="35"/>
    </row>
    <row r="358" spans="1:16" ht="28.8" x14ac:dyDescent="0.3">
      <c r="A358" s="27" t="s">
        <v>103</v>
      </c>
      <c r="B358" s="34"/>
      <c r="E358" s="36" t="s">
        <v>759</v>
      </c>
      <c r="J358" s="35"/>
    </row>
    <row r="359" spans="1:16" ht="28.8" x14ac:dyDescent="0.3">
      <c r="A359" s="27" t="s">
        <v>103</v>
      </c>
      <c r="B359" s="34"/>
      <c r="E359" s="36" t="s">
        <v>760</v>
      </c>
      <c r="J359" s="35"/>
    </row>
    <row r="360" spans="1:16" ht="28.8" x14ac:dyDescent="0.3">
      <c r="A360" s="27" t="s">
        <v>103</v>
      </c>
      <c r="B360" s="34"/>
      <c r="E360" s="36" t="s">
        <v>761</v>
      </c>
      <c r="J360" s="35"/>
    </row>
    <row r="361" spans="1:16" ht="28.8" x14ac:dyDescent="0.3">
      <c r="A361" s="27" t="s">
        <v>103</v>
      </c>
      <c r="B361" s="34"/>
      <c r="E361" s="36" t="s">
        <v>762</v>
      </c>
      <c r="J361" s="35"/>
    </row>
    <row r="362" spans="1:16" ht="28.8" x14ac:dyDescent="0.3">
      <c r="A362" s="27" t="s">
        <v>103</v>
      </c>
      <c r="B362" s="34"/>
      <c r="E362" s="36" t="s">
        <v>763</v>
      </c>
      <c r="J362" s="35"/>
    </row>
    <row r="363" spans="1:16" x14ac:dyDescent="0.3">
      <c r="A363" s="27" t="s">
        <v>103</v>
      </c>
      <c r="B363" s="34"/>
      <c r="E363" s="36" t="s">
        <v>764</v>
      </c>
      <c r="J363" s="35"/>
    </row>
    <row r="364" spans="1:16" ht="57.6" x14ac:dyDescent="0.3">
      <c r="A364" s="27" t="s">
        <v>105</v>
      </c>
      <c r="B364" s="34"/>
      <c r="E364" s="29" t="s">
        <v>765</v>
      </c>
      <c r="J364" s="35"/>
    </row>
    <row r="365" spans="1:16" x14ac:dyDescent="0.3">
      <c r="A365" s="27" t="s">
        <v>95</v>
      </c>
      <c r="B365" s="27">
        <v>12</v>
      </c>
      <c r="C365" s="28" t="s">
        <v>697</v>
      </c>
      <c r="D365" s="27" t="s">
        <v>107</v>
      </c>
      <c r="E365" s="29" t="s">
        <v>698</v>
      </c>
      <c r="F365" s="30" t="s">
        <v>229</v>
      </c>
      <c r="G365" s="31">
        <v>1899.84</v>
      </c>
      <c r="H365" s="32">
        <v>0</v>
      </c>
      <c r="I365" s="32">
        <f>ROUND(735.023*H365,P4)+ROUND(18.124*H365,P4)+ROUND(1146.693*H365,P4)</f>
        <v>0</v>
      </c>
      <c r="J365" s="30" t="s">
        <v>118</v>
      </c>
      <c r="O365" s="33">
        <f>I365*0.21</f>
        <v>0</v>
      </c>
      <c r="P365">
        <v>3</v>
      </c>
    </row>
    <row r="366" spans="1:16" ht="158.4" x14ac:dyDescent="0.3">
      <c r="A366" s="27" t="s">
        <v>101</v>
      </c>
      <c r="B366" s="34"/>
      <c r="E366" s="29" t="s">
        <v>766</v>
      </c>
      <c r="J366" s="35"/>
    </row>
    <row r="367" spans="1:16" ht="28.8" x14ac:dyDescent="0.3">
      <c r="A367" s="27" t="s">
        <v>103</v>
      </c>
      <c r="B367" s="34"/>
      <c r="E367" s="36" t="s">
        <v>767</v>
      </c>
      <c r="J367" s="35"/>
    </row>
    <row r="368" spans="1:16" ht="28.8" x14ac:dyDescent="0.3">
      <c r="A368" s="27" t="s">
        <v>103</v>
      </c>
      <c r="B368" s="34"/>
      <c r="E368" s="36" t="s">
        <v>768</v>
      </c>
      <c r="J368" s="35"/>
    </row>
    <row r="369" spans="1:10" ht="28.8" x14ac:dyDescent="0.3">
      <c r="A369" s="27" t="s">
        <v>103</v>
      </c>
      <c r="B369" s="34"/>
      <c r="E369" s="36" t="s">
        <v>769</v>
      </c>
      <c r="J369" s="35"/>
    </row>
    <row r="370" spans="1:10" ht="28.8" x14ac:dyDescent="0.3">
      <c r="A370" s="27" t="s">
        <v>103</v>
      </c>
      <c r="B370" s="34"/>
      <c r="E370" s="36" t="s">
        <v>770</v>
      </c>
      <c r="J370" s="35"/>
    </row>
    <row r="371" spans="1:10" ht="28.8" x14ac:dyDescent="0.3">
      <c r="A371" s="27" t="s">
        <v>103</v>
      </c>
      <c r="B371" s="34"/>
      <c r="E371" s="36" t="s">
        <v>771</v>
      </c>
      <c r="J371" s="35"/>
    </row>
    <row r="372" spans="1:10" ht="28.8" x14ac:dyDescent="0.3">
      <c r="A372" s="27" t="s">
        <v>103</v>
      </c>
      <c r="B372" s="34"/>
      <c r="E372" s="36" t="s">
        <v>772</v>
      </c>
      <c r="J372" s="35"/>
    </row>
    <row r="373" spans="1:10" ht="28.8" x14ac:dyDescent="0.3">
      <c r="A373" s="27" t="s">
        <v>103</v>
      </c>
      <c r="B373" s="34"/>
      <c r="E373" s="36" t="s">
        <v>773</v>
      </c>
      <c r="J373" s="35"/>
    </row>
    <row r="374" spans="1:10" ht="28.8" x14ac:dyDescent="0.3">
      <c r="A374" s="27" t="s">
        <v>103</v>
      </c>
      <c r="B374" s="34"/>
      <c r="E374" s="36" t="s">
        <v>774</v>
      </c>
      <c r="J374" s="35"/>
    </row>
    <row r="375" spans="1:10" ht="28.8" x14ac:dyDescent="0.3">
      <c r="A375" s="27" t="s">
        <v>103</v>
      </c>
      <c r="B375" s="34"/>
      <c r="E375" s="36" t="s">
        <v>775</v>
      </c>
      <c r="J375" s="35"/>
    </row>
    <row r="376" spans="1:10" ht="28.8" x14ac:dyDescent="0.3">
      <c r="A376" s="27" t="s">
        <v>103</v>
      </c>
      <c r="B376" s="34"/>
      <c r="E376" s="36" t="s">
        <v>776</v>
      </c>
      <c r="J376" s="35"/>
    </row>
    <row r="377" spans="1:10" ht="28.8" x14ac:dyDescent="0.3">
      <c r="A377" s="27" t="s">
        <v>103</v>
      </c>
      <c r="B377" s="34"/>
      <c r="E377" s="36" t="s">
        <v>777</v>
      </c>
      <c r="J377" s="35"/>
    </row>
    <row r="378" spans="1:10" ht="28.8" x14ac:dyDescent="0.3">
      <c r="A378" s="27" t="s">
        <v>103</v>
      </c>
      <c r="B378" s="34"/>
      <c r="E378" s="36" t="s">
        <v>778</v>
      </c>
      <c r="J378" s="35"/>
    </row>
    <row r="379" spans="1:10" ht="28.8" x14ac:dyDescent="0.3">
      <c r="A379" s="27" t="s">
        <v>103</v>
      </c>
      <c r="B379" s="34"/>
      <c r="E379" s="36" t="s">
        <v>779</v>
      </c>
      <c r="J379" s="35"/>
    </row>
    <row r="380" spans="1:10" ht="28.8" x14ac:dyDescent="0.3">
      <c r="A380" s="27" t="s">
        <v>103</v>
      </c>
      <c r="B380" s="34"/>
      <c r="E380" s="36" t="s">
        <v>780</v>
      </c>
      <c r="J380" s="35"/>
    </row>
    <row r="381" spans="1:10" ht="28.8" x14ac:dyDescent="0.3">
      <c r="A381" s="27" t="s">
        <v>103</v>
      </c>
      <c r="B381" s="34"/>
      <c r="E381" s="36" t="s">
        <v>781</v>
      </c>
      <c r="J381" s="35"/>
    </row>
    <row r="382" spans="1:10" ht="28.8" x14ac:dyDescent="0.3">
      <c r="A382" s="27" t="s">
        <v>103</v>
      </c>
      <c r="B382" s="34"/>
      <c r="E382" s="36" t="s">
        <v>782</v>
      </c>
      <c r="J382" s="35"/>
    </row>
    <row r="383" spans="1:10" ht="28.8" x14ac:dyDescent="0.3">
      <c r="A383" s="27" t="s">
        <v>103</v>
      </c>
      <c r="B383" s="34"/>
      <c r="E383" s="36" t="s">
        <v>783</v>
      </c>
      <c r="J383" s="35"/>
    </row>
    <row r="384" spans="1:10" ht="28.8" x14ac:dyDescent="0.3">
      <c r="A384" s="27" t="s">
        <v>103</v>
      </c>
      <c r="B384" s="34"/>
      <c r="E384" s="36" t="s">
        <v>784</v>
      </c>
      <c r="J384" s="35"/>
    </row>
    <row r="385" spans="1:10" ht="28.8" x14ac:dyDescent="0.3">
      <c r="A385" s="27" t="s">
        <v>103</v>
      </c>
      <c r="B385" s="34"/>
      <c r="E385" s="36" t="s">
        <v>785</v>
      </c>
      <c r="J385" s="35"/>
    </row>
    <row r="386" spans="1:10" ht="28.8" x14ac:dyDescent="0.3">
      <c r="A386" s="27" t="s">
        <v>103</v>
      </c>
      <c r="B386" s="34"/>
      <c r="E386" s="36" t="s">
        <v>786</v>
      </c>
      <c r="J386" s="35"/>
    </row>
    <row r="387" spans="1:10" ht="28.8" x14ac:dyDescent="0.3">
      <c r="A387" s="27" t="s">
        <v>103</v>
      </c>
      <c r="B387" s="34"/>
      <c r="E387" s="36" t="s">
        <v>787</v>
      </c>
      <c r="J387" s="35"/>
    </row>
    <row r="388" spans="1:10" ht="28.8" x14ac:dyDescent="0.3">
      <c r="A388" s="27" t="s">
        <v>103</v>
      </c>
      <c r="B388" s="34"/>
      <c r="E388" s="36" t="s">
        <v>788</v>
      </c>
      <c r="J388" s="35"/>
    </row>
    <row r="389" spans="1:10" ht="28.8" x14ac:dyDescent="0.3">
      <c r="A389" s="27" t="s">
        <v>103</v>
      </c>
      <c r="B389" s="34"/>
      <c r="E389" s="36" t="s">
        <v>789</v>
      </c>
      <c r="J389" s="35"/>
    </row>
    <row r="390" spans="1:10" ht="28.8" x14ac:dyDescent="0.3">
      <c r="A390" s="27" t="s">
        <v>103</v>
      </c>
      <c r="B390" s="34"/>
      <c r="E390" s="36" t="s">
        <v>790</v>
      </c>
      <c r="J390" s="35"/>
    </row>
    <row r="391" spans="1:10" ht="28.8" x14ac:dyDescent="0.3">
      <c r="A391" s="27" t="s">
        <v>103</v>
      </c>
      <c r="B391" s="34"/>
      <c r="E391" s="36" t="s">
        <v>791</v>
      </c>
      <c r="J391" s="35"/>
    </row>
    <row r="392" spans="1:10" ht="28.8" x14ac:dyDescent="0.3">
      <c r="A392" s="27" t="s">
        <v>103</v>
      </c>
      <c r="B392" s="34"/>
      <c r="E392" s="36" t="s">
        <v>792</v>
      </c>
      <c r="J392" s="35"/>
    </row>
    <row r="393" spans="1:10" ht="28.8" x14ac:dyDescent="0.3">
      <c r="A393" s="27" t="s">
        <v>103</v>
      </c>
      <c r="B393" s="34"/>
      <c r="E393" s="36" t="s">
        <v>793</v>
      </c>
      <c r="J393" s="35"/>
    </row>
    <row r="394" spans="1:10" ht="28.8" x14ac:dyDescent="0.3">
      <c r="A394" s="27" t="s">
        <v>103</v>
      </c>
      <c r="B394" s="34"/>
      <c r="E394" s="36" t="s">
        <v>794</v>
      </c>
      <c r="J394" s="35"/>
    </row>
    <row r="395" spans="1:10" ht="28.8" x14ac:dyDescent="0.3">
      <c r="A395" s="27" t="s">
        <v>103</v>
      </c>
      <c r="B395" s="34"/>
      <c r="E395" s="36" t="s">
        <v>795</v>
      </c>
      <c r="J395" s="35"/>
    </row>
    <row r="396" spans="1:10" ht="28.8" x14ac:dyDescent="0.3">
      <c r="A396" s="27" t="s">
        <v>103</v>
      </c>
      <c r="B396" s="34"/>
      <c r="E396" s="36" t="s">
        <v>796</v>
      </c>
      <c r="J396" s="35"/>
    </row>
    <row r="397" spans="1:10" ht="28.8" x14ac:dyDescent="0.3">
      <c r="A397" s="27" t="s">
        <v>103</v>
      </c>
      <c r="B397" s="34"/>
      <c r="E397" s="36" t="s">
        <v>797</v>
      </c>
      <c r="J397" s="35"/>
    </row>
    <row r="398" spans="1:10" ht="28.8" x14ac:dyDescent="0.3">
      <c r="A398" s="27" t="s">
        <v>103</v>
      </c>
      <c r="B398" s="34"/>
      <c r="E398" s="36" t="s">
        <v>798</v>
      </c>
      <c r="J398" s="35"/>
    </row>
    <row r="399" spans="1:10" ht="28.8" x14ac:dyDescent="0.3">
      <c r="A399" s="27" t="s">
        <v>103</v>
      </c>
      <c r="B399" s="34"/>
      <c r="E399" s="36" t="s">
        <v>799</v>
      </c>
      <c r="J399" s="35"/>
    </row>
    <row r="400" spans="1:10" ht="28.8" x14ac:dyDescent="0.3">
      <c r="A400" s="27" t="s">
        <v>103</v>
      </c>
      <c r="B400" s="34"/>
      <c r="E400" s="36" t="s">
        <v>800</v>
      </c>
      <c r="J400" s="35"/>
    </row>
    <row r="401" spans="1:10" ht="28.8" x14ac:dyDescent="0.3">
      <c r="A401" s="27" t="s">
        <v>103</v>
      </c>
      <c r="B401" s="34"/>
      <c r="E401" s="36" t="s">
        <v>801</v>
      </c>
      <c r="J401" s="35"/>
    </row>
    <row r="402" spans="1:10" ht="28.8" x14ac:dyDescent="0.3">
      <c r="A402" s="27" t="s">
        <v>103</v>
      </c>
      <c r="B402" s="34"/>
      <c r="E402" s="36" t="s">
        <v>802</v>
      </c>
      <c r="J402" s="35"/>
    </row>
    <row r="403" spans="1:10" ht="28.8" x14ac:dyDescent="0.3">
      <c r="A403" s="27" t="s">
        <v>103</v>
      </c>
      <c r="B403" s="34"/>
      <c r="E403" s="36" t="s">
        <v>803</v>
      </c>
      <c r="J403" s="35"/>
    </row>
    <row r="404" spans="1:10" ht="28.8" x14ac:dyDescent="0.3">
      <c r="A404" s="27" t="s">
        <v>103</v>
      </c>
      <c r="B404" s="34"/>
      <c r="E404" s="36" t="s">
        <v>804</v>
      </c>
      <c r="J404" s="35"/>
    </row>
    <row r="405" spans="1:10" ht="28.8" x14ac:dyDescent="0.3">
      <c r="A405" s="27" t="s">
        <v>103</v>
      </c>
      <c r="B405" s="34"/>
      <c r="E405" s="36" t="s">
        <v>805</v>
      </c>
      <c r="J405" s="35"/>
    </row>
    <row r="406" spans="1:10" ht="28.8" x14ac:dyDescent="0.3">
      <c r="A406" s="27" t="s">
        <v>103</v>
      </c>
      <c r="B406" s="34"/>
      <c r="E406" s="36" t="s">
        <v>806</v>
      </c>
      <c r="J406" s="35"/>
    </row>
    <row r="407" spans="1:10" ht="28.8" x14ac:dyDescent="0.3">
      <c r="A407" s="27" t="s">
        <v>103</v>
      </c>
      <c r="B407" s="34"/>
      <c r="E407" s="36" t="s">
        <v>807</v>
      </c>
      <c r="J407" s="35"/>
    </row>
    <row r="408" spans="1:10" ht="28.8" x14ac:dyDescent="0.3">
      <c r="A408" s="27" t="s">
        <v>103</v>
      </c>
      <c r="B408" s="34"/>
      <c r="E408" s="36" t="s">
        <v>808</v>
      </c>
      <c r="J408" s="35"/>
    </row>
    <row r="409" spans="1:10" ht="28.8" x14ac:dyDescent="0.3">
      <c r="A409" s="27" t="s">
        <v>103</v>
      </c>
      <c r="B409" s="34"/>
      <c r="E409" s="36" t="s">
        <v>809</v>
      </c>
      <c r="J409" s="35"/>
    </row>
    <row r="410" spans="1:10" ht="28.8" x14ac:dyDescent="0.3">
      <c r="A410" s="27" t="s">
        <v>103</v>
      </c>
      <c r="B410" s="34"/>
      <c r="E410" s="36" t="s">
        <v>810</v>
      </c>
      <c r="J410" s="35"/>
    </row>
    <row r="411" spans="1:10" ht="28.8" x14ac:dyDescent="0.3">
      <c r="A411" s="27" t="s">
        <v>103</v>
      </c>
      <c r="B411" s="34"/>
      <c r="E411" s="36" t="s">
        <v>811</v>
      </c>
      <c r="J411" s="35"/>
    </row>
    <row r="412" spans="1:10" ht="28.8" x14ac:dyDescent="0.3">
      <c r="A412" s="27" t="s">
        <v>103</v>
      </c>
      <c r="B412" s="34"/>
      <c r="E412" s="36" t="s">
        <v>812</v>
      </c>
      <c r="J412" s="35"/>
    </row>
    <row r="413" spans="1:10" ht="28.8" x14ac:dyDescent="0.3">
      <c r="A413" s="27" t="s">
        <v>103</v>
      </c>
      <c r="B413" s="34"/>
      <c r="E413" s="36" t="s">
        <v>813</v>
      </c>
      <c r="J413" s="35"/>
    </row>
    <row r="414" spans="1:10" ht="28.8" x14ac:dyDescent="0.3">
      <c r="A414" s="27" t="s">
        <v>103</v>
      </c>
      <c r="B414" s="34"/>
      <c r="E414" s="36" t="s">
        <v>814</v>
      </c>
      <c r="J414" s="35"/>
    </row>
    <row r="415" spans="1:10" ht="28.8" x14ac:dyDescent="0.3">
      <c r="A415" s="27" t="s">
        <v>103</v>
      </c>
      <c r="B415" s="34"/>
      <c r="E415" s="36" t="s">
        <v>815</v>
      </c>
      <c r="J415" s="35"/>
    </row>
    <row r="416" spans="1:10" ht="28.8" x14ac:dyDescent="0.3">
      <c r="A416" s="27" t="s">
        <v>103</v>
      </c>
      <c r="B416" s="34"/>
      <c r="E416" s="36" t="s">
        <v>816</v>
      </c>
      <c r="J416" s="35"/>
    </row>
    <row r="417" spans="1:10" ht="28.8" x14ac:dyDescent="0.3">
      <c r="A417" s="27" t="s">
        <v>103</v>
      </c>
      <c r="B417" s="34"/>
      <c r="E417" s="36" t="s">
        <v>817</v>
      </c>
      <c r="J417" s="35"/>
    </row>
    <row r="418" spans="1:10" ht="28.8" x14ac:dyDescent="0.3">
      <c r="A418" s="27" t="s">
        <v>103</v>
      </c>
      <c r="B418" s="34"/>
      <c r="E418" s="36" t="s">
        <v>818</v>
      </c>
      <c r="J418" s="35"/>
    </row>
    <row r="419" spans="1:10" x14ac:dyDescent="0.3">
      <c r="A419" s="27" t="s">
        <v>103</v>
      </c>
      <c r="B419" s="34"/>
      <c r="E419" s="36" t="s">
        <v>819</v>
      </c>
      <c r="J419" s="35"/>
    </row>
    <row r="420" spans="1:10" ht="28.8" x14ac:dyDescent="0.3">
      <c r="A420" s="27" t="s">
        <v>103</v>
      </c>
      <c r="B420" s="34"/>
      <c r="E420" s="36" t="s">
        <v>820</v>
      </c>
      <c r="J420" s="35"/>
    </row>
    <row r="421" spans="1:10" ht="28.8" x14ac:dyDescent="0.3">
      <c r="A421" s="27" t="s">
        <v>103</v>
      </c>
      <c r="B421" s="34"/>
      <c r="E421" s="36" t="s">
        <v>821</v>
      </c>
      <c r="J421" s="35"/>
    </row>
    <row r="422" spans="1:10" ht="28.8" x14ac:dyDescent="0.3">
      <c r="A422" s="27" t="s">
        <v>103</v>
      </c>
      <c r="B422" s="34"/>
      <c r="E422" s="36" t="s">
        <v>822</v>
      </c>
      <c r="J422" s="35"/>
    </row>
    <row r="423" spans="1:10" ht="28.8" x14ac:dyDescent="0.3">
      <c r="A423" s="27" t="s">
        <v>103</v>
      </c>
      <c r="B423" s="34"/>
      <c r="E423" s="36" t="s">
        <v>823</v>
      </c>
      <c r="J423" s="35"/>
    </row>
    <row r="424" spans="1:10" ht="28.8" x14ac:dyDescent="0.3">
      <c r="A424" s="27" t="s">
        <v>103</v>
      </c>
      <c r="B424" s="34"/>
      <c r="E424" s="36" t="s">
        <v>824</v>
      </c>
      <c r="J424" s="35"/>
    </row>
    <row r="425" spans="1:10" ht="28.8" x14ac:dyDescent="0.3">
      <c r="A425" s="27" t="s">
        <v>103</v>
      </c>
      <c r="B425" s="34"/>
      <c r="E425" s="36" t="s">
        <v>825</v>
      </c>
      <c r="J425" s="35"/>
    </row>
    <row r="426" spans="1:10" ht="28.8" x14ac:dyDescent="0.3">
      <c r="A426" s="27" t="s">
        <v>103</v>
      </c>
      <c r="B426" s="34"/>
      <c r="E426" s="36" t="s">
        <v>826</v>
      </c>
      <c r="J426" s="35"/>
    </row>
    <row r="427" spans="1:10" ht="28.8" x14ac:dyDescent="0.3">
      <c r="A427" s="27" t="s">
        <v>103</v>
      </c>
      <c r="B427" s="34"/>
      <c r="E427" s="36" t="s">
        <v>827</v>
      </c>
      <c r="J427" s="35"/>
    </row>
    <row r="428" spans="1:10" ht="28.8" x14ac:dyDescent="0.3">
      <c r="A428" s="27" t="s">
        <v>103</v>
      </c>
      <c r="B428" s="34"/>
      <c r="E428" s="36" t="s">
        <v>828</v>
      </c>
      <c r="J428" s="35"/>
    </row>
    <row r="429" spans="1:10" ht="28.8" x14ac:dyDescent="0.3">
      <c r="A429" s="27" t="s">
        <v>103</v>
      </c>
      <c r="B429" s="34"/>
      <c r="E429" s="36" t="s">
        <v>829</v>
      </c>
      <c r="J429" s="35"/>
    </row>
    <row r="430" spans="1:10" ht="28.8" x14ac:dyDescent="0.3">
      <c r="A430" s="27" t="s">
        <v>103</v>
      </c>
      <c r="B430" s="34"/>
      <c r="E430" s="36" t="s">
        <v>830</v>
      </c>
      <c r="J430" s="35"/>
    </row>
    <row r="431" spans="1:10" ht="28.8" x14ac:dyDescent="0.3">
      <c r="A431" s="27" t="s">
        <v>103</v>
      </c>
      <c r="B431" s="34"/>
      <c r="E431" s="36" t="s">
        <v>831</v>
      </c>
      <c r="J431" s="35"/>
    </row>
    <row r="432" spans="1:10" ht="28.8" x14ac:dyDescent="0.3">
      <c r="A432" s="27" t="s">
        <v>103</v>
      </c>
      <c r="B432" s="34"/>
      <c r="E432" s="36" t="s">
        <v>832</v>
      </c>
      <c r="J432" s="35"/>
    </row>
    <row r="433" spans="1:10" ht="28.8" x14ac:dyDescent="0.3">
      <c r="A433" s="27" t="s">
        <v>103</v>
      </c>
      <c r="B433" s="34"/>
      <c r="E433" s="36" t="s">
        <v>833</v>
      </c>
      <c r="J433" s="35"/>
    </row>
    <row r="434" spans="1:10" ht="28.8" x14ac:dyDescent="0.3">
      <c r="A434" s="27" t="s">
        <v>103</v>
      </c>
      <c r="B434" s="34"/>
      <c r="E434" s="36" t="s">
        <v>834</v>
      </c>
      <c r="J434" s="35"/>
    </row>
    <row r="435" spans="1:10" ht="28.8" x14ac:dyDescent="0.3">
      <c r="A435" s="27" t="s">
        <v>103</v>
      </c>
      <c r="B435" s="34"/>
      <c r="E435" s="36" t="s">
        <v>835</v>
      </c>
      <c r="J435" s="35"/>
    </row>
    <row r="436" spans="1:10" ht="28.8" x14ac:dyDescent="0.3">
      <c r="A436" s="27" t="s">
        <v>103</v>
      </c>
      <c r="B436" s="34"/>
      <c r="E436" s="36" t="s">
        <v>836</v>
      </c>
      <c r="J436" s="35"/>
    </row>
    <row r="437" spans="1:10" ht="28.8" x14ac:dyDescent="0.3">
      <c r="A437" s="27" t="s">
        <v>103</v>
      </c>
      <c r="B437" s="34"/>
      <c r="E437" s="36" t="s">
        <v>837</v>
      </c>
      <c r="J437" s="35"/>
    </row>
    <row r="438" spans="1:10" ht="28.8" x14ac:dyDescent="0.3">
      <c r="A438" s="27" t="s">
        <v>103</v>
      </c>
      <c r="B438" s="34"/>
      <c r="E438" s="36" t="s">
        <v>838</v>
      </c>
      <c r="J438" s="35"/>
    </row>
    <row r="439" spans="1:10" ht="28.8" x14ac:dyDescent="0.3">
      <c r="A439" s="27" t="s">
        <v>103</v>
      </c>
      <c r="B439" s="34"/>
      <c r="E439" s="36" t="s">
        <v>839</v>
      </c>
      <c r="J439" s="35"/>
    </row>
    <row r="440" spans="1:10" ht="28.8" x14ac:dyDescent="0.3">
      <c r="A440" s="27" t="s">
        <v>103</v>
      </c>
      <c r="B440" s="34"/>
      <c r="E440" s="36" t="s">
        <v>840</v>
      </c>
      <c r="J440" s="35"/>
    </row>
    <row r="441" spans="1:10" ht="28.8" x14ac:dyDescent="0.3">
      <c r="A441" s="27" t="s">
        <v>103</v>
      </c>
      <c r="B441" s="34"/>
      <c r="E441" s="36" t="s">
        <v>841</v>
      </c>
      <c r="J441" s="35"/>
    </row>
    <row r="442" spans="1:10" ht="28.8" x14ac:dyDescent="0.3">
      <c r="A442" s="27" t="s">
        <v>103</v>
      </c>
      <c r="B442" s="34"/>
      <c r="E442" s="36" t="s">
        <v>842</v>
      </c>
      <c r="J442" s="35"/>
    </row>
    <row r="443" spans="1:10" ht="28.8" x14ac:dyDescent="0.3">
      <c r="A443" s="27" t="s">
        <v>103</v>
      </c>
      <c r="B443" s="34"/>
      <c r="E443" s="36" t="s">
        <v>843</v>
      </c>
      <c r="J443" s="35"/>
    </row>
    <row r="444" spans="1:10" ht="28.8" x14ac:dyDescent="0.3">
      <c r="A444" s="27" t="s">
        <v>103</v>
      </c>
      <c r="B444" s="34"/>
      <c r="E444" s="36" t="s">
        <v>844</v>
      </c>
      <c r="J444" s="35"/>
    </row>
    <row r="445" spans="1:10" ht="28.8" x14ac:dyDescent="0.3">
      <c r="A445" s="27" t="s">
        <v>103</v>
      </c>
      <c r="B445" s="34"/>
      <c r="E445" s="36" t="s">
        <v>845</v>
      </c>
      <c r="J445" s="35"/>
    </row>
    <row r="446" spans="1:10" ht="28.8" x14ac:dyDescent="0.3">
      <c r="A446" s="27" t="s">
        <v>103</v>
      </c>
      <c r="B446" s="34"/>
      <c r="E446" s="36" t="s">
        <v>846</v>
      </c>
      <c r="J446" s="35"/>
    </row>
    <row r="447" spans="1:10" ht="28.8" x14ac:dyDescent="0.3">
      <c r="A447" s="27" t="s">
        <v>103</v>
      </c>
      <c r="B447" s="34"/>
      <c r="E447" s="36" t="s">
        <v>847</v>
      </c>
      <c r="J447" s="35"/>
    </row>
    <row r="448" spans="1:10" ht="28.8" x14ac:dyDescent="0.3">
      <c r="A448" s="27" t="s">
        <v>103</v>
      </c>
      <c r="B448" s="34"/>
      <c r="E448" s="36" t="s">
        <v>848</v>
      </c>
      <c r="J448" s="35"/>
    </row>
    <row r="449" spans="1:10" ht="28.8" x14ac:dyDescent="0.3">
      <c r="A449" s="27" t="s">
        <v>103</v>
      </c>
      <c r="B449" s="34"/>
      <c r="E449" s="36" t="s">
        <v>849</v>
      </c>
      <c r="J449" s="35"/>
    </row>
    <row r="450" spans="1:10" ht="28.8" x14ac:dyDescent="0.3">
      <c r="A450" s="27" t="s">
        <v>103</v>
      </c>
      <c r="B450" s="34"/>
      <c r="E450" s="36" t="s">
        <v>850</v>
      </c>
      <c r="J450" s="35"/>
    </row>
    <row r="451" spans="1:10" ht="28.8" x14ac:dyDescent="0.3">
      <c r="A451" s="27" t="s">
        <v>103</v>
      </c>
      <c r="B451" s="34"/>
      <c r="E451" s="36" t="s">
        <v>851</v>
      </c>
      <c r="J451" s="35"/>
    </row>
    <row r="452" spans="1:10" ht="28.8" x14ac:dyDescent="0.3">
      <c r="A452" s="27" t="s">
        <v>103</v>
      </c>
      <c r="B452" s="34"/>
      <c r="E452" s="36" t="s">
        <v>852</v>
      </c>
      <c r="J452" s="35"/>
    </row>
    <row r="453" spans="1:10" ht="28.8" x14ac:dyDescent="0.3">
      <c r="A453" s="27" t="s">
        <v>103</v>
      </c>
      <c r="B453" s="34"/>
      <c r="E453" s="36" t="s">
        <v>853</v>
      </c>
      <c r="J453" s="35"/>
    </row>
    <row r="454" spans="1:10" ht="28.8" x14ac:dyDescent="0.3">
      <c r="A454" s="27" t="s">
        <v>103</v>
      </c>
      <c r="B454" s="34"/>
      <c r="E454" s="36" t="s">
        <v>854</v>
      </c>
      <c r="J454" s="35"/>
    </row>
    <row r="455" spans="1:10" ht="28.8" x14ac:dyDescent="0.3">
      <c r="A455" s="27" t="s">
        <v>103</v>
      </c>
      <c r="B455" s="34"/>
      <c r="E455" s="36" t="s">
        <v>855</v>
      </c>
      <c r="J455" s="35"/>
    </row>
    <row r="456" spans="1:10" ht="28.8" x14ac:dyDescent="0.3">
      <c r="A456" s="27" t="s">
        <v>103</v>
      </c>
      <c r="B456" s="34"/>
      <c r="E456" s="36" t="s">
        <v>856</v>
      </c>
      <c r="J456" s="35"/>
    </row>
    <row r="457" spans="1:10" ht="28.8" x14ac:dyDescent="0.3">
      <c r="A457" s="27" t="s">
        <v>103</v>
      </c>
      <c r="B457" s="34"/>
      <c r="E457" s="36" t="s">
        <v>857</v>
      </c>
      <c r="J457" s="35"/>
    </row>
    <row r="458" spans="1:10" ht="28.8" x14ac:dyDescent="0.3">
      <c r="A458" s="27" t="s">
        <v>103</v>
      </c>
      <c r="B458" s="34"/>
      <c r="E458" s="36" t="s">
        <v>858</v>
      </c>
      <c r="J458" s="35"/>
    </row>
    <row r="459" spans="1:10" ht="28.8" x14ac:dyDescent="0.3">
      <c r="A459" s="27" t="s">
        <v>103</v>
      </c>
      <c r="B459" s="34"/>
      <c r="E459" s="36" t="s">
        <v>859</v>
      </c>
      <c r="J459" s="35"/>
    </row>
    <row r="460" spans="1:10" ht="28.8" x14ac:dyDescent="0.3">
      <c r="A460" s="27" t="s">
        <v>103</v>
      </c>
      <c r="B460" s="34"/>
      <c r="E460" s="36" t="s">
        <v>860</v>
      </c>
      <c r="J460" s="35"/>
    </row>
    <row r="461" spans="1:10" ht="28.8" x14ac:dyDescent="0.3">
      <c r="A461" s="27" t="s">
        <v>103</v>
      </c>
      <c r="B461" s="34"/>
      <c r="E461" s="36" t="s">
        <v>861</v>
      </c>
      <c r="J461" s="35"/>
    </row>
    <row r="462" spans="1:10" ht="28.8" x14ac:dyDescent="0.3">
      <c r="A462" s="27" t="s">
        <v>103</v>
      </c>
      <c r="B462" s="34"/>
      <c r="E462" s="36" t="s">
        <v>862</v>
      </c>
      <c r="J462" s="35"/>
    </row>
    <row r="463" spans="1:10" ht="28.8" x14ac:dyDescent="0.3">
      <c r="A463" s="27" t="s">
        <v>103</v>
      </c>
      <c r="B463" s="34"/>
      <c r="E463" s="36" t="s">
        <v>863</v>
      </c>
      <c r="J463" s="35"/>
    </row>
    <row r="464" spans="1:10" ht="28.8" x14ac:dyDescent="0.3">
      <c r="A464" s="27" t="s">
        <v>103</v>
      </c>
      <c r="B464" s="34"/>
      <c r="E464" s="36" t="s">
        <v>864</v>
      </c>
      <c r="J464" s="35"/>
    </row>
    <row r="465" spans="1:10" ht="28.8" x14ac:dyDescent="0.3">
      <c r="A465" s="27" t="s">
        <v>103</v>
      </c>
      <c r="B465" s="34"/>
      <c r="E465" s="36" t="s">
        <v>865</v>
      </c>
      <c r="J465" s="35"/>
    </row>
    <row r="466" spans="1:10" ht="28.8" x14ac:dyDescent="0.3">
      <c r="A466" s="27" t="s">
        <v>103</v>
      </c>
      <c r="B466" s="34"/>
      <c r="E466" s="36" t="s">
        <v>866</v>
      </c>
      <c r="J466" s="35"/>
    </row>
    <row r="467" spans="1:10" ht="28.8" x14ac:dyDescent="0.3">
      <c r="A467" s="27" t="s">
        <v>103</v>
      </c>
      <c r="B467" s="34"/>
      <c r="E467" s="36" t="s">
        <v>867</v>
      </c>
      <c r="J467" s="35"/>
    </row>
    <row r="468" spans="1:10" ht="28.8" x14ac:dyDescent="0.3">
      <c r="A468" s="27" t="s">
        <v>103</v>
      </c>
      <c r="B468" s="34"/>
      <c r="E468" s="36" t="s">
        <v>868</v>
      </c>
      <c r="J468" s="35"/>
    </row>
    <row r="469" spans="1:10" ht="28.8" x14ac:dyDescent="0.3">
      <c r="A469" s="27" t="s">
        <v>103</v>
      </c>
      <c r="B469" s="34"/>
      <c r="E469" s="36" t="s">
        <v>869</v>
      </c>
      <c r="J469" s="35"/>
    </row>
    <row r="470" spans="1:10" x14ac:dyDescent="0.3">
      <c r="A470" s="27" t="s">
        <v>103</v>
      </c>
      <c r="B470" s="34"/>
      <c r="E470" s="36" t="s">
        <v>870</v>
      </c>
      <c r="J470" s="35"/>
    </row>
    <row r="471" spans="1:10" ht="28.8" x14ac:dyDescent="0.3">
      <c r="A471" s="27" t="s">
        <v>103</v>
      </c>
      <c r="B471" s="34"/>
      <c r="E471" s="36" t="s">
        <v>871</v>
      </c>
      <c r="J471" s="35"/>
    </row>
    <row r="472" spans="1:10" ht="28.8" x14ac:dyDescent="0.3">
      <c r="A472" s="27" t="s">
        <v>103</v>
      </c>
      <c r="B472" s="34"/>
      <c r="E472" s="36" t="s">
        <v>872</v>
      </c>
      <c r="J472" s="35"/>
    </row>
    <row r="473" spans="1:10" ht="28.8" x14ac:dyDescent="0.3">
      <c r="A473" s="27" t="s">
        <v>103</v>
      </c>
      <c r="B473" s="34"/>
      <c r="E473" s="36" t="s">
        <v>873</v>
      </c>
      <c r="J473" s="35"/>
    </row>
    <row r="474" spans="1:10" ht="28.8" x14ac:dyDescent="0.3">
      <c r="A474" s="27" t="s">
        <v>103</v>
      </c>
      <c r="B474" s="34"/>
      <c r="E474" s="36" t="s">
        <v>874</v>
      </c>
      <c r="J474" s="35"/>
    </row>
    <row r="475" spans="1:10" ht="28.8" x14ac:dyDescent="0.3">
      <c r="A475" s="27" t="s">
        <v>103</v>
      </c>
      <c r="B475" s="34"/>
      <c r="E475" s="36" t="s">
        <v>875</v>
      </c>
      <c r="J475" s="35"/>
    </row>
    <row r="476" spans="1:10" ht="28.8" x14ac:dyDescent="0.3">
      <c r="A476" s="27" t="s">
        <v>103</v>
      </c>
      <c r="B476" s="34"/>
      <c r="E476" s="36" t="s">
        <v>876</v>
      </c>
      <c r="J476" s="35"/>
    </row>
    <row r="477" spans="1:10" ht="28.8" x14ac:dyDescent="0.3">
      <c r="A477" s="27" t="s">
        <v>103</v>
      </c>
      <c r="B477" s="34"/>
      <c r="E477" s="36" t="s">
        <v>877</v>
      </c>
      <c r="J477" s="35"/>
    </row>
    <row r="478" spans="1:10" ht="28.8" x14ac:dyDescent="0.3">
      <c r="A478" s="27" t="s">
        <v>103</v>
      </c>
      <c r="B478" s="34"/>
      <c r="E478" s="36" t="s">
        <v>878</v>
      </c>
      <c r="J478" s="35"/>
    </row>
    <row r="479" spans="1:10" ht="28.8" x14ac:dyDescent="0.3">
      <c r="A479" s="27" t="s">
        <v>103</v>
      </c>
      <c r="B479" s="34"/>
      <c r="E479" s="36" t="s">
        <v>879</v>
      </c>
      <c r="J479" s="35"/>
    </row>
    <row r="480" spans="1:10" ht="28.8" x14ac:dyDescent="0.3">
      <c r="A480" s="27" t="s">
        <v>103</v>
      </c>
      <c r="B480" s="34"/>
      <c r="E480" s="36" t="s">
        <v>880</v>
      </c>
      <c r="J480" s="35"/>
    </row>
    <row r="481" spans="1:10" ht="28.8" x14ac:dyDescent="0.3">
      <c r="A481" s="27" t="s">
        <v>103</v>
      </c>
      <c r="B481" s="34"/>
      <c r="E481" s="36" t="s">
        <v>881</v>
      </c>
      <c r="J481" s="35"/>
    </row>
    <row r="482" spans="1:10" ht="28.8" x14ac:dyDescent="0.3">
      <c r="A482" s="27" t="s">
        <v>103</v>
      </c>
      <c r="B482" s="34"/>
      <c r="E482" s="36" t="s">
        <v>882</v>
      </c>
      <c r="J482" s="35"/>
    </row>
    <row r="483" spans="1:10" ht="28.8" x14ac:dyDescent="0.3">
      <c r="A483" s="27" t="s">
        <v>103</v>
      </c>
      <c r="B483" s="34"/>
      <c r="E483" s="36" t="s">
        <v>883</v>
      </c>
      <c r="J483" s="35"/>
    </row>
    <row r="484" spans="1:10" ht="28.8" x14ac:dyDescent="0.3">
      <c r="A484" s="27" t="s">
        <v>103</v>
      </c>
      <c r="B484" s="34"/>
      <c r="E484" s="36" t="s">
        <v>884</v>
      </c>
      <c r="J484" s="35"/>
    </row>
    <row r="485" spans="1:10" ht="28.8" x14ac:dyDescent="0.3">
      <c r="A485" s="27" t="s">
        <v>103</v>
      </c>
      <c r="B485" s="34"/>
      <c r="E485" s="36" t="s">
        <v>885</v>
      </c>
      <c r="J485" s="35"/>
    </row>
    <row r="486" spans="1:10" ht="28.8" x14ac:dyDescent="0.3">
      <c r="A486" s="27" t="s">
        <v>103</v>
      </c>
      <c r="B486" s="34"/>
      <c r="E486" s="36" t="s">
        <v>886</v>
      </c>
      <c r="J486" s="35"/>
    </row>
    <row r="487" spans="1:10" ht="28.8" x14ac:dyDescent="0.3">
      <c r="A487" s="27" t="s">
        <v>103</v>
      </c>
      <c r="B487" s="34"/>
      <c r="E487" s="36" t="s">
        <v>887</v>
      </c>
      <c r="J487" s="35"/>
    </row>
    <row r="488" spans="1:10" ht="28.8" x14ac:dyDescent="0.3">
      <c r="A488" s="27" t="s">
        <v>103</v>
      </c>
      <c r="B488" s="34"/>
      <c r="E488" s="36" t="s">
        <v>888</v>
      </c>
      <c r="J488" s="35"/>
    </row>
    <row r="489" spans="1:10" ht="28.8" x14ac:dyDescent="0.3">
      <c r="A489" s="27" t="s">
        <v>103</v>
      </c>
      <c r="B489" s="34"/>
      <c r="E489" s="36" t="s">
        <v>889</v>
      </c>
      <c r="J489" s="35"/>
    </row>
    <row r="490" spans="1:10" ht="28.8" x14ac:dyDescent="0.3">
      <c r="A490" s="27" t="s">
        <v>103</v>
      </c>
      <c r="B490" s="34"/>
      <c r="E490" s="36" t="s">
        <v>890</v>
      </c>
      <c r="J490" s="35"/>
    </row>
    <row r="491" spans="1:10" ht="28.8" x14ac:dyDescent="0.3">
      <c r="A491" s="27" t="s">
        <v>103</v>
      </c>
      <c r="B491" s="34"/>
      <c r="E491" s="36" t="s">
        <v>891</v>
      </c>
      <c r="J491" s="35"/>
    </row>
    <row r="492" spans="1:10" ht="28.8" x14ac:dyDescent="0.3">
      <c r="A492" s="27" t="s">
        <v>103</v>
      </c>
      <c r="B492" s="34"/>
      <c r="E492" s="36" t="s">
        <v>892</v>
      </c>
      <c r="J492" s="35"/>
    </row>
    <row r="493" spans="1:10" ht="28.8" x14ac:dyDescent="0.3">
      <c r="A493" s="27" t="s">
        <v>103</v>
      </c>
      <c r="B493" s="34"/>
      <c r="E493" s="36" t="s">
        <v>893</v>
      </c>
      <c r="J493" s="35"/>
    </row>
    <row r="494" spans="1:10" ht="28.8" x14ac:dyDescent="0.3">
      <c r="A494" s="27" t="s">
        <v>103</v>
      </c>
      <c r="B494" s="34"/>
      <c r="E494" s="36" t="s">
        <v>894</v>
      </c>
      <c r="J494" s="35"/>
    </row>
    <row r="495" spans="1:10" ht="28.8" x14ac:dyDescent="0.3">
      <c r="A495" s="27" t="s">
        <v>103</v>
      </c>
      <c r="B495" s="34"/>
      <c r="E495" s="36" t="s">
        <v>895</v>
      </c>
      <c r="J495" s="35"/>
    </row>
    <row r="496" spans="1:10" ht="28.8" x14ac:dyDescent="0.3">
      <c r="A496" s="27" t="s">
        <v>103</v>
      </c>
      <c r="B496" s="34"/>
      <c r="E496" s="36" t="s">
        <v>896</v>
      </c>
      <c r="J496" s="35"/>
    </row>
    <row r="497" spans="1:10" ht="28.8" x14ac:dyDescent="0.3">
      <c r="A497" s="27" t="s">
        <v>103</v>
      </c>
      <c r="B497" s="34"/>
      <c r="E497" s="36" t="s">
        <v>897</v>
      </c>
      <c r="J497" s="35"/>
    </row>
    <row r="498" spans="1:10" ht="28.8" x14ac:dyDescent="0.3">
      <c r="A498" s="27" t="s">
        <v>103</v>
      </c>
      <c r="B498" s="34"/>
      <c r="E498" s="36" t="s">
        <v>898</v>
      </c>
      <c r="J498" s="35"/>
    </row>
    <row r="499" spans="1:10" ht="28.8" x14ac:dyDescent="0.3">
      <c r="A499" s="27" t="s">
        <v>103</v>
      </c>
      <c r="B499" s="34"/>
      <c r="E499" s="36" t="s">
        <v>899</v>
      </c>
      <c r="J499" s="35"/>
    </row>
    <row r="500" spans="1:10" ht="28.8" x14ac:dyDescent="0.3">
      <c r="A500" s="27" t="s">
        <v>103</v>
      </c>
      <c r="B500" s="34"/>
      <c r="E500" s="36" t="s">
        <v>900</v>
      </c>
      <c r="J500" s="35"/>
    </row>
    <row r="501" spans="1:10" ht="28.8" x14ac:dyDescent="0.3">
      <c r="A501" s="27" t="s">
        <v>103</v>
      </c>
      <c r="B501" s="34"/>
      <c r="E501" s="36" t="s">
        <v>901</v>
      </c>
      <c r="J501" s="35"/>
    </row>
    <row r="502" spans="1:10" ht="28.8" x14ac:dyDescent="0.3">
      <c r="A502" s="27" t="s">
        <v>103</v>
      </c>
      <c r="B502" s="34"/>
      <c r="E502" s="36" t="s">
        <v>902</v>
      </c>
      <c r="J502" s="35"/>
    </row>
    <row r="503" spans="1:10" ht="28.8" x14ac:dyDescent="0.3">
      <c r="A503" s="27" t="s">
        <v>103</v>
      </c>
      <c r="B503" s="34"/>
      <c r="E503" s="36" t="s">
        <v>903</v>
      </c>
      <c r="J503" s="35"/>
    </row>
    <row r="504" spans="1:10" ht="28.8" x14ac:dyDescent="0.3">
      <c r="A504" s="27" t="s">
        <v>103</v>
      </c>
      <c r="B504" s="34"/>
      <c r="E504" s="36" t="s">
        <v>904</v>
      </c>
      <c r="J504" s="35"/>
    </row>
    <row r="505" spans="1:10" ht="28.8" x14ac:dyDescent="0.3">
      <c r="A505" s="27" t="s">
        <v>103</v>
      </c>
      <c r="B505" s="34"/>
      <c r="E505" s="36" t="s">
        <v>905</v>
      </c>
      <c r="J505" s="35"/>
    </row>
    <row r="506" spans="1:10" ht="28.8" x14ac:dyDescent="0.3">
      <c r="A506" s="27" t="s">
        <v>103</v>
      </c>
      <c r="B506" s="34"/>
      <c r="E506" s="36" t="s">
        <v>906</v>
      </c>
      <c r="J506" s="35"/>
    </row>
    <row r="507" spans="1:10" ht="28.8" x14ac:dyDescent="0.3">
      <c r="A507" s="27" t="s">
        <v>103</v>
      </c>
      <c r="B507" s="34"/>
      <c r="E507" s="36" t="s">
        <v>907</v>
      </c>
      <c r="J507" s="35"/>
    </row>
    <row r="508" spans="1:10" ht="28.8" x14ac:dyDescent="0.3">
      <c r="A508" s="27" t="s">
        <v>103</v>
      </c>
      <c r="B508" s="34"/>
      <c r="E508" s="36" t="s">
        <v>908</v>
      </c>
      <c r="J508" s="35"/>
    </row>
    <row r="509" spans="1:10" ht="28.8" x14ac:dyDescent="0.3">
      <c r="A509" s="27" t="s">
        <v>103</v>
      </c>
      <c r="B509" s="34"/>
      <c r="E509" s="36" t="s">
        <v>909</v>
      </c>
      <c r="J509" s="35"/>
    </row>
    <row r="510" spans="1:10" ht="28.8" x14ac:dyDescent="0.3">
      <c r="A510" s="27" t="s">
        <v>103</v>
      </c>
      <c r="B510" s="34"/>
      <c r="E510" s="36" t="s">
        <v>910</v>
      </c>
      <c r="J510" s="35"/>
    </row>
    <row r="511" spans="1:10" ht="28.8" x14ac:dyDescent="0.3">
      <c r="A511" s="27" t="s">
        <v>103</v>
      </c>
      <c r="B511" s="34"/>
      <c r="E511" s="36" t="s">
        <v>911</v>
      </c>
      <c r="J511" s="35"/>
    </row>
    <row r="512" spans="1:10" ht="28.8" x14ac:dyDescent="0.3">
      <c r="A512" s="27" t="s">
        <v>103</v>
      </c>
      <c r="B512" s="34"/>
      <c r="E512" s="36" t="s">
        <v>912</v>
      </c>
      <c r="J512" s="35"/>
    </row>
    <row r="513" spans="1:16" ht="28.8" x14ac:dyDescent="0.3">
      <c r="A513" s="27" t="s">
        <v>103</v>
      </c>
      <c r="B513" s="34"/>
      <c r="E513" s="36" t="s">
        <v>913</v>
      </c>
      <c r="J513" s="35"/>
    </row>
    <row r="514" spans="1:16" ht="28.8" x14ac:dyDescent="0.3">
      <c r="A514" s="27" t="s">
        <v>103</v>
      </c>
      <c r="B514" s="34"/>
      <c r="E514" s="36" t="s">
        <v>914</v>
      </c>
      <c r="J514" s="35"/>
    </row>
    <row r="515" spans="1:16" x14ac:dyDescent="0.3">
      <c r="A515" s="27" t="s">
        <v>103</v>
      </c>
      <c r="B515" s="34"/>
      <c r="E515" s="36" t="s">
        <v>915</v>
      </c>
      <c r="J515" s="35"/>
    </row>
    <row r="516" spans="1:16" ht="57.6" x14ac:dyDescent="0.3">
      <c r="A516" s="27" t="s">
        <v>105</v>
      </c>
      <c r="B516" s="34"/>
      <c r="E516" s="29" t="s">
        <v>765</v>
      </c>
      <c r="J516" s="35"/>
    </row>
    <row r="517" spans="1:16" x14ac:dyDescent="0.3">
      <c r="A517" s="27" t="s">
        <v>95</v>
      </c>
      <c r="B517" s="27">
        <v>13</v>
      </c>
      <c r="C517" s="28" t="s">
        <v>916</v>
      </c>
      <c r="D517" s="27" t="s">
        <v>129</v>
      </c>
      <c r="E517" s="29" t="s">
        <v>917</v>
      </c>
      <c r="F517" s="30" t="s">
        <v>229</v>
      </c>
      <c r="G517" s="31">
        <v>275.07299999999998</v>
      </c>
      <c r="H517" s="32">
        <v>0</v>
      </c>
      <c r="I517" s="32">
        <f>ROUND(216.052*H517,P4)+ROUND(3.274*H517,P4)+ROUND(55.747*H517,P4)</f>
        <v>0</v>
      </c>
      <c r="J517" s="30" t="s">
        <v>118</v>
      </c>
      <c r="O517" s="33">
        <f>I517*0.21</f>
        <v>0</v>
      </c>
      <c r="P517">
        <v>3</v>
      </c>
    </row>
    <row r="518" spans="1:16" ht="172.8" x14ac:dyDescent="0.3">
      <c r="A518" s="27" t="s">
        <v>101</v>
      </c>
      <c r="B518" s="34"/>
      <c r="E518" s="29" t="s">
        <v>918</v>
      </c>
      <c r="J518" s="35"/>
    </row>
    <row r="519" spans="1:16" ht="28.8" x14ac:dyDescent="0.3">
      <c r="A519" s="27" t="s">
        <v>103</v>
      </c>
      <c r="B519" s="34"/>
      <c r="E519" s="36" t="s">
        <v>919</v>
      </c>
      <c r="J519" s="35"/>
    </row>
    <row r="520" spans="1:16" ht="28.8" x14ac:dyDescent="0.3">
      <c r="A520" s="27" t="s">
        <v>103</v>
      </c>
      <c r="B520" s="34"/>
      <c r="E520" s="36" t="s">
        <v>920</v>
      </c>
      <c r="J520" s="35"/>
    </row>
    <row r="521" spans="1:16" ht="28.8" x14ac:dyDescent="0.3">
      <c r="A521" s="27" t="s">
        <v>103</v>
      </c>
      <c r="B521" s="34"/>
      <c r="E521" s="36" t="s">
        <v>921</v>
      </c>
      <c r="J521" s="35"/>
    </row>
    <row r="522" spans="1:16" ht="28.8" x14ac:dyDescent="0.3">
      <c r="A522" s="27" t="s">
        <v>103</v>
      </c>
      <c r="B522" s="34"/>
      <c r="E522" s="36" t="s">
        <v>922</v>
      </c>
      <c r="J522" s="35"/>
    </row>
    <row r="523" spans="1:16" ht="28.8" x14ac:dyDescent="0.3">
      <c r="A523" s="27" t="s">
        <v>103</v>
      </c>
      <c r="B523" s="34"/>
      <c r="E523" s="36" t="s">
        <v>923</v>
      </c>
      <c r="J523" s="35"/>
    </row>
    <row r="524" spans="1:16" ht="28.8" x14ac:dyDescent="0.3">
      <c r="A524" s="27" t="s">
        <v>103</v>
      </c>
      <c r="B524" s="34"/>
      <c r="E524" s="36" t="s">
        <v>924</v>
      </c>
      <c r="J524" s="35"/>
    </row>
    <row r="525" spans="1:16" ht="28.8" x14ac:dyDescent="0.3">
      <c r="A525" s="27" t="s">
        <v>103</v>
      </c>
      <c r="B525" s="34"/>
      <c r="E525" s="36" t="s">
        <v>925</v>
      </c>
      <c r="J525" s="35"/>
    </row>
    <row r="526" spans="1:16" ht="28.8" x14ac:dyDescent="0.3">
      <c r="A526" s="27" t="s">
        <v>103</v>
      </c>
      <c r="B526" s="34"/>
      <c r="E526" s="36" t="s">
        <v>926</v>
      </c>
      <c r="J526" s="35"/>
    </row>
    <row r="527" spans="1:16" ht="28.8" x14ac:dyDescent="0.3">
      <c r="A527" s="27" t="s">
        <v>103</v>
      </c>
      <c r="B527" s="34"/>
      <c r="E527" s="36" t="s">
        <v>927</v>
      </c>
      <c r="J527" s="35"/>
    </row>
    <row r="528" spans="1:16" ht="28.8" x14ac:dyDescent="0.3">
      <c r="A528" s="27" t="s">
        <v>103</v>
      </c>
      <c r="B528" s="34"/>
      <c r="E528" s="36" t="s">
        <v>928</v>
      </c>
      <c r="J528" s="35"/>
    </row>
    <row r="529" spans="1:10" ht="28.8" x14ac:dyDescent="0.3">
      <c r="A529" s="27" t="s">
        <v>103</v>
      </c>
      <c r="B529" s="34"/>
      <c r="E529" s="36" t="s">
        <v>929</v>
      </c>
      <c r="J529" s="35"/>
    </row>
    <row r="530" spans="1:10" ht="28.8" x14ac:dyDescent="0.3">
      <c r="A530" s="27" t="s">
        <v>103</v>
      </c>
      <c r="B530" s="34"/>
      <c r="E530" s="36" t="s">
        <v>930</v>
      </c>
      <c r="J530" s="35"/>
    </row>
    <row r="531" spans="1:10" ht="28.8" x14ac:dyDescent="0.3">
      <c r="A531" s="27" t="s">
        <v>103</v>
      </c>
      <c r="B531" s="34"/>
      <c r="E531" s="36" t="s">
        <v>931</v>
      </c>
      <c r="J531" s="35"/>
    </row>
    <row r="532" spans="1:10" ht="28.8" x14ac:dyDescent="0.3">
      <c r="A532" s="27" t="s">
        <v>103</v>
      </c>
      <c r="B532" s="34"/>
      <c r="E532" s="36" t="s">
        <v>932</v>
      </c>
      <c r="J532" s="35"/>
    </row>
    <row r="533" spans="1:10" ht="28.8" x14ac:dyDescent="0.3">
      <c r="A533" s="27" t="s">
        <v>103</v>
      </c>
      <c r="B533" s="34"/>
      <c r="E533" s="36" t="s">
        <v>933</v>
      </c>
      <c r="J533" s="35"/>
    </row>
    <row r="534" spans="1:10" ht="28.8" x14ac:dyDescent="0.3">
      <c r="A534" s="27" t="s">
        <v>103</v>
      </c>
      <c r="B534" s="34"/>
      <c r="E534" s="36" t="s">
        <v>934</v>
      </c>
      <c r="J534" s="35"/>
    </row>
    <row r="535" spans="1:10" ht="28.8" x14ac:dyDescent="0.3">
      <c r="A535" s="27" t="s">
        <v>103</v>
      </c>
      <c r="B535" s="34"/>
      <c r="E535" s="36" t="s">
        <v>935</v>
      </c>
      <c r="J535" s="35"/>
    </row>
    <row r="536" spans="1:10" ht="28.8" x14ac:dyDescent="0.3">
      <c r="A536" s="27" t="s">
        <v>103</v>
      </c>
      <c r="B536" s="34"/>
      <c r="E536" s="36" t="s">
        <v>936</v>
      </c>
      <c r="J536" s="35"/>
    </row>
    <row r="537" spans="1:10" ht="28.8" x14ac:dyDescent="0.3">
      <c r="A537" s="27" t="s">
        <v>103</v>
      </c>
      <c r="B537" s="34"/>
      <c r="E537" s="36" t="s">
        <v>937</v>
      </c>
      <c r="J537" s="35"/>
    </row>
    <row r="538" spans="1:10" ht="28.8" x14ac:dyDescent="0.3">
      <c r="A538" s="27" t="s">
        <v>103</v>
      </c>
      <c r="B538" s="34"/>
      <c r="E538" s="36" t="s">
        <v>938</v>
      </c>
      <c r="J538" s="35"/>
    </row>
    <row r="539" spans="1:10" ht="28.8" x14ac:dyDescent="0.3">
      <c r="A539" s="27" t="s">
        <v>103</v>
      </c>
      <c r="B539" s="34"/>
      <c r="E539" s="36" t="s">
        <v>939</v>
      </c>
      <c r="J539" s="35"/>
    </row>
    <row r="540" spans="1:10" ht="28.8" x14ac:dyDescent="0.3">
      <c r="A540" s="27" t="s">
        <v>103</v>
      </c>
      <c r="B540" s="34"/>
      <c r="E540" s="36" t="s">
        <v>940</v>
      </c>
      <c r="J540" s="35"/>
    </row>
    <row r="541" spans="1:10" ht="28.8" x14ac:dyDescent="0.3">
      <c r="A541" s="27" t="s">
        <v>103</v>
      </c>
      <c r="B541" s="34"/>
      <c r="E541" s="36" t="s">
        <v>941</v>
      </c>
      <c r="J541" s="35"/>
    </row>
    <row r="542" spans="1:10" ht="28.8" x14ac:dyDescent="0.3">
      <c r="A542" s="27" t="s">
        <v>103</v>
      </c>
      <c r="B542" s="34"/>
      <c r="E542" s="36" t="s">
        <v>942</v>
      </c>
      <c r="J542" s="35"/>
    </row>
    <row r="543" spans="1:10" ht="28.8" x14ac:dyDescent="0.3">
      <c r="A543" s="27" t="s">
        <v>103</v>
      </c>
      <c r="B543" s="34"/>
      <c r="E543" s="36" t="s">
        <v>943</v>
      </c>
      <c r="J543" s="35"/>
    </row>
    <row r="544" spans="1:10" ht="28.8" x14ac:dyDescent="0.3">
      <c r="A544" s="27" t="s">
        <v>103</v>
      </c>
      <c r="B544" s="34"/>
      <c r="E544" s="36" t="s">
        <v>944</v>
      </c>
      <c r="J544" s="35"/>
    </row>
    <row r="545" spans="1:10" ht="28.8" x14ac:dyDescent="0.3">
      <c r="A545" s="27" t="s">
        <v>103</v>
      </c>
      <c r="B545" s="34"/>
      <c r="E545" s="36" t="s">
        <v>945</v>
      </c>
      <c r="J545" s="35"/>
    </row>
    <row r="546" spans="1:10" ht="28.8" x14ac:dyDescent="0.3">
      <c r="A546" s="27" t="s">
        <v>103</v>
      </c>
      <c r="B546" s="34"/>
      <c r="E546" s="36" t="s">
        <v>946</v>
      </c>
      <c r="J546" s="35"/>
    </row>
    <row r="547" spans="1:10" ht="28.8" x14ac:dyDescent="0.3">
      <c r="A547" s="27" t="s">
        <v>103</v>
      </c>
      <c r="B547" s="34"/>
      <c r="E547" s="36" t="s">
        <v>947</v>
      </c>
      <c r="J547" s="35"/>
    </row>
    <row r="548" spans="1:10" x14ac:dyDescent="0.3">
      <c r="A548" s="27" t="s">
        <v>103</v>
      </c>
      <c r="B548" s="34"/>
      <c r="E548" s="36" t="s">
        <v>948</v>
      </c>
      <c r="J548" s="35"/>
    </row>
    <row r="549" spans="1:10" ht="28.8" x14ac:dyDescent="0.3">
      <c r="A549" s="27" t="s">
        <v>103</v>
      </c>
      <c r="B549" s="34"/>
      <c r="E549" s="36" t="s">
        <v>949</v>
      </c>
      <c r="J549" s="35"/>
    </row>
    <row r="550" spans="1:10" ht="28.8" x14ac:dyDescent="0.3">
      <c r="A550" s="27" t="s">
        <v>103</v>
      </c>
      <c r="B550" s="34"/>
      <c r="E550" s="36" t="s">
        <v>950</v>
      </c>
      <c r="J550" s="35"/>
    </row>
    <row r="551" spans="1:10" ht="28.8" x14ac:dyDescent="0.3">
      <c r="A551" s="27" t="s">
        <v>103</v>
      </c>
      <c r="B551" s="34"/>
      <c r="E551" s="36" t="s">
        <v>951</v>
      </c>
      <c r="J551" s="35"/>
    </row>
    <row r="552" spans="1:10" ht="28.8" x14ac:dyDescent="0.3">
      <c r="A552" s="27" t="s">
        <v>103</v>
      </c>
      <c r="B552" s="34"/>
      <c r="E552" s="36" t="s">
        <v>952</v>
      </c>
      <c r="J552" s="35"/>
    </row>
    <row r="553" spans="1:10" ht="28.8" x14ac:dyDescent="0.3">
      <c r="A553" s="27" t="s">
        <v>103</v>
      </c>
      <c r="B553" s="34"/>
      <c r="E553" s="36" t="s">
        <v>953</v>
      </c>
      <c r="J553" s="35"/>
    </row>
    <row r="554" spans="1:10" ht="28.8" x14ac:dyDescent="0.3">
      <c r="A554" s="27" t="s">
        <v>103</v>
      </c>
      <c r="B554" s="34"/>
      <c r="E554" s="36" t="s">
        <v>954</v>
      </c>
      <c r="J554" s="35"/>
    </row>
    <row r="555" spans="1:10" ht="28.8" x14ac:dyDescent="0.3">
      <c r="A555" s="27" t="s">
        <v>103</v>
      </c>
      <c r="B555" s="34"/>
      <c r="E555" s="36" t="s">
        <v>955</v>
      </c>
      <c r="J555" s="35"/>
    </row>
    <row r="556" spans="1:10" ht="28.8" x14ac:dyDescent="0.3">
      <c r="A556" s="27" t="s">
        <v>103</v>
      </c>
      <c r="B556" s="34"/>
      <c r="E556" s="36" t="s">
        <v>956</v>
      </c>
      <c r="J556" s="35"/>
    </row>
    <row r="557" spans="1:10" ht="28.8" x14ac:dyDescent="0.3">
      <c r="A557" s="27" t="s">
        <v>103</v>
      </c>
      <c r="B557" s="34"/>
      <c r="E557" s="36" t="s">
        <v>957</v>
      </c>
      <c r="J557" s="35"/>
    </row>
    <row r="558" spans="1:10" ht="28.8" x14ac:dyDescent="0.3">
      <c r="A558" s="27" t="s">
        <v>103</v>
      </c>
      <c r="B558" s="34"/>
      <c r="E558" s="36" t="s">
        <v>958</v>
      </c>
      <c r="J558" s="35"/>
    </row>
    <row r="559" spans="1:10" ht="28.8" x14ac:dyDescent="0.3">
      <c r="A559" s="27" t="s">
        <v>103</v>
      </c>
      <c r="B559" s="34"/>
      <c r="E559" s="36" t="s">
        <v>959</v>
      </c>
      <c r="J559" s="35"/>
    </row>
    <row r="560" spans="1:10" ht="28.8" x14ac:dyDescent="0.3">
      <c r="A560" s="27" t="s">
        <v>103</v>
      </c>
      <c r="B560" s="34"/>
      <c r="E560" s="36" t="s">
        <v>960</v>
      </c>
      <c r="J560" s="35"/>
    </row>
    <row r="561" spans="1:10" ht="28.8" x14ac:dyDescent="0.3">
      <c r="A561" s="27" t="s">
        <v>103</v>
      </c>
      <c r="B561" s="34"/>
      <c r="E561" s="36" t="s">
        <v>961</v>
      </c>
      <c r="J561" s="35"/>
    </row>
    <row r="562" spans="1:10" ht="28.8" x14ac:dyDescent="0.3">
      <c r="A562" s="27" t="s">
        <v>103</v>
      </c>
      <c r="B562" s="34"/>
      <c r="E562" s="36" t="s">
        <v>962</v>
      </c>
      <c r="J562" s="35"/>
    </row>
    <row r="563" spans="1:10" ht="28.8" x14ac:dyDescent="0.3">
      <c r="A563" s="27" t="s">
        <v>103</v>
      </c>
      <c r="B563" s="34"/>
      <c r="E563" s="36" t="s">
        <v>963</v>
      </c>
      <c r="J563" s="35"/>
    </row>
    <row r="564" spans="1:10" ht="28.8" x14ac:dyDescent="0.3">
      <c r="A564" s="27" t="s">
        <v>103</v>
      </c>
      <c r="B564" s="34"/>
      <c r="E564" s="36" t="s">
        <v>964</v>
      </c>
      <c r="J564" s="35"/>
    </row>
    <row r="565" spans="1:10" ht="28.8" x14ac:dyDescent="0.3">
      <c r="A565" s="27" t="s">
        <v>103</v>
      </c>
      <c r="B565" s="34"/>
      <c r="E565" s="36" t="s">
        <v>965</v>
      </c>
      <c r="J565" s="35"/>
    </row>
    <row r="566" spans="1:10" ht="28.8" x14ac:dyDescent="0.3">
      <c r="A566" s="27" t="s">
        <v>103</v>
      </c>
      <c r="B566" s="34"/>
      <c r="E566" s="36" t="s">
        <v>966</v>
      </c>
      <c r="J566" s="35"/>
    </row>
    <row r="567" spans="1:10" ht="28.8" x14ac:dyDescent="0.3">
      <c r="A567" s="27" t="s">
        <v>103</v>
      </c>
      <c r="B567" s="34"/>
      <c r="E567" s="36" t="s">
        <v>967</v>
      </c>
      <c r="J567" s="35"/>
    </row>
    <row r="568" spans="1:10" ht="28.8" x14ac:dyDescent="0.3">
      <c r="A568" s="27" t="s">
        <v>103</v>
      </c>
      <c r="B568" s="34"/>
      <c r="E568" s="36" t="s">
        <v>968</v>
      </c>
      <c r="J568" s="35"/>
    </row>
    <row r="569" spans="1:10" ht="28.8" x14ac:dyDescent="0.3">
      <c r="A569" s="27" t="s">
        <v>103</v>
      </c>
      <c r="B569" s="34"/>
      <c r="E569" s="36" t="s">
        <v>969</v>
      </c>
      <c r="J569" s="35"/>
    </row>
    <row r="570" spans="1:10" ht="28.8" x14ac:dyDescent="0.3">
      <c r="A570" s="27" t="s">
        <v>103</v>
      </c>
      <c r="B570" s="34"/>
      <c r="E570" s="36" t="s">
        <v>970</v>
      </c>
      <c r="J570" s="35"/>
    </row>
    <row r="571" spans="1:10" x14ac:dyDescent="0.3">
      <c r="A571" s="27" t="s">
        <v>103</v>
      </c>
      <c r="B571" s="34"/>
      <c r="E571" s="36" t="s">
        <v>971</v>
      </c>
      <c r="J571" s="35"/>
    </row>
    <row r="572" spans="1:10" ht="28.8" x14ac:dyDescent="0.3">
      <c r="A572" s="27" t="s">
        <v>103</v>
      </c>
      <c r="B572" s="34"/>
      <c r="E572" s="36" t="s">
        <v>972</v>
      </c>
      <c r="J572" s="35"/>
    </row>
    <row r="573" spans="1:10" ht="28.8" x14ac:dyDescent="0.3">
      <c r="A573" s="27" t="s">
        <v>103</v>
      </c>
      <c r="B573" s="34"/>
      <c r="E573" s="36" t="s">
        <v>973</v>
      </c>
      <c r="J573" s="35"/>
    </row>
    <row r="574" spans="1:10" ht="28.8" x14ac:dyDescent="0.3">
      <c r="A574" s="27" t="s">
        <v>103</v>
      </c>
      <c r="B574" s="34"/>
      <c r="E574" s="36" t="s">
        <v>974</v>
      </c>
      <c r="J574" s="35"/>
    </row>
    <row r="575" spans="1:10" ht="28.8" x14ac:dyDescent="0.3">
      <c r="A575" s="27" t="s">
        <v>103</v>
      </c>
      <c r="B575" s="34"/>
      <c r="E575" s="36" t="s">
        <v>975</v>
      </c>
      <c r="J575" s="35"/>
    </row>
    <row r="576" spans="1:10" ht="28.8" x14ac:dyDescent="0.3">
      <c r="A576" s="27" t="s">
        <v>103</v>
      </c>
      <c r="B576" s="34"/>
      <c r="E576" s="36" t="s">
        <v>976</v>
      </c>
      <c r="J576" s="35"/>
    </row>
    <row r="577" spans="1:16" ht="28.8" x14ac:dyDescent="0.3">
      <c r="A577" s="27" t="s">
        <v>103</v>
      </c>
      <c r="B577" s="34"/>
      <c r="E577" s="36" t="s">
        <v>977</v>
      </c>
      <c r="J577" s="35"/>
    </row>
    <row r="578" spans="1:16" ht="28.8" x14ac:dyDescent="0.3">
      <c r="A578" s="27" t="s">
        <v>103</v>
      </c>
      <c r="B578" s="34"/>
      <c r="E578" s="36" t="s">
        <v>978</v>
      </c>
      <c r="J578" s="35"/>
    </row>
    <row r="579" spans="1:16" ht="28.8" x14ac:dyDescent="0.3">
      <c r="A579" s="27" t="s">
        <v>103</v>
      </c>
      <c r="B579" s="34"/>
      <c r="E579" s="36" t="s">
        <v>979</v>
      </c>
      <c r="J579" s="35"/>
    </row>
    <row r="580" spans="1:16" ht="28.8" x14ac:dyDescent="0.3">
      <c r="A580" s="27" t="s">
        <v>103</v>
      </c>
      <c r="B580" s="34"/>
      <c r="E580" s="36" t="s">
        <v>980</v>
      </c>
      <c r="J580" s="35"/>
    </row>
    <row r="581" spans="1:16" ht="28.8" x14ac:dyDescent="0.3">
      <c r="A581" s="27" t="s">
        <v>103</v>
      </c>
      <c r="B581" s="34"/>
      <c r="E581" s="36" t="s">
        <v>981</v>
      </c>
      <c r="J581" s="35"/>
    </row>
    <row r="582" spans="1:16" ht="28.8" x14ac:dyDescent="0.3">
      <c r="A582" s="27" t="s">
        <v>103</v>
      </c>
      <c r="B582" s="34"/>
      <c r="E582" s="36" t="s">
        <v>982</v>
      </c>
      <c r="J582" s="35"/>
    </row>
    <row r="583" spans="1:16" ht="28.8" x14ac:dyDescent="0.3">
      <c r="A583" s="27" t="s">
        <v>103</v>
      </c>
      <c r="B583" s="34"/>
      <c r="E583" s="36" t="s">
        <v>983</v>
      </c>
      <c r="J583" s="35"/>
    </row>
    <row r="584" spans="1:16" ht="28.8" x14ac:dyDescent="0.3">
      <c r="A584" s="27" t="s">
        <v>103</v>
      </c>
      <c r="B584" s="34"/>
      <c r="E584" s="36" t="s">
        <v>984</v>
      </c>
      <c r="J584" s="35"/>
    </row>
    <row r="585" spans="1:16" ht="28.8" x14ac:dyDescent="0.3">
      <c r="A585" s="27" t="s">
        <v>103</v>
      </c>
      <c r="B585" s="34"/>
      <c r="E585" s="36" t="s">
        <v>985</v>
      </c>
      <c r="J585" s="35"/>
    </row>
    <row r="586" spans="1:16" ht="28.8" x14ac:dyDescent="0.3">
      <c r="A586" s="27" t="s">
        <v>103</v>
      </c>
      <c r="B586" s="34"/>
      <c r="E586" s="36" t="s">
        <v>986</v>
      </c>
      <c r="J586" s="35"/>
    </row>
    <row r="587" spans="1:16" ht="28.8" x14ac:dyDescent="0.3">
      <c r="A587" s="27" t="s">
        <v>103</v>
      </c>
      <c r="B587" s="34"/>
      <c r="E587" s="36" t="s">
        <v>987</v>
      </c>
      <c r="J587" s="35"/>
    </row>
    <row r="588" spans="1:16" x14ac:dyDescent="0.3">
      <c r="A588" s="27" t="s">
        <v>103</v>
      </c>
      <c r="B588" s="34"/>
      <c r="E588" s="36" t="s">
        <v>988</v>
      </c>
      <c r="J588" s="35"/>
    </row>
    <row r="589" spans="1:16" ht="115.2" x14ac:dyDescent="0.3">
      <c r="A589" s="27" t="s">
        <v>105</v>
      </c>
      <c r="B589" s="34"/>
      <c r="E589" s="29" t="s">
        <v>989</v>
      </c>
      <c r="J589" s="35"/>
    </row>
    <row r="590" spans="1:16" x14ac:dyDescent="0.3">
      <c r="A590" s="27" t="s">
        <v>95</v>
      </c>
      <c r="B590" s="27">
        <v>14</v>
      </c>
      <c r="C590" s="28" t="s">
        <v>990</v>
      </c>
      <c r="D590" s="27" t="s">
        <v>129</v>
      </c>
      <c r="E590" s="29" t="s">
        <v>991</v>
      </c>
      <c r="F590" s="30" t="s">
        <v>248</v>
      </c>
      <c r="G590" s="31">
        <v>9924.6219999999994</v>
      </c>
      <c r="H590" s="32">
        <v>0</v>
      </c>
      <c r="I590" s="32">
        <f>ROUND(3829.858*H590,P4)+ROUND(6094.764*H590,P4)</f>
        <v>0</v>
      </c>
      <c r="J590" s="30" t="s">
        <v>118</v>
      </c>
      <c r="O590" s="33">
        <f>I590*0.21</f>
        <v>0</v>
      </c>
      <c r="P590">
        <v>3</v>
      </c>
    </row>
    <row r="591" spans="1:16" ht="158.4" x14ac:dyDescent="0.3">
      <c r="A591" s="27" t="s">
        <v>101</v>
      </c>
      <c r="B591" s="34"/>
      <c r="E591" s="29" t="s">
        <v>992</v>
      </c>
      <c r="J591" s="35"/>
    </row>
    <row r="592" spans="1:16" ht="28.8" x14ac:dyDescent="0.3">
      <c r="A592" s="27" t="s">
        <v>103</v>
      </c>
      <c r="B592" s="34"/>
      <c r="E592" s="36" t="s">
        <v>993</v>
      </c>
      <c r="J592" s="35"/>
    </row>
    <row r="593" spans="1:16" x14ac:dyDescent="0.3">
      <c r="A593" s="27" t="s">
        <v>103</v>
      </c>
      <c r="B593" s="34"/>
      <c r="E593" s="36" t="s">
        <v>994</v>
      </c>
      <c r="J593" s="35"/>
    </row>
    <row r="594" spans="1:16" ht="28.8" x14ac:dyDescent="0.3">
      <c r="A594" s="27" t="s">
        <v>103</v>
      </c>
      <c r="B594" s="34"/>
      <c r="E594" s="36" t="s">
        <v>995</v>
      </c>
      <c r="J594" s="35"/>
    </row>
    <row r="595" spans="1:16" x14ac:dyDescent="0.3">
      <c r="A595" s="27" t="s">
        <v>103</v>
      </c>
      <c r="B595" s="34"/>
      <c r="E595" s="36" t="s">
        <v>996</v>
      </c>
      <c r="J595" s="35"/>
    </row>
    <row r="596" spans="1:16" ht="72" x14ac:dyDescent="0.3">
      <c r="A596" s="27" t="s">
        <v>105</v>
      </c>
      <c r="B596" s="34"/>
      <c r="E596" s="29" t="s">
        <v>997</v>
      </c>
      <c r="J596" s="35"/>
    </row>
    <row r="597" spans="1:16" x14ac:dyDescent="0.3">
      <c r="A597" s="27" t="s">
        <v>95</v>
      </c>
      <c r="B597" s="27">
        <v>15</v>
      </c>
      <c r="C597" s="28" t="s">
        <v>998</v>
      </c>
      <c r="D597" s="27" t="s">
        <v>129</v>
      </c>
      <c r="E597" s="29" t="s">
        <v>999</v>
      </c>
      <c r="F597" s="30" t="s">
        <v>248</v>
      </c>
      <c r="G597" s="31">
        <v>10074.155000000001</v>
      </c>
      <c r="H597" s="32">
        <v>0</v>
      </c>
      <c r="I597" s="32">
        <f>ROUND(3834.739*H597,P4)+ROUND(6239.416*H597,P4)</f>
        <v>0</v>
      </c>
      <c r="J597" s="30" t="s">
        <v>118</v>
      </c>
      <c r="O597" s="33">
        <f>I597*0.21</f>
        <v>0</v>
      </c>
      <c r="P597">
        <v>3</v>
      </c>
    </row>
    <row r="598" spans="1:16" ht="158.4" x14ac:dyDescent="0.3">
      <c r="A598" s="27" t="s">
        <v>101</v>
      </c>
      <c r="B598" s="34"/>
      <c r="E598" s="29" t="s">
        <v>1000</v>
      </c>
      <c r="J598" s="35"/>
    </row>
    <row r="599" spans="1:16" ht="28.8" x14ac:dyDescent="0.3">
      <c r="A599" s="27" t="s">
        <v>103</v>
      </c>
      <c r="B599" s="34"/>
      <c r="E599" s="36" t="s">
        <v>1001</v>
      </c>
      <c r="J599" s="35"/>
    </row>
    <row r="600" spans="1:16" x14ac:dyDescent="0.3">
      <c r="A600" s="27" t="s">
        <v>103</v>
      </c>
      <c r="B600" s="34"/>
      <c r="E600" s="36" t="s">
        <v>1002</v>
      </c>
      <c r="J600" s="35"/>
    </row>
    <row r="601" spans="1:16" ht="28.8" x14ac:dyDescent="0.3">
      <c r="A601" s="27" t="s">
        <v>103</v>
      </c>
      <c r="B601" s="34"/>
      <c r="E601" s="36" t="s">
        <v>1003</v>
      </c>
      <c r="J601" s="35"/>
    </row>
    <row r="602" spans="1:16" x14ac:dyDescent="0.3">
      <c r="A602" s="27" t="s">
        <v>103</v>
      </c>
      <c r="B602" s="34"/>
      <c r="E602" s="36" t="s">
        <v>1004</v>
      </c>
      <c r="J602" s="35"/>
    </row>
    <row r="603" spans="1:16" ht="72" x14ac:dyDescent="0.3">
      <c r="A603" s="27" t="s">
        <v>105</v>
      </c>
      <c r="B603" s="34"/>
      <c r="E603" s="29" t="s">
        <v>997</v>
      </c>
      <c r="J603" s="35"/>
    </row>
    <row r="604" spans="1:16" x14ac:dyDescent="0.3">
      <c r="A604" s="27" t="s">
        <v>95</v>
      </c>
      <c r="B604" s="27">
        <v>16</v>
      </c>
      <c r="C604" s="28" t="s">
        <v>1005</v>
      </c>
      <c r="D604" s="27" t="s">
        <v>129</v>
      </c>
      <c r="E604" s="29" t="s">
        <v>1006</v>
      </c>
      <c r="F604" s="30" t="s">
        <v>248</v>
      </c>
      <c r="G604" s="31">
        <v>17.02</v>
      </c>
      <c r="H604" s="32">
        <v>0</v>
      </c>
      <c r="I604" s="32">
        <f>ROUND(17.02*H604,P4)</f>
        <v>0</v>
      </c>
      <c r="J604" s="30" t="s">
        <v>118</v>
      </c>
      <c r="O604" s="33">
        <f>I604*0.21</f>
        <v>0</v>
      </c>
      <c r="P604">
        <v>3</v>
      </c>
    </row>
    <row r="605" spans="1:16" ht="201.6" x14ac:dyDescent="0.3">
      <c r="A605" s="27" t="s">
        <v>101</v>
      </c>
      <c r="B605" s="34"/>
      <c r="E605" s="29" t="s">
        <v>1007</v>
      </c>
      <c r="J605" s="35"/>
    </row>
    <row r="606" spans="1:16" ht="28.8" x14ac:dyDescent="0.3">
      <c r="A606" s="27" t="s">
        <v>103</v>
      </c>
      <c r="B606" s="34"/>
      <c r="E606" s="36" t="s">
        <v>1008</v>
      </c>
      <c r="J606" s="35"/>
    </row>
    <row r="607" spans="1:16" ht="28.8" x14ac:dyDescent="0.3">
      <c r="A607" s="27" t="s">
        <v>103</v>
      </c>
      <c r="B607" s="34"/>
      <c r="E607" s="36" t="s">
        <v>1009</v>
      </c>
      <c r="J607" s="35"/>
    </row>
    <row r="608" spans="1:16" x14ac:dyDescent="0.3">
      <c r="A608" s="27" t="s">
        <v>103</v>
      </c>
      <c r="B608" s="34"/>
      <c r="E608" s="36" t="s">
        <v>1010</v>
      </c>
      <c r="J608" s="35"/>
    </row>
    <row r="609" spans="1:16" ht="57.6" x14ac:dyDescent="0.3">
      <c r="A609" s="27" t="s">
        <v>105</v>
      </c>
      <c r="B609" s="34"/>
      <c r="E609" s="29" t="s">
        <v>1011</v>
      </c>
      <c r="J609" s="35"/>
    </row>
    <row r="610" spans="1:16" x14ac:dyDescent="0.3">
      <c r="A610" s="27" t="s">
        <v>95</v>
      </c>
      <c r="B610" s="27">
        <v>17</v>
      </c>
      <c r="C610" s="28" t="s">
        <v>1012</v>
      </c>
      <c r="D610" s="27" t="s">
        <v>129</v>
      </c>
      <c r="E610" s="29" t="s">
        <v>1013</v>
      </c>
      <c r="F610" s="30" t="s">
        <v>229</v>
      </c>
      <c r="G610" s="31">
        <v>393.37700000000001</v>
      </c>
      <c r="H610" s="32">
        <v>0</v>
      </c>
      <c r="I610" s="32">
        <f>ROUND(156.306*H610,P4)+ROUND(237.024*H610,P4)+ROUND(0.047*H610,P4)</f>
        <v>0</v>
      </c>
      <c r="J610" s="30" t="s">
        <v>100</v>
      </c>
      <c r="O610" s="33">
        <f>I610*0.21</f>
        <v>0</v>
      </c>
      <c r="P610">
        <v>3</v>
      </c>
    </row>
    <row r="611" spans="1:16" ht="158.4" x14ac:dyDescent="0.3">
      <c r="A611" s="27" t="s">
        <v>101</v>
      </c>
      <c r="B611" s="34"/>
      <c r="E611" s="29" t="s">
        <v>1014</v>
      </c>
      <c r="J611" s="35"/>
    </row>
    <row r="612" spans="1:16" ht="28.8" x14ac:dyDescent="0.3">
      <c r="A612" s="27" t="s">
        <v>103</v>
      </c>
      <c r="B612" s="34"/>
      <c r="E612" s="36" t="s">
        <v>1015</v>
      </c>
      <c r="J612" s="35"/>
    </row>
    <row r="613" spans="1:16" ht="28.8" x14ac:dyDescent="0.3">
      <c r="A613" s="27" t="s">
        <v>103</v>
      </c>
      <c r="B613" s="34"/>
      <c r="E613" s="36" t="s">
        <v>1016</v>
      </c>
      <c r="J613" s="35"/>
    </row>
    <row r="614" spans="1:16" ht="28.8" x14ac:dyDescent="0.3">
      <c r="A614" s="27" t="s">
        <v>103</v>
      </c>
      <c r="B614" s="34"/>
      <c r="E614" s="36" t="s">
        <v>1017</v>
      </c>
      <c r="J614" s="35"/>
    </row>
    <row r="615" spans="1:16" ht="28.8" x14ac:dyDescent="0.3">
      <c r="A615" s="27" t="s">
        <v>103</v>
      </c>
      <c r="B615" s="34"/>
      <c r="E615" s="36" t="s">
        <v>1018</v>
      </c>
      <c r="J615" s="35"/>
    </row>
    <row r="616" spans="1:16" ht="28.8" x14ac:dyDescent="0.3">
      <c r="A616" s="27" t="s">
        <v>103</v>
      </c>
      <c r="B616" s="34"/>
      <c r="E616" s="36" t="s">
        <v>1019</v>
      </c>
      <c r="J616" s="35"/>
    </row>
    <row r="617" spans="1:16" ht="28.8" x14ac:dyDescent="0.3">
      <c r="A617" s="27" t="s">
        <v>103</v>
      </c>
      <c r="B617" s="34"/>
      <c r="E617" s="36" t="s">
        <v>1020</v>
      </c>
      <c r="J617" s="35"/>
    </row>
    <row r="618" spans="1:16" ht="28.8" x14ac:dyDescent="0.3">
      <c r="A618" s="27" t="s">
        <v>103</v>
      </c>
      <c r="B618" s="34"/>
      <c r="E618" s="36" t="s">
        <v>1021</v>
      </c>
      <c r="J618" s="35"/>
    </row>
    <row r="619" spans="1:16" x14ac:dyDescent="0.3">
      <c r="A619" s="27" t="s">
        <v>103</v>
      </c>
      <c r="B619" s="34"/>
      <c r="E619" s="36" t="s">
        <v>1022</v>
      </c>
      <c r="J619" s="35"/>
    </row>
    <row r="620" spans="1:16" ht="28.8" x14ac:dyDescent="0.3">
      <c r="A620" s="27" t="s">
        <v>103</v>
      </c>
      <c r="B620" s="34"/>
      <c r="E620" s="36" t="s">
        <v>1023</v>
      </c>
      <c r="J620" s="35"/>
    </row>
    <row r="621" spans="1:16" x14ac:dyDescent="0.3">
      <c r="A621" s="27" t="s">
        <v>103</v>
      </c>
      <c r="B621" s="34"/>
      <c r="E621" s="36" t="s">
        <v>1024</v>
      </c>
      <c r="J621" s="35"/>
    </row>
    <row r="622" spans="1:16" ht="28.8" x14ac:dyDescent="0.3">
      <c r="A622" s="27" t="s">
        <v>103</v>
      </c>
      <c r="B622" s="34"/>
      <c r="E622" s="36" t="s">
        <v>1025</v>
      </c>
      <c r="J622" s="35"/>
    </row>
    <row r="623" spans="1:16" ht="28.8" x14ac:dyDescent="0.3">
      <c r="A623" s="27" t="s">
        <v>103</v>
      </c>
      <c r="B623" s="34"/>
      <c r="E623" s="36" t="s">
        <v>1026</v>
      </c>
      <c r="J623" s="35"/>
    </row>
    <row r="624" spans="1:16" ht="28.8" x14ac:dyDescent="0.3">
      <c r="A624" s="27" t="s">
        <v>103</v>
      </c>
      <c r="B624" s="34"/>
      <c r="E624" s="36" t="s">
        <v>1027</v>
      </c>
      <c r="J624" s="35"/>
    </row>
    <row r="625" spans="1:10" ht="28.8" x14ac:dyDescent="0.3">
      <c r="A625" s="27" t="s">
        <v>103</v>
      </c>
      <c r="B625" s="34"/>
      <c r="E625" s="36" t="s">
        <v>1028</v>
      </c>
      <c r="J625" s="35"/>
    </row>
    <row r="626" spans="1:10" ht="28.8" x14ac:dyDescent="0.3">
      <c r="A626" s="27" t="s">
        <v>103</v>
      </c>
      <c r="B626" s="34"/>
      <c r="E626" s="36" t="s">
        <v>1029</v>
      </c>
      <c r="J626" s="35"/>
    </row>
    <row r="627" spans="1:10" ht="28.8" x14ac:dyDescent="0.3">
      <c r="A627" s="27" t="s">
        <v>103</v>
      </c>
      <c r="B627" s="34"/>
      <c r="E627" s="36" t="s">
        <v>1030</v>
      </c>
      <c r="J627" s="35"/>
    </row>
    <row r="628" spans="1:10" ht="28.8" x14ac:dyDescent="0.3">
      <c r="A628" s="27" t="s">
        <v>103</v>
      </c>
      <c r="B628" s="34"/>
      <c r="E628" s="36" t="s">
        <v>1031</v>
      </c>
      <c r="J628" s="35"/>
    </row>
    <row r="629" spans="1:10" ht="28.8" x14ac:dyDescent="0.3">
      <c r="A629" s="27" t="s">
        <v>103</v>
      </c>
      <c r="B629" s="34"/>
      <c r="E629" s="36" t="s">
        <v>1032</v>
      </c>
      <c r="J629" s="35"/>
    </row>
    <row r="630" spans="1:10" ht="28.8" x14ac:dyDescent="0.3">
      <c r="A630" s="27" t="s">
        <v>103</v>
      </c>
      <c r="B630" s="34"/>
      <c r="E630" s="36" t="s">
        <v>1033</v>
      </c>
      <c r="J630" s="35"/>
    </row>
    <row r="631" spans="1:10" ht="28.8" x14ac:dyDescent="0.3">
      <c r="A631" s="27" t="s">
        <v>103</v>
      </c>
      <c r="B631" s="34"/>
      <c r="E631" s="36" t="s">
        <v>1034</v>
      </c>
      <c r="J631" s="35"/>
    </row>
    <row r="632" spans="1:10" ht="28.8" x14ac:dyDescent="0.3">
      <c r="A632" s="27" t="s">
        <v>103</v>
      </c>
      <c r="B632" s="34"/>
      <c r="E632" s="36" t="s">
        <v>1035</v>
      </c>
      <c r="J632" s="35"/>
    </row>
    <row r="633" spans="1:10" ht="28.8" x14ac:dyDescent="0.3">
      <c r="A633" s="27" t="s">
        <v>103</v>
      </c>
      <c r="B633" s="34"/>
      <c r="E633" s="36" t="s">
        <v>1036</v>
      </c>
      <c r="J633" s="35"/>
    </row>
    <row r="634" spans="1:10" ht="28.8" x14ac:dyDescent="0.3">
      <c r="A634" s="27" t="s">
        <v>103</v>
      </c>
      <c r="B634" s="34"/>
      <c r="E634" s="36" t="s">
        <v>1037</v>
      </c>
      <c r="J634" s="35"/>
    </row>
    <row r="635" spans="1:10" ht="28.8" x14ac:dyDescent="0.3">
      <c r="A635" s="27" t="s">
        <v>103</v>
      </c>
      <c r="B635" s="34"/>
      <c r="E635" s="36" t="s">
        <v>1038</v>
      </c>
      <c r="J635" s="35"/>
    </row>
    <row r="636" spans="1:10" x14ac:dyDescent="0.3">
      <c r="A636" s="27" t="s">
        <v>103</v>
      </c>
      <c r="B636" s="34"/>
      <c r="E636" s="36" t="s">
        <v>1039</v>
      </c>
      <c r="J636" s="35"/>
    </row>
    <row r="637" spans="1:10" ht="28.8" x14ac:dyDescent="0.3">
      <c r="A637" s="27" t="s">
        <v>103</v>
      </c>
      <c r="B637" s="34"/>
      <c r="E637" s="36" t="s">
        <v>1040</v>
      </c>
      <c r="J637" s="35"/>
    </row>
    <row r="638" spans="1:10" ht="28.8" x14ac:dyDescent="0.3">
      <c r="A638" s="27" t="s">
        <v>103</v>
      </c>
      <c r="B638" s="34"/>
      <c r="E638" s="36" t="s">
        <v>1041</v>
      </c>
      <c r="J638" s="35"/>
    </row>
    <row r="639" spans="1:10" ht="28.8" x14ac:dyDescent="0.3">
      <c r="A639" s="27" t="s">
        <v>103</v>
      </c>
      <c r="B639" s="34"/>
      <c r="E639" s="36" t="s">
        <v>1042</v>
      </c>
      <c r="J639" s="35"/>
    </row>
    <row r="640" spans="1:10" ht="28.8" x14ac:dyDescent="0.3">
      <c r="A640" s="27" t="s">
        <v>103</v>
      </c>
      <c r="B640" s="34"/>
      <c r="E640" s="36" t="s">
        <v>1043</v>
      </c>
      <c r="J640" s="35"/>
    </row>
    <row r="641" spans="1:10" ht="28.8" x14ac:dyDescent="0.3">
      <c r="A641" s="27" t="s">
        <v>103</v>
      </c>
      <c r="B641" s="34"/>
      <c r="E641" s="36" t="s">
        <v>1044</v>
      </c>
      <c r="J641" s="35"/>
    </row>
    <row r="642" spans="1:10" ht="28.8" x14ac:dyDescent="0.3">
      <c r="A642" s="27" t="s">
        <v>103</v>
      </c>
      <c r="B642" s="34"/>
      <c r="E642" s="36" t="s">
        <v>1045</v>
      </c>
      <c r="J642" s="35"/>
    </row>
    <row r="643" spans="1:10" ht="28.8" x14ac:dyDescent="0.3">
      <c r="A643" s="27" t="s">
        <v>103</v>
      </c>
      <c r="B643" s="34"/>
      <c r="E643" s="36" t="s">
        <v>1046</v>
      </c>
      <c r="J643" s="35"/>
    </row>
    <row r="644" spans="1:10" x14ac:dyDescent="0.3">
      <c r="A644" s="27" t="s">
        <v>103</v>
      </c>
      <c r="B644" s="34"/>
      <c r="E644" s="36" t="s">
        <v>1047</v>
      </c>
      <c r="J644" s="35"/>
    </row>
    <row r="645" spans="1:10" ht="28.8" x14ac:dyDescent="0.3">
      <c r="A645" s="27" t="s">
        <v>103</v>
      </c>
      <c r="B645" s="34"/>
      <c r="E645" s="36" t="s">
        <v>1048</v>
      </c>
      <c r="J645" s="35"/>
    </row>
    <row r="646" spans="1:10" ht="28.8" x14ac:dyDescent="0.3">
      <c r="A646" s="27" t="s">
        <v>103</v>
      </c>
      <c r="B646" s="34"/>
      <c r="E646" s="36" t="s">
        <v>1049</v>
      </c>
      <c r="J646" s="35"/>
    </row>
    <row r="647" spans="1:10" ht="28.8" x14ac:dyDescent="0.3">
      <c r="A647" s="27" t="s">
        <v>103</v>
      </c>
      <c r="B647" s="34"/>
      <c r="E647" s="36" t="s">
        <v>1050</v>
      </c>
      <c r="J647" s="35"/>
    </row>
    <row r="648" spans="1:10" ht="28.8" x14ac:dyDescent="0.3">
      <c r="A648" s="27" t="s">
        <v>103</v>
      </c>
      <c r="B648" s="34"/>
      <c r="E648" s="36" t="s">
        <v>1051</v>
      </c>
      <c r="J648" s="35"/>
    </row>
    <row r="649" spans="1:10" ht="28.8" x14ac:dyDescent="0.3">
      <c r="A649" s="27" t="s">
        <v>103</v>
      </c>
      <c r="B649" s="34"/>
      <c r="E649" s="36" t="s">
        <v>1052</v>
      </c>
      <c r="J649" s="35"/>
    </row>
    <row r="650" spans="1:10" ht="28.8" x14ac:dyDescent="0.3">
      <c r="A650" s="27" t="s">
        <v>103</v>
      </c>
      <c r="B650" s="34"/>
      <c r="E650" s="36" t="s">
        <v>1053</v>
      </c>
      <c r="J650" s="35"/>
    </row>
    <row r="651" spans="1:10" ht="28.8" x14ac:dyDescent="0.3">
      <c r="A651" s="27" t="s">
        <v>103</v>
      </c>
      <c r="B651" s="34"/>
      <c r="E651" s="36" t="s">
        <v>1054</v>
      </c>
      <c r="J651" s="35"/>
    </row>
    <row r="652" spans="1:10" ht="28.8" x14ac:dyDescent="0.3">
      <c r="A652" s="27" t="s">
        <v>103</v>
      </c>
      <c r="B652" s="34"/>
      <c r="E652" s="36" t="s">
        <v>1055</v>
      </c>
      <c r="J652" s="35"/>
    </row>
    <row r="653" spans="1:10" ht="28.8" x14ac:dyDescent="0.3">
      <c r="A653" s="27" t="s">
        <v>103</v>
      </c>
      <c r="B653" s="34"/>
      <c r="E653" s="36" t="s">
        <v>1056</v>
      </c>
      <c r="J653" s="35"/>
    </row>
    <row r="654" spans="1:10" ht="28.8" x14ac:dyDescent="0.3">
      <c r="A654" s="27" t="s">
        <v>103</v>
      </c>
      <c r="B654" s="34"/>
      <c r="E654" s="36" t="s">
        <v>1057</v>
      </c>
      <c r="J654" s="35"/>
    </row>
    <row r="655" spans="1:10" ht="28.8" x14ac:dyDescent="0.3">
      <c r="A655" s="27" t="s">
        <v>103</v>
      </c>
      <c r="B655" s="34"/>
      <c r="E655" s="36" t="s">
        <v>1058</v>
      </c>
      <c r="J655" s="35"/>
    </row>
    <row r="656" spans="1:10" ht="28.8" x14ac:dyDescent="0.3">
      <c r="A656" s="27" t="s">
        <v>103</v>
      </c>
      <c r="B656" s="34"/>
      <c r="E656" s="36" t="s">
        <v>1059</v>
      </c>
      <c r="J656" s="35"/>
    </row>
    <row r="657" spans="1:16" ht="28.8" x14ac:dyDescent="0.3">
      <c r="A657" s="27" t="s">
        <v>103</v>
      </c>
      <c r="B657" s="34"/>
      <c r="E657" s="36" t="s">
        <v>1060</v>
      </c>
      <c r="J657" s="35"/>
    </row>
    <row r="658" spans="1:16" ht="28.8" x14ac:dyDescent="0.3">
      <c r="A658" s="27" t="s">
        <v>103</v>
      </c>
      <c r="B658" s="34"/>
      <c r="E658" s="36" t="s">
        <v>1061</v>
      </c>
      <c r="J658" s="35"/>
    </row>
    <row r="659" spans="1:16" ht="28.8" x14ac:dyDescent="0.3">
      <c r="A659" s="27" t="s">
        <v>103</v>
      </c>
      <c r="B659" s="34"/>
      <c r="E659" s="36" t="s">
        <v>1062</v>
      </c>
      <c r="J659" s="35"/>
    </row>
    <row r="660" spans="1:16" ht="28.8" x14ac:dyDescent="0.3">
      <c r="A660" s="27" t="s">
        <v>103</v>
      </c>
      <c r="B660" s="34"/>
      <c r="E660" s="36" t="s">
        <v>1063</v>
      </c>
      <c r="J660" s="35"/>
    </row>
    <row r="661" spans="1:16" ht="28.8" x14ac:dyDescent="0.3">
      <c r="A661" s="27" t="s">
        <v>103</v>
      </c>
      <c r="B661" s="34"/>
      <c r="E661" s="36" t="s">
        <v>1064</v>
      </c>
      <c r="J661" s="35"/>
    </row>
    <row r="662" spans="1:16" x14ac:dyDescent="0.3">
      <c r="A662" s="27" t="s">
        <v>103</v>
      </c>
      <c r="B662" s="34"/>
      <c r="E662" s="36" t="s">
        <v>1065</v>
      </c>
      <c r="J662" s="35"/>
    </row>
    <row r="663" spans="1:16" ht="187.2" x14ac:dyDescent="0.3">
      <c r="A663" s="27" t="s">
        <v>105</v>
      </c>
      <c r="B663" s="34"/>
      <c r="E663" s="29" t="s">
        <v>1066</v>
      </c>
      <c r="J663" s="35"/>
    </row>
    <row r="664" spans="1:16" x14ac:dyDescent="0.3">
      <c r="A664" s="27" t="s">
        <v>95</v>
      </c>
      <c r="B664" s="27">
        <v>18</v>
      </c>
      <c r="C664" s="28" t="s">
        <v>1067</v>
      </c>
      <c r="D664" s="27" t="s">
        <v>129</v>
      </c>
      <c r="E664" s="29" t="s">
        <v>1068</v>
      </c>
      <c r="F664" s="30" t="s">
        <v>229</v>
      </c>
      <c r="G664" s="31">
        <v>590.68600000000004</v>
      </c>
      <c r="H664" s="32">
        <v>0</v>
      </c>
      <c r="I664" s="32">
        <f>ROUND(361.262*H664,P4)+ROUND(0.407*H664,P4)+ROUND(229.017*H664,P4)</f>
        <v>0</v>
      </c>
      <c r="J664" s="30" t="s">
        <v>100</v>
      </c>
      <c r="O664" s="33">
        <f>I664*0.21</f>
        <v>0</v>
      </c>
      <c r="P664">
        <v>3</v>
      </c>
    </row>
    <row r="665" spans="1:16" ht="172.8" x14ac:dyDescent="0.3">
      <c r="A665" s="27" t="s">
        <v>101</v>
      </c>
      <c r="B665" s="34"/>
      <c r="E665" s="29" t="s">
        <v>1069</v>
      </c>
      <c r="J665" s="35"/>
    </row>
    <row r="666" spans="1:16" ht="28.8" x14ac:dyDescent="0.3">
      <c r="A666" s="27" t="s">
        <v>103</v>
      </c>
      <c r="B666" s="34"/>
      <c r="E666" s="36" t="s">
        <v>1070</v>
      </c>
      <c r="J666" s="35"/>
    </row>
    <row r="667" spans="1:16" ht="28.8" x14ac:dyDescent="0.3">
      <c r="A667" s="27" t="s">
        <v>103</v>
      </c>
      <c r="B667" s="34"/>
      <c r="E667" s="36" t="s">
        <v>1071</v>
      </c>
      <c r="J667" s="35"/>
    </row>
    <row r="668" spans="1:16" ht="28.8" x14ac:dyDescent="0.3">
      <c r="A668" s="27" t="s">
        <v>103</v>
      </c>
      <c r="B668" s="34"/>
      <c r="E668" s="36" t="s">
        <v>1072</v>
      </c>
      <c r="J668" s="35"/>
    </row>
    <row r="669" spans="1:16" ht="28.8" x14ac:dyDescent="0.3">
      <c r="A669" s="27" t="s">
        <v>103</v>
      </c>
      <c r="B669" s="34"/>
      <c r="E669" s="36" t="s">
        <v>1073</v>
      </c>
      <c r="J669" s="35"/>
    </row>
    <row r="670" spans="1:16" ht="28.8" x14ac:dyDescent="0.3">
      <c r="A670" s="27" t="s">
        <v>103</v>
      </c>
      <c r="B670" s="34"/>
      <c r="E670" s="36" t="s">
        <v>1074</v>
      </c>
      <c r="J670" s="35"/>
    </row>
    <row r="671" spans="1:16" ht="28.8" x14ac:dyDescent="0.3">
      <c r="A671" s="27" t="s">
        <v>103</v>
      </c>
      <c r="B671" s="34"/>
      <c r="E671" s="36" t="s">
        <v>1075</v>
      </c>
      <c r="J671" s="35"/>
    </row>
    <row r="672" spans="1:16" ht="28.8" x14ac:dyDescent="0.3">
      <c r="A672" s="27" t="s">
        <v>103</v>
      </c>
      <c r="B672" s="34"/>
      <c r="E672" s="36" t="s">
        <v>1076</v>
      </c>
      <c r="J672" s="35"/>
    </row>
    <row r="673" spans="1:10" ht="28.8" x14ac:dyDescent="0.3">
      <c r="A673" s="27" t="s">
        <v>103</v>
      </c>
      <c r="B673" s="34"/>
      <c r="E673" s="36" t="s">
        <v>1077</v>
      </c>
      <c r="J673" s="35"/>
    </row>
    <row r="674" spans="1:10" ht="28.8" x14ac:dyDescent="0.3">
      <c r="A674" s="27" t="s">
        <v>103</v>
      </c>
      <c r="B674" s="34"/>
      <c r="E674" s="36" t="s">
        <v>1078</v>
      </c>
      <c r="J674" s="35"/>
    </row>
    <row r="675" spans="1:10" ht="28.8" x14ac:dyDescent="0.3">
      <c r="A675" s="27" t="s">
        <v>103</v>
      </c>
      <c r="B675" s="34"/>
      <c r="E675" s="36" t="s">
        <v>1079</v>
      </c>
      <c r="J675" s="35"/>
    </row>
    <row r="676" spans="1:10" ht="28.8" x14ac:dyDescent="0.3">
      <c r="A676" s="27" t="s">
        <v>103</v>
      </c>
      <c r="B676" s="34"/>
      <c r="E676" s="36" t="s">
        <v>1080</v>
      </c>
      <c r="J676" s="35"/>
    </row>
    <row r="677" spans="1:10" ht="28.8" x14ac:dyDescent="0.3">
      <c r="A677" s="27" t="s">
        <v>103</v>
      </c>
      <c r="B677" s="34"/>
      <c r="E677" s="36" t="s">
        <v>1081</v>
      </c>
      <c r="J677" s="35"/>
    </row>
    <row r="678" spans="1:10" ht="28.8" x14ac:dyDescent="0.3">
      <c r="A678" s="27" t="s">
        <v>103</v>
      </c>
      <c r="B678" s="34"/>
      <c r="E678" s="36" t="s">
        <v>1082</v>
      </c>
      <c r="J678" s="35"/>
    </row>
    <row r="679" spans="1:10" ht="28.8" x14ac:dyDescent="0.3">
      <c r="A679" s="27" t="s">
        <v>103</v>
      </c>
      <c r="B679" s="34"/>
      <c r="E679" s="36" t="s">
        <v>1083</v>
      </c>
      <c r="J679" s="35"/>
    </row>
    <row r="680" spans="1:10" ht="28.8" x14ac:dyDescent="0.3">
      <c r="A680" s="27" t="s">
        <v>103</v>
      </c>
      <c r="B680" s="34"/>
      <c r="E680" s="36" t="s">
        <v>1084</v>
      </c>
      <c r="J680" s="35"/>
    </row>
    <row r="681" spans="1:10" ht="28.8" x14ac:dyDescent="0.3">
      <c r="A681" s="27" t="s">
        <v>103</v>
      </c>
      <c r="B681" s="34"/>
      <c r="E681" s="36" t="s">
        <v>1085</v>
      </c>
      <c r="J681" s="35"/>
    </row>
    <row r="682" spans="1:10" ht="28.8" x14ac:dyDescent="0.3">
      <c r="A682" s="27" t="s">
        <v>103</v>
      </c>
      <c r="B682" s="34"/>
      <c r="E682" s="36" t="s">
        <v>1086</v>
      </c>
      <c r="J682" s="35"/>
    </row>
    <row r="683" spans="1:10" ht="28.8" x14ac:dyDescent="0.3">
      <c r="A683" s="27" t="s">
        <v>103</v>
      </c>
      <c r="B683" s="34"/>
      <c r="E683" s="36" t="s">
        <v>1087</v>
      </c>
      <c r="J683" s="35"/>
    </row>
    <row r="684" spans="1:10" ht="28.8" x14ac:dyDescent="0.3">
      <c r="A684" s="27" t="s">
        <v>103</v>
      </c>
      <c r="B684" s="34"/>
      <c r="E684" s="36" t="s">
        <v>1088</v>
      </c>
      <c r="J684" s="35"/>
    </row>
    <row r="685" spans="1:10" ht="28.8" x14ac:dyDescent="0.3">
      <c r="A685" s="27" t="s">
        <v>103</v>
      </c>
      <c r="B685" s="34"/>
      <c r="E685" s="36" t="s">
        <v>1089</v>
      </c>
      <c r="J685" s="35"/>
    </row>
    <row r="686" spans="1:10" ht="28.8" x14ac:dyDescent="0.3">
      <c r="A686" s="27" t="s">
        <v>103</v>
      </c>
      <c r="B686" s="34"/>
      <c r="E686" s="36" t="s">
        <v>1090</v>
      </c>
      <c r="J686" s="35"/>
    </row>
    <row r="687" spans="1:10" ht="28.8" x14ac:dyDescent="0.3">
      <c r="A687" s="27" t="s">
        <v>103</v>
      </c>
      <c r="B687" s="34"/>
      <c r="E687" s="36" t="s">
        <v>1091</v>
      </c>
      <c r="J687" s="35"/>
    </row>
    <row r="688" spans="1:10" ht="28.8" x14ac:dyDescent="0.3">
      <c r="A688" s="27" t="s">
        <v>103</v>
      </c>
      <c r="B688" s="34"/>
      <c r="E688" s="36" t="s">
        <v>1092</v>
      </c>
      <c r="J688" s="35"/>
    </row>
    <row r="689" spans="1:10" ht="28.8" x14ac:dyDescent="0.3">
      <c r="A689" s="27" t="s">
        <v>103</v>
      </c>
      <c r="B689" s="34"/>
      <c r="E689" s="36" t="s">
        <v>1093</v>
      </c>
      <c r="J689" s="35"/>
    </row>
    <row r="690" spans="1:10" x14ac:dyDescent="0.3">
      <c r="A690" s="27" t="s">
        <v>103</v>
      </c>
      <c r="B690" s="34"/>
      <c r="E690" s="36" t="s">
        <v>1094</v>
      </c>
      <c r="J690" s="35"/>
    </row>
    <row r="691" spans="1:10" ht="28.8" x14ac:dyDescent="0.3">
      <c r="A691" s="27" t="s">
        <v>103</v>
      </c>
      <c r="B691" s="34"/>
      <c r="E691" s="36" t="s">
        <v>1095</v>
      </c>
      <c r="J691" s="35"/>
    </row>
    <row r="692" spans="1:10" ht="28.8" x14ac:dyDescent="0.3">
      <c r="A692" s="27" t="s">
        <v>103</v>
      </c>
      <c r="B692" s="34"/>
      <c r="E692" s="36" t="s">
        <v>1096</v>
      </c>
      <c r="J692" s="35"/>
    </row>
    <row r="693" spans="1:10" ht="28.8" x14ac:dyDescent="0.3">
      <c r="A693" s="27" t="s">
        <v>103</v>
      </c>
      <c r="B693" s="34"/>
      <c r="E693" s="36" t="s">
        <v>1097</v>
      </c>
      <c r="J693" s="35"/>
    </row>
    <row r="694" spans="1:10" ht="28.8" x14ac:dyDescent="0.3">
      <c r="A694" s="27" t="s">
        <v>103</v>
      </c>
      <c r="B694" s="34"/>
      <c r="E694" s="36" t="s">
        <v>1098</v>
      </c>
      <c r="J694" s="35"/>
    </row>
    <row r="695" spans="1:10" ht="28.8" x14ac:dyDescent="0.3">
      <c r="A695" s="27" t="s">
        <v>103</v>
      </c>
      <c r="B695" s="34"/>
      <c r="E695" s="36" t="s">
        <v>1099</v>
      </c>
      <c r="J695" s="35"/>
    </row>
    <row r="696" spans="1:10" ht="28.8" x14ac:dyDescent="0.3">
      <c r="A696" s="27" t="s">
        <v>103</v>
      </c>
      <c r="B696" s="34"/>
      <c r="E696" s="36" t="s">
        <v>1100</v>
      </c>
      <c r="J696" s="35"/>
    </row>
    <row r="697" spans="1:10" ht="28.8" x14ac:dyDescent="0.3">
      <c r="A697" s="27" t="s">
        <v>103</v>
      </c>
      <c r="B697" s="34"/>
      <c r="E697" s="36" t="s">
        <v>1101</v>
      </c>
      <c r="J697" s="35"/>
    </row>
    <row r="698" spans="1:10" ht="28.8" x14ac:dyDescent="0.3">
      <c r="A698" s="27" t="s">
        <v>103</v>
      </c>
      <c r="B698" s="34"/>
      <c r="E698" s="36" t="s">
        <v>1102</v>
      </c>
      <c r="J698" s="35"/>
    </row>
    <row r="699" spans="1:10" ht="28.8" x14ac:dyDescent="0.3">
      <c r="A699" s="27" t="s">
        <v>103</v>
      </c>
      <c r="B699" s="34"/>
      <c r="E699" s="36" t="s">
        <v>1103</v>
      </c>
      <c r="J699" s="35"/>
    </row>
    <row r="700" spans="1:10" ht="28.8" x14ac:dyDescent="0.3">
      <c r="A700" s="27" t="s">
        <v>103</v>
      </c>
      <c r="B700" s="34"/>
      <c r="E700" s="36" t="s">
        <v>1104</v>
      </c>
      <c r="J700" s="35"/>
    </row>
    <row r="701" spans="1:10" ht="28.8" x14ac:dyDescent="0.3">
      <c r="A701" s="27" t="s">
        <v>103</v>
      </c>
      <c r="B701" s="34"/>
      <c r="E701" s="36" t="s">
        <v>1105</v>
      </c>
      <c r="J701" s="35"/>
    </row>
    <row r="702" spans="1:10" ht="28.8" x14ac:dyDescent="0.3">
      <c r="A702" s="27" t="s">
        <v>103</v>
      </c>
      <c r="B702" s="34"/>
      <c r="E702" s="36" t="s">
        <v>1106</v>
      </c>
      <c r="J702" s="35"/>
    </row>
    <row r="703" spans="1:10" ht="28.8" x14ac:dyDescent="0.3">
      <c r="A703" s="27" t="s">
        <v>103</v>
      </c>
      <c r="B703" s="34"/>
      <c r="E703" s="36" t="s">
        <v>1107</v>
      </c>
      <c r="J703" s="35"/>
    </row>
    <row r="704" spans="1:10" ht="28.8" x14ac:dyDescent="0.3">
      <c r="A704" s="27" t="s">
        <v>103</v>
      </c>
      <c r="B704" s="34"/>
      <c r="E704" s="36" t="s">
        <v>1108</v>
      </c>
      <c r="J704" s="35"/>
    </row>
    <row r="705" spans="1:16" ht="28.8" x14ac:dyDescent="0.3">
      <c r="A705" s="27" t="s">
        <v>103</v>
      </c>
      <c r="B705" s="34"/>
      <c r="E705" s="36" t="s">
        <v>1109</v>
      </c>
      <c r="J705" s="35"/>
    </row>
    <row r="706" spans="1:16" ht="28.8" x14ac:dyDescent="0.3">
      <c r="A706" s="27" t="s">
        <v>103</v>
      </c>
      <c r="B706" s="34"/>
      <c r="E706" s="36" t="s">
        <v>1110</v>
      </c>
      <c r="J706" s="35"/>
    </row>
    <row r="707" spans="1:16" ht="28.8" x14ac:dyDescent="0.3">
      <c r="A707" s="27" t="s">
        <v>103</v>
      </c>
      <c r="B707" s="34"/>
      <c r="E707" s="36" t="s">
        <v>1111</v>
      </c>
      <c r="J707" s="35"/>
    </row>
    <row r="708" spans="1:16" x14ac:dyDescent="0.3">
      <c r="A708" s="27" t="s">
        <v>103</v>
      </c>
      <c r="B708" s="34"/>
      <c r="E708" s="36" t="s">
        <v>1112</v>
      </c>
      <c r="J708" s="35"/>
    </row>
    <row r="709" spans="1:16" ht="28.8" x14ac:dyDescent="0.3">
      <c r="A709" s="27" t="s">
        <v>103</v>
      </c>
      <c r="B709" s="34"/>
      <c r="E709" s="36" t="s">
        <v>1113</v>
      </c>
      <c r="J709" s="35"/>
    </row>
    <row r="710" spans="1:16" ht="28.8" x14ac:dyDescent="0.3">
      <c r="A710" s="27" t="s">
        <v>103</v>
      </c>
      <c r="B710" s="34"/>
      <c r="E710" s="36" t="s">
        <v>1114</v>
      </c>
      <c r="J710" s="35"/>
    </row>
    <row r="711" spans="1:16" ht="28.8" x14ac:dyDescent="0.3">
      <c r="A711" s="27" t="s">
        <v>103</v>
      </c>
      <c r="B711" s="34"/>
      <c r="E711" s="36" t="s">
        <v>1115</v>
      </c>
      <c r="J711" s="35"/>
    </row>
    <row r="712" spans="1:16" ht="28.8" x14ac:dyDescent="0.3">
      <c r="A712" s="27" t="s">
        <v>103</v>
      </c>
      <c r="B712" s="34"/>
      <c r="E712" s="36" t="s">
        <v>1116</v>
      </c>
      <c r="J712" s="35"/>
    </row>
    <row r="713" spans="1:16" ht="28.8" x14ac:dyDescent="0.3">
      <c r="A713" s="27" t="s">
        <v>103</v>
      </c>
      <c r="B713" s="34"/>
      <c r="E713" s="36" t="s">
        <v>1117</v>
      </c>
      <c r="J713" s="35"/>
    </row>
    <row r="714" spans="1:16" ht="28.8" x14ac:dyDescent="0.3">
      <c r="A714" s="27" t="s">
        <v>103</v>
      </c>
      <c r="B714" s="34"/>
      <c r="E714" s="36" t="s">
        <v>1118</v>
      </c>
      <c r="J714" s="35"/>
    </row>
    <row r="715" spans="1:16" x14ac:dyDescent="0.3">
      <c r="A715" s="27" t="s">
        <v>103</v>
      </c>
      <c r="B715" s="34"/>
      <c r="E715" s="36" t="s">
        <v>1119</v>
      </c>
      <c r="J715" s="35"/>
    </row>
    <row r="716" spans="1:16" ht="187.2" x14ac:dyDescent="0.3">
      <c r="A716" s="27" t="s">
        <v>105</v>
      </c>
      <c r="B716" s="34"/>
      <c r="E716" s="29" t="s">
        <v>1066</v>
      </c>
      <c r="J716" s="35"/>
    </row>
    <row r="717" spans="1:16" x14ac:dyDescent="0.3">
      <c r="A717" s="27" t="s">
        <v>95</v>
      </c>
      <c r="B717" s="27">
        <v>19</v>
      </c>
      <c r="C717" s="28" t="s">
        <v>1120</v>
      </c>
      <c r="D717" s="27" t="s">
        <v>129</v>
      </c>
      <c r="E717" s="29" t="s">
        <v>1121</v>
      </c>
      <c r="F717" s="30" t="s">
        <v>229</v>
      </c>
      <c r="G717" s="31">
        <v>896.74300000000005</v>
      </c>
      <c r="H717" s="32">
        <v>0</v>
      </c>
      <c r="I717" s="32">
        <f>ROUND(343.779*H717,P4)+ROUND(1.05*H717,P4)+ROUND(551.914*H717,P4)</f>
        <v>0</v>
      </c>
      <c r="J717" s="30" t="s">
        <v>100</v>
      </c>
      <c r="O717" s="33">
        <f>I717*0.21</f>
        <v>0</v>
      </c>
      <c r="P717">
        <v>3</v>
      </c>
    </row>
    <row r="718" spans="1:16" ht="158.4" x14ac:dyDescent="0.3">
      <c r="A718" s="27" t="s">
        <v>101</v>
      </c>
      <c r="B718" s="34"/>
      <c r="E718" s="29" t="s">
        <v>1122</v>
      </c>
      <c r="J718" s="35"/>
    </row>
    <row r="719" spans="1:16" ht="28.8" x14ac:dyDescent="0.3">
      <c r="A719" s="27" t="s">
        <v>103</v>
      </c>
      <c r="B719" s="34"/>
      <c r="E719" s="36" t="s">
        <v>1123</v>
      </c>
      <c r="J719" s="35"/>
    </row>
    <row r="720" spans="1:16" ht="28.8" x14ac:dyDescent="0.3">
      <c r="A720" s="27" t="s">
        <v>103</v>
      </c>
      <c r="B720" s="34"/>
      <c r="E720" s="36" t="s">
        <v>1124</v>
      </c>
      <c r="J720" s="35"/>
    </row>
    <row r="721" spans="1:10" ht="28.8" x14ac:dyDescent="0.3">
      <c r="A721" s="27" t="s">
        <v>103</v>
      </c>
      <c r="B721" s="34"/>
      <c r="E721" s="36" t="s">
        <v>1125</v>
      </c>
      <c r="J721" s="35"/>
    </row>
    <row r="722" spans="1:10" ht="28.8" x14ac:dyDescent="0.3">
      <c r="A722" s="27" t="s">
        <v>103</v>
      </c>
      <c r="B722" s="34"/>
      <c r="E722" s="36" t="s">
        <v>1126</v>
      </c>
      <c r="J722" s="35"/>
    </row>
    <row r="723" spans="1:10" ht="28.8" x14ac:dyDescent="0.3">
      <c r="A723" s="27" t="s">
        <v>103</v>
      </c>
      <c r="B723" s="34"/>
      <c r="E723" s="36" t="s">
        <v>1127</v>
      </c>
      <c r="J723" s="35"/>
    </row>
    <row r="724" spans="1:10" ht="28.8" x14ac:dyDescent="0.3">
      <c r="A724" s="27" t="s">
        <v>103</v>
      </c>
      <c r="B724" s="34"/>
      <c r="E724" s="36" t="s">
        <v>1128</v>
      </c>
      <c r="J724" s="35"/>
    </row>
    <row r="725" spans="1:10" x14ac:dyDescent="0.3">
      <c r="A725" s="27" t="s">
        <v>103</v>
      </c>
      <c r="B725" s="34"/>
      <c r="E725" s="36" t="s">
        <v>1129</v>
      </c>
      <c r="J725" s="35"/>
    </row>
    <row r="726" spans="1:10" ht="28.8" x14ac:dyDescent="0.3">
      <c r="A726" s="27" t="s">
        <v>103</v>
      </c>
      <c r="B726" s="34"/>
      <c r="E726" s="36" t="s">
        <v>1130</v>
      </c>
      <c r="J726" s="35"/>
    </row>
    <row r="727" spans="1:10" ht="28.8" x14ac:dyDescent="0.3">
      <c r="A727" s="27" t="s">
        <v>103</v>
      </c>
      <c r="B727" s="34"/>
      <c r="E727" s="36" t="s">
        <v>1131</v>
      </c>
      <c r="J727" s="35"/>
    </row>
    <row r="728" spans="1:10" ht="28.8" x14ac:dyDescent="0.3">
      <c r="A728" s="27" t="s">
        <v>103</v>
      </c>
      <c r="B728" s="34"/>
      <c r="E728" s="36" t="s">
        <v>1132</v>
      </c>
      <c r="J728" s="35"/>
    </row>
    <row r="729" spans="1:10" ht="28.8" x14ac:dyDescent="0.3">
      <c r="A729" s="27" t="s">
        <v>103</v>
      </c>
      <c r="B729" s="34"/>
      <c r="E729" s="36" t="s">
        <v>1133</v>
      </c>
      <c r="J729" s="35"/>
    </row>
    <row r="730" spans="1:10" ht="28.8" x14ac:dyDescent="0.3">
      <c r="A730" s="27" t="s">
        <v>103</v>
      </c>
      <c r="B730" s="34"/>
      <c r="E730" s="36" t="s">
        <v>1134</v>
      </c>
      <c r="J730" s="35"/>
    </row>
    <row r="731" spans="1:10" ht="28.8" x14ac:dyDescent="0.3">
      <c r="A731" s="27" t="s">
        <v>103</v>
      </c>
      <c r="B731" s="34"/>
      <c r="E731" s="36" t="s">
        <v>1135</v>
      </c>
      <c r="J731" s="35"/>
    </row>
    <row r="732" spans="1:10" ht="28.8" x14ac:dyDescent="0.3">
      <c r="A732" s="27" t="s">
        <v>103</v>
      </c>
      <c r="B732" s="34"/>
      <c r="E732" s="36" t="s">
        <v>1136</v>
      </c>
      <c r="J732" s="35"/>
    </row>
    <row r="733" spans="1:10" ht="28.8" x14ac:dyDescent="0.3">
      <c r="A733" s="27" t="s">
        <v>103</v>
      </c>
      <c r="B733" s="34"/>
      <c r="E733" s="36" t="s">
        <v>1137</v>
      </c>
      <c r="J733" s="35"/>
    </row>
    <row r="734" spans="1:10" ht="28.8" x14ac:dyDescent="0.3">
      <c r="A734" s="27" t="s">
        <v>103</v>
      </c>
      <c r="B734" s="34"/>
      <c r="E734" s="36" t="s">
        <v>1138</v>
      </c>
      <c r="J734" s="35"/>
    </row>
    <row r="735" spans="1:10" ht="28.8" x14ac:dyDescent="0.3">
      <c r="A735" s="27" t="s">
        <v>103</v>
      </c>
      <c r="B735" s="34"/>
      <c r="E735" s="36" t="s">
        <v>1139</v>
      </c>
      <c r="J735" s="35"/>
    </row>
    <row r="736" spans="1:10" x14ac:dyDescent="0.3">
      <c r="A736" s="27" t="s">
        <v>103</v>
      </c>
      <c r="B736" s="34"/>
      <c r="E736" s="36" t="s">
        <v>1140</v>
      </c>
      <c r="J736" s="35"/>
    </row>
    <row r="737" spans="1:10" ht="28.8" x14ac:dyDescent="0.3">
      <c r="A737" s="27" t="s">
        <v>103</v>
      </c>
      <c r="B737" s="34"/>
      <c r="E737" s="36" t="s">
        <v>1141</v>
      </c>
      <c r="J737" s="35"/>
    </row>
    <row r="738" spans="1:10" ht="28.8" x14ac:dyDescent="0.3">
      <c r="A738" s="27" t="s">
        <v>103</v>
      </c>
      <c r="B738" s="34"/>
      <c r="E738" s="36" t="s">
        <v>1142</v>
      </c>
      <c r="J738" s="35"/>
    </row>
    <row r="739" spans="1:10" ht="28.8" x14ac:dyDescent="0.3">
      <c r="A739" s="27" t="s">
        <v>103</v>
      </c>
      <c r="B739" s="34"/>
      <c r="E739" s="36" t="s">
        <v>1143</v>
      </c>
      <c r="J739" s="35"/>
    </row>
    <row r="740" spans="1:10" ht="28.8" x14ac:dyDescent="0.3">
      <c r="A740" s="27" t="s">
        <v>103</v>
      </c>
      <c r="B740" s="34"/>
      <c r="E740" s="36" t="s">
        <v>1144</v>
      </c>
      <c r="J740" s="35"/>
    </row>
    <row r="741" spans="1:10" ht="28.8" x14ac:dyDescent="0.3">
      <c r="A741" s="27" t="s">
        <v>103</v>
      </c>
      <c r="B741" s="34"/>
      <c r="E741" s="36" t="s">
        <v>1145</v>
      </c>
      <c r="J741" s="35"/>
    </row>
    <row r="742" spans="1:10" ht="28.8" x14ac:dyDescent="0.3">
      <c r="A742" s="27" t="s">
        <v>103</v>
      </c>
      <c r="B742" s="34"/>
      <c r="E742" s="36" t="s">
        <v>1146</v>
      </c>
      <c r="J742" s="35"/>
    </row>
    <row r="743" spans="1:10" ht="28.8" x14ac:dyDescent="0.3">
      <c r="A743" s="27" t="s">
        <v>103</v>
      </c>
      <c r="B743" s="34"/>
      <c r="E743" s="36" t="s">
        <v>1147</v>
      </c>
      <c r="J743" s="35"/>
    </row>
    <row r="744" spans="1:10" ht="28.8" x14ac:dyDescent="0.3">
      <c r="A744" s="27" t="s">
        <v>103</v>
      </c>
      <c r="B744" s="34"/>
      <c r="E744" s="36" t="s">
        <v>1148</v>
      </c>
      <c r="J744" s="35"/>
    </row>
    <row r="745" spans="1:10" ht="28.8" x14ac:dyDescent="0.3">
      <c r="A745" s="27" t="s">
        <v>103</v>
      </c>
      <c r="B745" s="34"/>
      <c r="E745" s="36" t="s">
        <v>1149</v>
      </c>
      <c r="J745" s="35"/>
    </row>
    <row r="746" spans="1:10" ht="28.8" x14ac:dyDescent="0.3">
      <c r="A746" s="27" t="s">
        <v>103</v>
      </c>
      <c r="B746" s="34"/>
      <c r="E746" s="36" t="s">
        <v>1150</v>
      </c>
      <c r="J746" s="35"/>
    </row>
    <row r="747" spans="1:10" ht="28.8" x14ac:dyDescent="0.3">
      <c r="A747" s="27" t="s">
        <v>103</v>
      </c>
      <c r="B747" s="34"/>
      <c r="E747" s="36" t="s">
        <v>1151</v>
      </c>
      <c r="J747" s="35"/>
    </row>
    <row r="748" spans="1:10" ht="28.8" x14ac:dyDescent="0.3">
      <c r="A748" s="27" t="s">
        <v>103</v>
      </c>
      <c r="B748" s="34"/>
      <c r="E748" s="36" t="s">
        <v>1152</v>
      </c>
      <c r="J748" s="35"/>
    </row>
    <row r="749" spans="1:10" ht="28.8" x14ac:dyDescent="0.3">
      <c r="A749" s="27" t="s">
        <v>103</v>
      </c>
      <c r="B749" s="34"/>
      <c r="E749" s="36" t="s">
        <v>1153</v>
      </c>
      <c r="J749" s="35"/>
    </row>
    <row r="750" spans="1:10" ht="28.8" x14ac:dyDescent="0.3">
      <c r="A750" s="27" t="s">
        <v>103</v>
      </c>
      <c r="B750" s="34"/>
      <c r="E750" s="36" t="s">
        <v>1154</v>
      </c>
      <c r="J750" s="35"/>
    </row>
    <row r="751" spans="1:10" ht="28.8" x14ac:dyDescent="0.3">
      <c r="A751" s="27" t="s">
        <v>103</v>
      </c>
      <c r="B751" s="34"/>
      <c r="E751" s="36" t="s">
        <v>1155</v>
      </c>
      <c r="J751" s="35"/>
    </row>
    <row r="752" spans="1:10" ht="28.8" x14ac:dyDescent="0.3">
      <c r="A752" s="27" t="s">
        <v>103</v>
      </c>
      <c r="B752" s="34"/>
      <c r="E752" s="36" t="s">
        <v>1156</v>
      </c>
      <c r="J752" s="35"/>
    </row>
    <row r="753" spans="1:16" ht="28.8" x14ac:dyDescent="0.3">
      <c r="A753" s="27" t="s">
        <v>103</v>
      </c>
      <c r="B753" s="34"/>
      <c r="E753" s="36" t="s">
        <v>1157</v>
      </c>
      <c r="J753" s="35"/>
    </row>
    <row r="754" spans="1:16" ht="28.8" x14ac:dyDescent="0.3">
      <c r="A754" s="27" t="s">
        <v>103</v>
      </c>
      <c r="B754" s="34"/>
      <c r="E754" s="36" t="s">
        <v>1158</v>
      </c>
      <c r="J754" s="35"/>
    </row>
    <row r="755" spans="1:16" ht="28.8" x14ac:dyDescent="0.3">
      <c r="A755" s="27" t="s">
        <v>103</v>
      </c>
      <c r="B755" s="34"/>
      <c r="E755" s="36" t="s">
        <v>1159</v>
      </c>
      <c r="J755" s="35"/>
    </row>
    <row r="756" spans="1:16" ht="28.8" x14ac:dyDescent="0.3">
      <c r="A756" s="27" t="s">
        <v>103</v>
      </c>
      <c r="B756" s="34"/>
      <c r="E756" s="36" t="s">
        <v>1160</v>
      </c>
      <c r="J756" s="35"/>
    </row>
    <row r="757" spans="1:16" ht="28.8" x14ac:dyDescent="0.3">
      <c r="A757" s="27" t="s">
        <v>103</v>
      </c>
      <c r="B757" s="34"/>
      <c r="E757" s="36" t="s">
        <v>1161</v>
      </c>
      <c r="J757" s="35"/>
    </row>
    <row r="758" spans="1:16" ht="28.8" x14ac:dyDescent="0.3">
      <c r="A758" s="27" t="s">
        <v>103</v>
      </c>
      <c r="B758" s="34"/>
      <c r="E758" s="36" t="s">
        <v>1162</v>
      </c>
      <c r="J758" s="35"/>
    </row>
    <row r="759" spans="1:16" ht="28.8" x14ac:dyDescent="0.3">
      <c r="A759" s="27" t="s">
        <v>103</v>
      </c>
      <c r="B759" s="34"/>
      <c r="E759" s="36" t="s">
        <v>1163</v>
      </c>
      <c r="J759" s="35"/>
    </row>
    <row r="760" spans="1:16" ht="28.8" x14ac:dyDescent="0.3">
      <c r="A760" s="27" t="s">
        <v>103</v>
      </c>
      <c r="B760" s="34"/>
      <c r="E760" s="36" t="s">
        <v>1164</v>
      </c>
      <c r="J760" s="35"/>
    </row>
    <row r="761" spans="1:16" x14ac:dyDescent="0.3">
      <c r="A761" s="27" t="s">
        <v>103</v>
      </c>
      <c r="B761" s="34"/>
      <c r="E761" s="36" t="s">
        <v>1165</v>
      </c>
      <c r="J761" s="35"/>
    </row>
    <row r="762" spans="1:16" ht="187.2" x14ac:dyDescent="0.3">
      <c r="A762" s="27" t="s">
        <v>105</v>
      </c>
      <c r="B762" s="34"/>
      <c r="E762" s="29" t="s">
        <v>1066</v>
      </c>
      <c r="J762" s="35"/>
    </row>
    <row r="763" spans="1:16" x14ac:dyDescent="0.3">
      <c r="A763" s="27" t="s">
        <v>95</v>
      </c>
      <c r="B763" s="27">
        <v>20</v>
      </c>
      <c r="C763" s="28" t="s">
        <v>1166</v>
      </c>
      <c r="D763" s="27" t="s">
        <v>129</v>
      </c>
      <c r="E763" s="29" t="s">
        <v>1167</v>
      </c>
      <c r="F763" s="30" t="s">
        <v>248</v>
      </c>
      <c r="G763" s="31">
        <v>1.02</v>
      </c>
      <c r="H763" s="32">
        <v>0</v>
      </c>
      <c r="I763" s="32">
        <f>ROUND(1.02*H763,P4)</f>
        <v>0</v>
      </c>
      <c r="J763" s="30" t="s">
        <v>118</v>
      </c>
      <c r="O763" s="33">
        <f>I763*0.21</f>
        <v>0</v>
      </c>
      <c r="P763">
        <v>3</v>
      </c>
    </row>
    <row r="764" spans="1:16" ht="158.4" x14ac:dyDescent="0.3">
      <c r="A764" s="27" t="s">
        <v>101</v>
      </c>
      <c r="B764" s="34"/>
      <c r="E764" s="29" t="s">
        <v>1168</v>
      </c>
      <c r="J764" s="35"/>
    </row>
    <row r="765" spans="1:16" ht="28.8" x14ac:dyDescent="0.3">
      <c r="A765" s="27" t="s">
        <v>103</v>
      </c>
      <c r="B765" s="34"/>
      <c r="E765" s="36" t="s">
        <v>1169</v>
      </c>
      <c r="J765" s="35"/>
    </row>
    <row r="766" spans="1:16" ht="28.8" x14ac:dyDescent="0.3">
      <c r="A766" s="27" t="s">
        <v>103</v>
      </c>
      <c r="B766" s="34"/>
      <c r="E766" s="36" t="s">
        <v>1170</v>
      </c>
      <c r="J766" s="35"/>
    </row>
    <row r="767" spans="1:16" x14ac:dyDescent="0.3">
      <c r="A767" s="27" t="s">
        <v>103</v>
      </c>
      <c r="B767" s="34"/>
      <c r="E767" s="36" t="s">
        <v>1171</v>
      </c>
      <c r="J767" s="35"/>
    </row>
    <row r="768" spans="1:16" ht="172.8" x14ac:dyDescent="0.3">
      <c r="A768" s="27" t="s">
        <v>105</v>
      </c>
      <c r="B768" s="34"/>
      <c r="E768" s="29" t="s">
        <v>1172</v>
      </c>
      <c r="J768" s="35"/>
    </row>
    <row r="769" spans="1:16" x14ac:dyDescent="0.3">
      <c r="A769" s="21" t="s">
        <v>92</v>
      </c>
      <c r="B769" s="22"/>
      <c r="C769" s="23" t="s">
        <v>233</v>
      </c>
      <c r="D769" s="24"/>
      <c r="E769" s="21" t="s">
        <v>234</v>
      </c>
      <c r="F769" s="24"/>
      <c r="G769" s="24"/>
      <c r="H769" s="24"/>
      <c r="I769" s="25">
        <f>SUMIFS(I770:I774,A770:A774,"P")</f>
        <v>0</v>
      </c>
      <c r="J769" s="26"/>
    </row>
    <row r="770" spans="1:16" x14ac:dyDescent="0.3">
      <c r="A770" s="27" t="s">
        <v>95</v>
      </c>
      <c r="B770" s="27">
        <v>21</v>
      </c>
      <c r="C770" s="28" t="s">
        <v>1173</v>
      </c>
      <c r="D770" s="27" t="s">
        <v>129</v>
      </c>
      <c r="E770" s="29" t="s">
        <v>1174</v>
      </c>
      <c r="F770" s="30" t="s">
        <v>237</v>
      </c>
      <c r="G770" s="31">
        <v>3000</v>
      </c>
      <c r="H770" s="32">
        <v>0</v>
      </c>
      <c r="I770" s="32">
        <f>ROUND(3000*H770,P4)</f>
        <v>0</v>
      </c>
      <c r="J770" s="30" t="s">
        <v>118</v>
      </c>
      <c r="O770" s="33">
        <f>I770*0.21</f>
        <v>0</v>
      </c>
      <c r="P770">
        <v>3</v>
      </c>
    </row>
    <row r="771" spans="1:16" ht="172.8" x14ac:dyDescent="0.3">
      <c r="A771" s="27" t="s">
        <v>101</v>
      </c>
      <c r="B771" s="34"/>
      <c r="E771" s="29" t="s">
        <v>1175</v>
      </c>
      <c r="J771" s="35"/>
    </row>
    <row r="772" spans="1:16" ht="28.8" x14ac:dyDescent="0.3">
      <c r="A772" s="27" t="s">
        <v>103</v>
      </c>
      <c r="B772" s="34"/>
      <c r="E772" s="36" t="s">
        <v>1176</v>
      </c>
      <c r="J772" s="35"/>
    </row>
    <row r="773" spans="1:16" x14ac:dyDescent="0.3">
      <c r="A773" s="27" t="s">
        <v>103</v>
      </c>
      <c r="B773" s="34"/>
      <c r="E773" s="36" t="s">
        <v>1177</v>
      </c>
      <c r="J773" s="35"/>
    </row>
    <row r="774" spans="1:16" ht="28.8" x14ac:dyDescent="0.3">
      <c r="A774" s="27" t="s">
        <v>105</v>
      </c>
      <c r="B774" s="34"/>
      <c r="E774" s="29" t="s">
        <v>1178</v>
      </c>
      <c r="J774" s="35"/>
    </row>
    <row r="775" spans="1:16" x14ac:dyDescent="0.3">
      <c r="A775" s="21" t="s">
        <v>92</v>
      </c>
      <c r="B775" s="22"/>
      <c r="C775" s="23" t="s">
        <v>1179</v>
      </c>
      <c r="D775" s="24"/>
      <c r="E775" s="21" t="s">
        <v>1180</v>
      </c>
      <c r="F775" s="24"/>
      <c r="G775" s="24"/>
      <c r="H775" s="24"/>
      <c r="I775" s="25">
        <f>SUMIFS(I776:I790,A776:A790,"P")</f>
        <v>0</v>
      </c>
      <c r="J775" s="26"/>
    </row>
    <row r="776" spans="1:16" x14ac:dyDescent="0.3">
      <c r="A776" s="27" t="s">
        <v>95</v>
      </c>
      <c r="B776" s="27">
        <v>22</v>
      </c>
      <c r="C776" s="28" t="s">
        <v>1181</v>
      </c>
      <c r="D776" s="27" t="s">
        <v>129</v>
      </c>
      <c r="E776" s="29" t="s">
        <v>1182</v>
      </c>
      <c r="F776" s="30" t="s">
        <v>117</v>
      </c>
      <c r="G776" s="31">
        <v>10</v>
      </c>
      <c r="H776" s="32">
        <v>0</v>
      </c>
      <c r="I776" s="32">
        <f>ROUND(3*H776,P4)+ROUND(7*H776,P4)</f>
        <v>0</v>
      </c>
      <c r="J776" s="30" t="s">
        <v>118</v>
      </c>
      <c r="O776" s="33">
        <f>I776*0.21</f>
        <v>0</v>
      </c>
      <c r="P776">
        <v>3</v>
      </c>
    </row>
    <row r="777" spans="1:16" ht="288" x14ac:dyDescent="0.3">
      <c r="A777" s="27" t="s">
        <v>101</v>
      </c>
      <c r="B777" s="34"/>
      <c r="E777" s="29" t="s">
        <v>1183</v>
      </c>
      <c r="J777" s="35"/>
    </row>
    <row r="778" spans="1:16" x14ac:dyDescent="0.3">
      <c r="A778" s="27" t="s">
        <v>103</v>
      </c>
      <c r="B778" s="34"/>
      <c r="E778" s="36" t="s">
        <v>1184</v>
      </c>
      <c r="J778" s="35"/>
    </row>
    <row r="779" spans="1:16" x14ac:dyDescent="0.3">
      <c r="A779" s="27" t="s">
        <v>103</v>
      </c>
      <c r="B779" s="34"/>
      <c r="E779" s="36" t="s">
        <v>1185</v>
      </c>
      <c r="J779" s="35"/>
    </row>
    <row r="780" spans="1:16" x14ac:dyDescent="0.3">
      <c r="A780" s="27" t="s">
        <v>103</v>
      </c>
      <c r="B780" s="34"/>
      <c r="E780" s="36" t="s">
        <v>1186</v>
      </c>
      <c r="J780" s="35"/>
    </row>
    <row r="781" spans="1:16" x14ac:dyDescent="0.3">
      <c r="A781" s="27" t="s">
        <v>103</v>
      </c>
      <c r="B781" s="34"/>
      <c r="E781" s="36" t="s">
        <v>1187</v>
      </c>
      <c r="J781" s="35"/>
    </row>
    <row r="782" spans="1:16" x14ac:dyDescent="0.3">
      <c r="A782" s="27" t="s">
        <v>103</v>
      </c>
      <c r="B782" s="34"/>
      <c r="E782" s="36" t="s">
        <v>1188</v>
      </c>
      <c r="J782" s="35"/>
    </row>
    <row r="783" spans="1:16" x14ac:dyDescent="0.3">
      <c r="A783" s="27" t="s">
        <v>103</v>
      </c>
      <c r="B783" s="34"/>
      <c r="E783" s="36" t="s">
        <v>1189</v>
      </c>
      <c r="J783" s="35"/>
    </row>
    <row r="784" spans="1:16" x14ac:dyDescent="0.3">
      <c r="A784" s="27" t="s">
        <v>103</v>
      </c>
      <c r="B784" s="34"/>
      <c r="E784" s="36" t="s">
        <v>1190</v>
      </c>
      <c r="J784" s="35"/>
    </row>
    <row r="785" spans="1:16" x14ac:dyDescent="0.3">
      <c r="A785" s="27" t="s">
        <v>103</v>
      </c>
      <c r="B785" s="34"/>
      <c r="E785" s="36" t="s">
        <v>1191</v>
      </c>
      <c r="J785" s="35"/>
    </row>
    <row r="786" spans="1:16" x14ac:dyDescent="0.3">
      <c r="A786" s="27" t="s">
        <v>103</v>
      </c>
      <c r="B786" s="34"/>
      <c r="E786" s="36" t="s">
        <v>1192</v>
      </c>
      <c r="J786" s="35"/>
    </row>
    <row r="787" spans="1:16" x14ac:dyDescent="0.3">
      <c r="A787" s="27" t="s">
        <v>103</v>
      </c>
      <c r="B787" s="34"/>
      <c r="E787" s="36" t="s">
        <v>1193</v>
      </c>
      <c r="J787" s="35"/>
    </row>
    <row r="788" spans="1:16" x14ac:dyDescent="0.3">
      <c r="A788" s="27" t="s">
        <v>103</v>
      </c>
      <c r="B788" s="34"/>
      <c r="E788" s="36" t="s">
        <v>1194</v>
      </c>
      <c r="J788" s="35"/>
    </row>
    <row r="789" spans="1:16" x14ac:dyDescent="0.3">
      <c r="A789" s="27" t="s">
        <v>103</v>
      </c>
      <c r="B789" s="34"/>
      <c r="E789" s="36" t="s">
        <v>1195</v>
      </c>
      <c r="J789" s="35"/>
    </row>
    <row r="790" spans="1:16" ht="100.8" x14ac:dyDescent="0.3">
      <c r="A790" s="27" t="s">
        <v>105</v>
      </c>
      <c r="B790" s="34"/>
      <c r="E790" s="29" t="s">
        <v>1196</v>
      </c>
      <c r="J790" s="35"/>
    </row>
    <row r="791" spans="1:16" x14ac:dyDescent="0.3">
      <c r="A791" s="21" t="s">
        <v>92</v>
      </c>
      <c r="B791" s="22"/>
      <c r="C791" s="23" t="s">
        <v>252</v>
      </c>
      <c r="D791" s="24"/>
      <c r="E791" s="21" t="s">
        <v>253</v>
      </c>
      <c r="F791" s="24"/>
      <c r="G791" s="24"/>
      <c r="H791" s="24"/>
      <c r="I791" s="25">
        <f>SUMIFS(I792:I909,A792:A909,"P")</f>
        <v>0</v>
      </c>
      <c r="J791" s="26"/>
    </row>
    <row r="792" spans="1:16" x14ac:dyDescent="0.3">
      <c r="A792" s="27" t="s">
        <v>95</v>
      </c>
      <c r="B792" s="27">
        <v>23</v>
      </c>
      <c r="C792" s="28" t="s">
        <v>1197</v>
      </c>
      <c r="D792" s="27" t="s">
        <v>1198</v>
      </c>
      <c r="E792" s="29" t="s">
        <v>1199</v>
      </c>
      <c r="F792" s="30" t="s">
        <v>117</v>
      </c>
      <c r="G792" s="31">
        <v>3</v>
      </c>
      <c r="H792" s="32">
        <v>0</v>
      </c>
      <c r="I792" s="32">
        <f>ROUND(3*H792,P4)</f>
        <v>0</v>
      </c>
      <c r="J792" s="30" t="s">
        <v>1200</v>
      </c>
      <c r="O792" s="33">
        <f>I792*0.21</f>
        <v>0</v>
      </c>
      <c r="P792">
        <v>3</v>
      </c>
    </row>
    <row r="793" spans="1:16" ht="316.8" x14ac:dyDescent="0.3">
      <c r="A793" s="27" t="s">
        <v>101</v>
      </c>
      <c r="B793" s="34"/>
      <c r="E793" s="29" t="s">
        <v>1201</v>
      </c>
      <c r="J793" s="35"/>
    </row>
    <row r="794" spans="1:16" x14ac:dyDescent="0.3">
      <c r="A794" s="27" t="s">
        <v>103</v>
      </c>
      <c r="B794" s="34"/>
      <c r="E794" s="36" t="s">
        <v>1202</v>
      </c>
      <c r="J794" s="35"/>
    </row>
    <row r="795" spans="1:16" x14ac:dyDescent="0.3">
      <c r="A795" s="27" t="s">
        <v>103</v>
      </c>
      <c r="B795" s="34"/>
      <c r="E795" s="36" t="s">
        <v>1203</v>
      </c>
      <c r="J795" s="35"/>
    </row>
    <row r="796" spans="1:16" x14ac:dyDescent="0.3">
      <c r="A796" s="27" t="s">
        <v>103</v>
      </c>
      <c r="B796" s="34"/>
      <c r="E796" s="36" t="s">
        <v>1204</v>
      </c>
      <c r="J796" s="35"/>
    </row>
    <row r="797" spans="1:16" x14ac:dyDescent="0.3">
      <c r="A797" s="27" t="s">
        <v>103</v>
      </c>
      <c r="B797" s="34"/>
      <c r="E797" s="36" t="s">
        <v>1187</v>
      </c>
      <c r="J797" s="35"/>
    </row>
    <row r="798" spans="1:16" ht="172.8" x14ac:dyDescent="0.3">
      <c r="A798" s="27" t="s">
        <v>105</v>
      </c>
      <c r="B798" s="34"/>
      <c r="E798" s="29" t="s">
        <v>1205</v>
      </c>
      <c r="J798" s="35"/>
    </row>
    <row r="799" spans="1:16" ht="28.8" x14ac:dyDescent="0.3">
      <c r="A799" s="27" t="s">
        <v>95</v>
      </c>
      <c r="B799" s="27">
        <v>24</v>
      </c>
      <c r="C799" s="28" t="s">
        <v>1206</v>
      </c>
      <c r="D799" s="27" t="s">
        <v>129</v>
      </c>
      <c r="E799" s="29" t="s">
        <v>1207</v>
      </c>
      <c r="F799" s="30" t="s">
        <v>237</v>
      </c>
      <c r="G799" s="31">
        <v>408.85</v>
      </c>
      <c r="H799" s="32">
        <v>0</v>
      </c>
      <c r="I799" s="32">
        <f>ROUND(139.5*H799,P4)+ROUND(269.35*H799,P4)</f>
        <v>0</v>
      </c>
      <c r="J799" s="30" t="s">
        <v>118</v>
      </c>
      <c r="O799" s="33">
        <f>I799*0.21</f>
        <v>0</v>
      </c>
      <c r="P799">
        <v>3</v>
      </c>
    </row>
    <row r="800" spans="1:16" ht="316.8" x14ac:dyDescent="0.3">
      <c r="A800" s="27" t="s">
        <v>101</v>
      </c>
      <c r="B800" s="34"/>
      <c r="E800" s="29" t="s">
        <v>1208</v>
      </c>
      <c r="J800" s="35"/>
    </row>
    <row r="801" spans="1:16" ht="28.8" x14ac:dyDescent="0.3">
      <c r="A801" s="27" t="s">
        <v>103</v>
      </c>
      <c r="B801" s="34"/>
      <c r="E801" s="36" t="s">
        <v>1209</v>
      </c>
      <c r="J801" s="35"/>
    </row>
    <row r="802" spans="1:16" ht="28.8" x14ac:dyDescent="0.3">
      <c r="A802" s="27" t="s">
        <v>103</v>
      </c>
      <c r="B802" s="34"/>
      <c r="E802" s="36" t="s">
        <v>1210</v>
      </c>
      <c r="J802" s="35"/>
    </row>
    <row r="803" spans="1:16" x14ac:dyDescent="0.3">
      <c r="A803" s="27" t="s">
        <v>103</v>
      </c>
      <c r="B803" s="34"/>
      <c r="E803" s="36" t="s">
        <v>1211</v>
      </c>
      <c r="J803" s="35"/>
    </row>
    <row r="804" spans="1:16" ht="28.8" x14ac:dyDescent="0.3">
      <c r="A804" s="27" t="s">
        <v>103</v>
      </c>
      <c r="B804" s="34"/>
      <c r="E804" s="36" t="s">
        <v>1212</v>
      </c>
      <c r="J804" s="35"/>
    </row>
    <row r="805" spans="1:16" ht="28.8" x14ac:dyDescent="0.3">
      <c r="A805" s="27" t="s">
        <v>103</v>
      </c>
      <c r="B805" s="34"/>
      <c r="E805" s="36" t="s">
        <v>1213</v>
      </c>
      <c r="J805" s="35"/>
    </row>
    <row r="806" spans="1:16" x14ac:dyDescent="0.3">
      <c r="A806" s="27" t="s">
        <v>103</v>
      </c>
      <c r="B806" s="34"/>
      <c r="E806" s="36" t="s">
        <v>1214</v>
      </c>
      <c r="J806" s="35"/>
    </row>
    <row r="807" spans="1:16" x14ac:dyDescent="0.3">
      <c r="A807" s="27" t="s">
        <v>103</v>
      </c>
      <c r="B807" s="34"/>
      <c r="E807" s="36" t="s">
        <v>1215</v>
      </c>
      <c r="J807" s="35"/>
    </row>
    <row r="808" spans="1:16" ht="144" x14ac:dyDescent="0.3">
      <c r="A808" s="27" t="s">
        <v>105</v>
      </c>
      <c r="B808" s="34"/>
      <c r="E808" s="29" t="s">
        <v>1216</v>
      </c>
      <c r="J808" s="35"/>
    </row>
    <row r="809" spans="1:16" x14ac:dyDescent="0.3">
      <c r="A809" s="27" t="s">
        <v>95</v>
      </c>
      <c r="B809" s="27">
        <v>25</v>
      </c>
      <c r="C809" s="28" t="s">
        <v>1217</v>
      </c>
      <c r="D809" s="27" t="s">
        <v>129</v>
      </c>
      <c r="E809" s="29" t="s">
        <v>1218</v>
      </c>
      <c r="F809" s="30" t="s">
        <v>237</v>
      </c>
      <c r="G809" s="31">
        <v>1031.94</v>
      </c>
      <c r="H809" s="32">
        <v>0</v>
      </c>
      <c r="I809" s="32">
        <f>ROUND(119.14*H809,P4)+ROUND(912.8*H809,P4)</f>
        <v>0</v>
      </c>
      <c r="J809" s="30" t="s">
        <v>118</v>
      </c>
      <c r="O809" s="33">
        <f>I809*0.21</f>
        <v>0</v>
      </c>
      <c r="P809">
        <v>3</v>
      </c>
    </row>
    <row r="810" spans="1:16" ht="172.8" x14ac:dyDescent="0.3">
      <c r="A810" s="27" t="s">
        <v>101</v>
      </c>
      <c r="B810" s="34"/>
      <c r="E810" s="29" t="s">
        <v>1219</v>
      </c>
      <c r="J810" s="35"/>
    </row>
    <row r="811" spans="1:16" x14ac:dyDescent="0.3">
      <c r="A811" s="27" t="s">
        <v>103</v>
      </c>
      <c r="B811" s="34"/>
      <c r="E811" s="36" t="s">
        <v>1220</v>
      </c>
      <c r="J811" s="35"/>
    </row>
    <row r="812" spans="1:16" x14ac:dyDescent="0.3">
      <c r="A812" s="27" t="s">
        <v>103</v>
      </c>
      <c r="B812" s="34"/>
      <c r="E812" s="36" t="s">
        <v>1221</v>
      </c>
      <c r="J812" s="35"/>
    </row>
    <row r="813" spans="1:16" ht="28.8" x14ac:dyDescent="0.3">
      <c r="A813" s="27" t="s">
        <v>103</v>
      </c>
      <c r="B813" s="34"/>
      <c r="E813" s="36" t="s">
        <v>1222</v>
      </c>
      <c r="J813" s="35"/>
    </row>
    <row r="814" spans="1:16" x14ac:dyDescent="0.3">
      <c r="A814" s="27" t="s">
        <v>103</v>
      </c>
      <c r="B814" s="34"/>
      <c r="E814" s="36" t="s">
        <v>1223</v>
      </c>
      <c r="J814" s="35"/>
    </row>
    <row r="815" spans="1:16" ht="28.8" x14ac:dyDescent="0.3">
      <c r="A815" s="27" t="s">
        <v>103</v>
      </c>
      <c r="B815" s="34"/>
      <c r="E815" s="36" t="s">
        <v>1224</v>
      </c>
      <c r="J815" s="35"/>
    </row>
    <row r="816" spans="1:16" x14ac:dyDescent="0.3">
      <c r="A816" s="27" t="s">
        <v>103</v>
      </c>
      <c r="B816" s="34"/>
      <c r="E816" s="36" t="s">
        <v>1225</v>
      </c>
      <c r="J816" s="35"/>
    </row>
    <row r="817" spans="1:10" x14ac:dyDescent="0.3">
      <c r="A817" s="27" t="s">
        <v>103</v>
      </c>
      <c r="B817" s="34"/>
      <c r="E817" s="36" t="s">
        <v>1226</v>
      </c>
      <c r="J817" s="35"/>
    </row>
    <row r="818" spans="1:10" ht="28.8" x14ac:dyDescent="0.3">
      <c r="A818" s="27" t="s">
        <v>103</v>
      </c>
      <c r="B818" s="34"/>
      <c r="E818" s="36" t="s">
        <v>1227</v>
      </c>
      <c r="J818" s="35"/>
    </row>
    <row r="819" spans="1:10" x14ac:dyDescent="0.3">
      <c r="A819" s="27" t="s">
        <v>103</v>
      </c>
      <c r="B819" s="34"/>
      <c r="E819" s="36" t="s">
        <v>1228</v>
      </c>
      <c r="J819" s="35"/>
    </row>
    <row r="820" spans="1:10" x14ac:dyDescent="0.3">
      <c r="A820" s="27" t="s">
        <v>103</v>
      </c>
      <c r="B820" s="34"/>
      <c r="E820" s="36" t="s">
        <v>1229</v>
      </c>
      <c r="J820" s="35"/>
    </row>
    <row r="821" spans="1:10" ht="28.8" x14ac:dyDescent="0.3">
      <c r="A821" s="27" t="s">
        <v>103</v>
      </c>
      <c r="B821" s="34"/>
      <c r="E821" s="36" t="s">
        <v>1230</v>
      </c>
      <c r="J821" s="35"/>
    </row>
    <row r="822" spans="1:10" ht="28.8" x14ac:dyDescent="0.3">
      <c r="A822" s="27" t="s">
        <v>103</v>
      </c>
      <c r="B822" s="34"/>
      <c r="E822" s="36" t="s">
        <v>1231</v>
      </c>
      <c r="J822" s="35"/>
    </row>
    <row r="823" spans="1:10" ht="28.8" x14ac:dyDescent="0.3">
      <c r="A823" s="27" t="s">
        <v>103</v>
      </c>
      <c r="B823" s="34"/>
      <c r="E823" s="36" t="s">
        <v>1232</v>
      </c>
      <c r="J823" s="35"/>
    </row>
    <row r="824" spans="1:10" ht="28.8" x14ac:dyDescent="0.3">
      <c r="A824" s="27" t="s">
        <v>103</v>
      </c>
      <c r="B824" s="34"/>
      <c r="E824" s="36" t="s">
        <v>1233</v>
      </c>
      <c r="J824" s="35"/>
    </row>
    <row r="825" spans="1:10" ht="28.8" x14ac:dyDescent="0.3">
      <c r="A825" s="27" t="s">
        <v>103</v>
      </c>
      <c r="B825" s="34"/>
      <c r="E825" s="36" t="s">
        <v>1234</v>
      </c>
      <c r="J825" s="35"/>
    </row>
    <row r="826" spans="1:10" ht="28.8" x14ac:dyDescent="0.3">
      <c r="A826" s="27" t="s">
        <v>103</v>
      </c>
      <c r="B826" s="34"/>
      <c r="E826" s="36" t="s">
        <v>1235</v>
      </c>
      <c r="J826" s="35"/>
    </row>
    <row r="827" spans="1:10" x14ac:dyDescent="0.3">
      <c r="A827" s="27" t="s">
        <v>103</v>
      </c>
      <c r="B827" s="34"/>
      <c r="E827" s="36" t="s">
        <v>1236</v>
      </c>
      <c r="J827" s="35"/>
    </row>
    <row r="828" spans="1:10" ht="28.8" x14ac:dyDescent="0.3">
      <c r="A828" s="27" t="s">
        <v>103</v>
      </c>
      <c r="B828" s="34"/>
      <c r="E828" s="36" t="s">
        <v>1237</v>
      </c>
      <c r="J828" s="35"/>
    </row>
    <row r="829" spans="1:10" ht="28.8" x14ac:dyDescent="0.3">
      <c r="A829" s="27" t="s">
        <v>103</v>
      </c>
      <c r="B829" s="34"/>
      <c r="E829" s="36" t="s">
        <v>1238</v>
      </c>
      <c r="J829" s="35"/>
    </row>
    <row r="830" spans="1:10" ht="28.8" x14ac:dyDescent="0.3">
      <c r="A830" s="27" t="s">
        <v>103</v>
      </c>
      <c r="B830" s="34"/>
      <c r="E830" s="36" t="s">
        <v>1239</v>
      </c>
      <c r="J830" s="35"/>
    </row>
    <row r="831" spans="1:10" x14ac:dyDescent="0.3">
      <c r="A831" s="27" t="s">
        <v>103</v>
      </c>
      <c r="B831" s="34"/>
      <c r="E831" s="36" t="s">
        <v>1240</v>
      </c>
      <c r="J831" s="35"/>
    </row>
    <row r="832" spans="1:10" ht="28.8" x14ac:dyDescent="0.3">
      <c r="A832" s="27" t="s">
        <v>105</v>
      </c>
      <c r="B832" s="34"/>
      <c r="E832" s="29" t="s">
        <v>1241</v>
      </c>
      <c r="J832" s="35"/>
    </row>
    <row r="833" spans="1:16" x14ac:dyDescent="0.3">
      <c r="A833" s="27" t="s">
        <v>95</v>
      </c>
      <c r="B833" s="27">
        <v>26</v>
      </c>
      <c r="C833" s="28" t="s">
        <v>1242</v>
      </c>
      <c r="D833" s="27" t="s">
        <v>129</v>
      </c>
      <c r="E833" s="29" t="s">
        <v>1243</v>
      </c>
      <c r="F833" s="30" t="s">
        <v>237</v>
      </c>
      <c r="G833" s="31">
        <v>1031.94</v>
      </c>
      <c r="H833" s="32">
        <v>0</v>
      </c>
      <c r="I833" s="32">
        <f>ROUND(912.8*H833,P4)+ROUND(119.14*H833,P4)</f>
        <v>0</v>
      </c>
      <c r="J833" s="30" t="s">
        <v>118</v>
      </c>
      <c r="O833" s="33">
        <f>I833*0.21</f>
        <v>0</v>
      </c>
      <c r="P833">
        <v>3</v>
      </c>
    </row>
    <row r="834" spans="1:16" ht="172.8" x14ac:dyDescent="0.3">
      <c r="A834" s="27" t="s">
        <v>101</v>
      </c>
      <c r="B834" s="34"/>
      <c r="E834" s="29" t="s">
        <v>1219</v>
      </c>
      <c r="J834" s="35"/>
    </row>
    <row r="835" spans="1:16" x14ac:dyDescent="0.3">
      <c r="A835" s="27" t="s">
        <v>103</v>
      </c>
      <c r="B835" s="34"/>
      <c r="E835" s="36" t="s">
        <v>1226</v>
      </c>
      <c r="J835" s="35"/>
    </row>
    <row r="836" spans="1:16" ht="28.8" x14ac:dyDescent="0.3">
      <c r="A836" s="27" t="s">
        <v>103</v>
      </c>
      <c r="B836" s="34"/>
      <c r="E836" s="36" t="s">
        <v>1227</v>
      </c>
      <c r="J836" s="35"/>
    </row>
    <row r="837" spans="1:16" x14ac:dyDescent="0.3">
      <c r="A837" s="27" t="s">
        <v>103</v>
      </c>
      <c r="B837" s="34"/>
      <c r="E837" s="36" t="s">
        <v>1228</v>
      </c>
      <c r="J837" s="35"/>
    </row>
    <row r="838" spans="1:16" x14ac:dyDescent="0.3">
      <c r="A838" s="27" t="s">
        <v>103</v>
      </c>
      <c r="B838" s="34"/>
      <c r="E838" s="36" t="s">
        <v>1229</v>
      </c>
      <c r="J838" s="35"/>
    </row>
    <row r="839" spans="1:16" ht="28.8" x14ac:dyDescent="0.3">
      <c r="A839" s="27" t="s">
        <v>103</v>
      </c>
      <c r="B839" s="34"/>
      <c r="E839" s="36" t="s">
        <v>1230</v>
      </c>
      <c r="J839" s="35"/>
    </row>
    <row r="840" spans="1:16" ht="28.8" x14ac:dyDescent="0.3">
      <c r="A840" s="27" t="s">
        <v>103</v>
      </c>
      <c r="B840" s="34"/>
      <c r="E840" s="36" t="s">
        <v>1231</v>
      </c>
      <c r="J840" s="35"/>
    </row>
    <row r="841" spans="1:16" ht="28.8" x14ac:dyDescent="0.3">
      <c r="A841" s="27" t="s">
        <v>103</v>
      </c>
      <c r="B841" s="34"/>
      <c r="E841" s="36" t="s">
        <v>1232</v>
      </c>
      <c r="J841" s="35"/>
    </row>
    <row r="842" spans="1:16" ht="28.8" x14ac:dyDescent="0.3">
      <c r="A842" s="27" t="s">
        <v>103</v>
      </c>
      <c r="B842" s="34"/>
      <c r="E842" s="36" t="s">
        <v>1233</v>
      </c>
      <c r="J842" s="35"/>
    </row>
    <row r="843" spans="1:16" ht="28.8" x14ac:dyDescent="0.3">
      <c r="A843" s="27" t="s">
        <v>103</v>
      </c>
      <c r="B843" s="34"/>
      <c r="E843" s="36" t="s">
        <v>1234</v>
      </c>
      <c r="J843" s="35"/>
    </row>
    <row r="844" spans="1:16" ht="28.8" x14ac:dyDescent="0.3">
      <c r="A844" s="27" t="s">
        <v>103</v>
      </c>
      <c r="B844" s="34"/>
      <c r="E844" s="36" t="s">
        <v>1235</v>
      </c>
      <c r="J844" s="35"/>
    </row>
    <row r="845" spans="1:16" x14ac:dyDescent="0.3">
      <c r="A845" s="27" t="s">
        <v>103</v>
      </c>
      <c r="B845" s="34"/>
      <c r="E845" s="36" t="s">
        <v>1236</v>
      </c>
      <c r="J845" s="35"/>
    </row>
    <row r="846" spans="1:16" ht="28.8" x14ac:dyDescent="0.3">
      <c r="A846" s="27" t="s">
        <v>103</v>
      </c>
      <c r="B846" s="34"/>
      <c r="E846" s="36" t="s">
        <v>1237</v>
      </c>
      <c r="J846" s="35"/>
    </row>
    <row r="847" spans="1:16" ht="28.8" x14ac:dyDescent="0.3">
      <c r="A847" s="27" t="s">
        <v>103</v>
      </c>
      <c r="B847" s="34"/>
      <c r="E847" s="36" t="s">
        <v>1238</v>
      </c>
      <c r="J847" s="35"/>
    </row>
    <row r="848" spans="1:16" ht="28.8" x14ac:dyDescent="0.3">
      <c r="A848" s="27" t="s">
        <v>103</v>
      </c>
      <c r="B848" s="34"/>
      <c r="E848" s="36" t="s">
        <v>1239</v>
      </c>
      <c r="J848" s="35"/>
    </row>
    <row r="849" spans="1:16" x14ac:dyDescent="0.3">
      <c r="A849" s="27" t="s">
        <v>103</v>
      </c>
      <c r="B849" s="34"/>
      <c r="E849" s="36" t="s">
        <v>1240</v>
      </c>
      <c r="J849" s="35"/>
    </row>
    <row r="850" spans="1:16" x14ac:dyDescent="0.3">
      <c r="A850" s="27" t="s">
        <v>103</v>
      </c>
      <c r="B850" s="34"/>
      <c r="E850" s="36" t="s">
        <v>1220</v>
      </c>
      <c r="J850" s="35"/>
    </row>
    <row r="851" spans="1:16" x14ac:dyDescent="0.3">
      <c r="A851" s="27" t="s">
        <v>103</v>
      </c>
      <c r="B851" s="34"/>
      <c r="E851" s="36" t="s">
        <v>1221</v>
      </c>
      <c r="J851" s="35"/>
    </row>
    <row r="852" spans="1:16" ht="28.8" x14ac:dyDescent="0.3">
      <c r="A852" s="27" t="s">
        <v>103</v>
      </c>
      <c r="B852" s="34"/>
      <c r="E852" s="36" t="s">
        <v>1222</v>
      </c>
      <c r="J852" s="35"/>
    </row>
    <row r="853" spans="1:16" x14ac:dyDescent="0.3">
      <c r="A853" s="27" t="s">
        <v>103</v>
      </c>
      <c r="B853" s="34"/>
      <c r="E853" s="36" t="s">
        <v>1223</v>
      </c>
      <c r="J853" s="35"/>
    </row>
    <row r="854" spans="1:16" ht="28.8" x14ac:dyDescent="0.3">
      <c r="A854" s="27" t="s">
        <v>103</v>
      </c>
      <c r="B854" s="34"/>
      <c r="E854" s="36" t="s">
        <v>1224</v>
      </c>
      <c r="J854" s="35"/>
    </row>
    <row r="855" spans="1:16" x14ac:dyDescent="0.3">
      <c r="A855" s="27" t="s">
        <v>103</v>
      </c>
      <c r="B855" s="34"/>
      <c r="E855" s="36" t="s">
        <v>1225</v>
      </c>
      <c r="J855" s="35"/>
    </row>
    <row r="856" spans="1:16" ht="43.2" x14ac:dyDescent="0.3">
      <c r="A856" s="27" t="s">
        <v>105</v>
      </c>
      <c r="B856" s="34"/>
      <c r="E856" s="29" t="s">
        <v>1244</v>
      </c>
      <c r="J856" s="35"/>
    </row>
    <row r="857" spans="1:16" ht="28.8" x14ac:dyDescent="0.3">
      <c r="A857" s="27" t="s">
        <v>95</v>
      </c>
      <c r="B857" s="27">
        <v>27</v>
      </c>
      <c r="C857" s="28" t="s">
        <v>1245</v>
      </c>
      <c r="D857" s="27" t="s">
        <v>129</v>
      </c>
      <c r="E857" s="29" t="s">
        <v>1246</v>
      </c>
      <c r="F857" s="30" t="s">
        <v>237</v>
      </c>
      <c r="G857" s="31">
        <v>1279.4649999999999</v>
      </c>
      <c r="H857" s="32">
        <v>0</v>
      </c>
      <c r="I857" s="32">
        <f>ROUND(465.75*H857,P4)+ROUND(788.925*H857,P4)+ROUND(24.79*H857,P4)</f>
        <v>0</v>
      </c>
      <c r="J857" s="30" t="s">
        <v>118</v>
      </c>
      <c r="O857" s="33">
        <f>I857*0.21</f>
        <v>0</v>
      </c>
      <c r="P857">
        <v>3</v>
      </c>
    </row>
    <row r="858" spans="1:16" ht="302.39999999999998" x14ac:dyDescent="0.3">
      <c r="A858" s="27" t="s">
        <v>101</v>
      </c>
      <c r="B858" s="34"/>
      <c r="E858" s="29" t="s">
        <v>1247</v>
      </c>
      <c r="J858" s="35"/>
    </row>
    <row r="859" spans="1:16" ht="28.8" x14ac:dyDescent="0.3">
      <c r="A859" s="27" t="s">
        <v>103</v>
      </c>
      <c r="B859" s="34"/>
      <c r="E859" s="36" t="s">
        <v>1248</v>
      </c>
      <c r="J859" s="35"/>
    </row>
    <row r="860" spans="1:16" ht="28.8" x14ac:dyDescent="0.3">
      <c r="A860" s="27" t="s">
        <v>103</v>
      </c>
      <c r="B860" s="34"/>
      <c r="E860" s="36" t="s">
        <v>1249</v>
      </c>
      <c r="J860" s="35"/>
    </row>
    <row r="861" spans="1:16" ht="28.8" x14ac:dyDescent="0.3">
      <c r="A861" s="27" t="s">
        <v>103</v>
      </c>
      <c r="B861" s="34"/>
      <c r="E861" s="36" t="s">
        <v>1250</v>
      </c>
      <c r="J861" s="35"/>
    </row>
    <row r="862" spans="1:16" ht="28.8" x14ac:dyDescent="0.3">
      <c r="A862" s="27" t="s">
        <v>103</v>
      </c>
      <c r="B862" s="34"/>
      <c r="E862" s="36" t="s">
        <v>1251</v>
      </c>
      <c r="J862" s="35"/>
    </row>
    <row r="863" spans="1:16" ht="28.8" x14ac:dyDescent="0.3">
      <c r="A863" s="27" t="s">
        <v>103</v>
      </c>
      <c r="B863" s="34"/>
      <c r="E863" s="36" t="s">
        <v>1252</v>
      </c>
      <c r="J863" s="35"/>
    </row>
    <row r="864" spans="1:16" ht="28.8" x14ac:dyDescent="0.3">
      <c r="A864" s="27" t="s">
        <v>103</v>
      </c>
      <c r="B864" s="34"/>
      <c r="E864" s="36" t="s">
        <v>1253</v>
      </c>
      <c r="J864" s="35"/>
    </row>
    <row r="865" spans="1:10" x14ac:dyDescent="0.3">
      <c r="A865" s="27" t="s">
        <v>103</v>
      </c>
      <c r="B865" s="34"/>
      <c r="E865" s="36" t="s">
        <v>1254</v>
      </c>
      <c r="J865" s="35"/>
    </row>
    <row r="866" spans="1:10" ht="28.8" x14ac:dyDescent="0.3">
      <c r="A866" s="27" t="s">
        <v>103</v>
      </c>
      <c r="B866" s="34"/>
      <c r="E866" s="36" t="s">
        <v>1255</v>
      </c>
      <c r="J866" s="35"/>
    </row>
    <row r="867" spans="1:10" ht="28.8" x14ac:dyDescent="0.3">
      <c r="A867" s="27" t="s">
        <v>103</v>
      </c>
      <c r="B867" s="34"/>
      <c r="E867" s="36" t="s">
        <v>1256</v>
      </c>
      <c r="J867" s="35"/>
    </row>
    <row r="868" spans="1:10" ht="28.8" x14ac:dyDescent="0.3">
      <c r="A868" s="27" t="s">
        <v>103</v>
      </c>
      <c r="B868" s="34"/>
      <c r="E868" s="36" t="s">
        <v>1257</v>
      </c>
      <c r="J868" s="35"/>
    </row>
    <row r="869" spans="1:10" ht="28.8" x14ac:dyDescent="0.3">
      <c r="A869" s="27" t="s">
        <v>103</v>
      </c>
      <c r="B869" s="34"/>
      <c r="E869" s="36" t="s">
        <v>1258</v>
      </c>
      <c r="J869" s="35"/>
    </row>
    <row r="870" spans="1:10" x14ac:dyDescent="0.3">
      <c r="A870" s="27" t="s">
        <v>103</v>
      </c>
      <c r="B870" s="34"/>
      <c r="E870" s="36" t="s">
        <v>1259</v>
      </c>
      <c r="J870" s="35"/>
    </row>
    <row r="871" spans="1:10" ht="28.8" x14ac:dyDescent="0.3">
      <c r="A871" s="27" t="s">
        <v>103</v>
      </c>
      <c r="B871" s="34"/>
      <c r="E871" s="36" t="s">
        <v>1260</v>
      </c>
      <c r="J871" s="35"/>
    </row>
    <row r="872" spans="1:10" ht="28.8" x14ac:dyDescent="0.3">
      <c r="A872" s="27" t="s">
        <v>103</v>
      </c>
      <c r="B872" s="34"/>
      <c r="E872" s="36" t="s">
        <v>1261</v>
      </c>
      <c r="J872" s="35"/>
    </row>
    <row r="873" spans="1:10" ht="28.8" x14ac:dyDescent="0.3">
      <c r="A873" s="27" t="s">
        <v>103</v>
      </c>
      <c r="B873" s="34"/>
      <c r="E873" s="36" t="s">
        <v>1262</v>
      </c>
      <c r="J873" s="35"/>
    </row>
    <row r="874" spans="1:10" x14ac:dyDescent="0.3">
      <c r="A874" s="27" t="s">
        <v>103</v>
      </c>
      <c r="B874" s="34"/>
      <c r="E874" s="36" t="s">
        <v>1263</v>
      </c>
      <c r="J874" s="35"/>
    </row>
    <row r="875" spans="1:10" x14ac:dyDescent="0.3">
      <c r="A875" s="27" t="s">
        <v>103</v>
      </c>
      <c r="B875" s="34"/>
      <c r="E875" s="36" t="s">
        <v>1264</v>
      </c>
      <c r="J875" s="35"/>
    </row>
    <row r="876" spans="1:10" ht="28.8" x14ac:dyDescent="0.3">
      <c r="A876" s="27" t="s">
        <v>103</v>
      </c>
      <c r="B876" s="34"/>
      <c r="E876" s="36" t="s">
        <v>1265</v>
      </c>
      <c r="J876" s="35"/>
    </row>
    <row r="877" spans="1:10" ht="28.8" x14ac:dyDescent="0.3">
      <c r="A877" s="27" t="s">
        <v>103</v>
      </c>
      <c r="B877" s="34"/>
      <c r="E877" s="36" t="s">
        <v>1266</v>
      </c>
      <c r="J877" s="35"/>
    </row>
    <row r="878" spans="1:10" ht="28.8" x14ac:dyDescent="0.3">
      <c r="A878" s="27" t="s">
        <v>103</v>
      </c>
      <c r="B878" s="34"/>
      <c r="E878" s="36" t="s">
        <v>1267</v>
      </c>
      <c r="J878" s="35"/>
    </row>
    <row r="879" spans="1:10" ht="28.8" x14ac:dyDescent="0.3">
      <c r="A879" s="27" t="s">
        <v>103</v>
      </c>
      <c r="B879" s="34"/>
      <c r="E879" s="36" t="s">
        <v>1268</v>
      </c>
      <c r="J879" s="35"/>
    </row>
    <row r="880" spans="1:10" x14ac:dyDescent="0.3">
      <c r="A880" s="27" t="s">
        <v>103</v>
      </c>
      <c r="B880" s="34"/>
      <c r="E880" s="36" t="s">
        <v>1269</v>
      </c>
      <c r="J880" s="35"/>
    </row>
    <row r="881" spans="1:16" ht="115.2" x14ac:dyDescent="0.3">
      <c r="A881" s="27" t="s">
        <v>105</v>
      </c>
      <c r="B881" s="34"/>
      <c r="E881" s="29" t="s">
        <v>1270</v>
      </c>
      <c r="J881" s="35"/>
    </row>
    <row r="882" spans="1:16" x14ac:dyDescent="0.3">
      <c r="A882" s="27" t="s">
        <v>95</v>
      </c>
      <c r="B882" s="27">
        <v>28</v>
      </c>
      <c r="C882" s="28" t="s">
        <v>1271</v>
      </c>
      <c r="D882" s="27" t="s">
        <v>129</v>
      </c>
      <c r="E882" s="29" t="s">
        <v>1272</v>
      </c>
      <c r="F882" s="30" t="s">
        <v>237</v>
      </c>
      <c r="G882" s="31">
        <v>555.63</v>
      </c>
      <c r="H882" s="32">
        <v>0</v>
      </c>
      <c r="I882" s="32">
        <f>ROUND(27.47*H882,P4)+ROUND(17.8*H882,P4)+ROUND(510.36*H882,P4)</f>
        <v>0</v>
      </c>
      <c r="J882" s="30" t="s">
        <v>118</v>
      </c>
      <c r="O882" s="33">
        <f>I882*0.21</f>
        <v>0</v>
      </c>
      <c r="P882">
        <v>3</v>
      </c>
    </row>
    <row r="883" spans="1:16" ht="288" x14ac:dyDescent="0.3">
      <c r="A883" s="27" t="s">
        <v>101</v>
      </c>
      <c r="B883" s="34"/>
      <c r="E883" s="29" t="s">
        <v>1273</v>
      </c>
      <c r="J883" s="35"/>
    </row>
    <row r="884" spans="1:16" x14ac:dyDescent="0.3">
      <c r="A884" s="27" t="s">
        <v>103</v>
      </c>
      <c r="B884" s="34"/>
      <c r="E884" s="36" t="s">
        <v>1274</v>
      </c>
      <c r="J884" s="35"/>
    </row>
    <row r="885" spans="1:16" ht="28.8" x14ac:dyDescent="0.3">
      <c r="A885" s="27" t="s">
        <v>103</v>
      </c>
      <c r="B885" s="34"/>
      <c r="E885" s="36" t="s">
        <v>1275</v>
      </c>
      <c r="J885" s="35"/>
    </row>
    <row r="886" spans="1:16" ht="28.8" x14ac:dyDescent="0.3">
      <c r="A886" s="27" t="s">
        <v>103</v>
      </c>
      <c r="B886" s="34"/>
      <c r="E886" s="36" t="s">
        <v>1276</v>
      </c>
      <c r="J886" s="35"/>
    </row>
    <row r="887" spans="1:16" ht="28.8" x14ac:dyDescent="0.3">
      <c r="A887" s="27" t="s">
        <v>103</v>
      </c>
      <c r="B887" s="34"/>
      <c r="E887" s="36" t="s">
        <v>1277</v>
      </c>
      <c r="J887" s="35"/>
    </row>
    <row r="888" spans="1:16" ht="28.8" x14ac:dyDescent="0.3">
      <c r="A888" s="27" t="s">
        <v>103</v>
      </c>
      <c r="B888" s="34"/>
      <c r="E888" s="36" t="s">
        <v>1278</v>
      </c>
      <c r="J888" s="35"/>
    </row>
    <row r="889" spans="1:16" ht="28.8" x14ac:dyDescent="0.3">
      <c r="A889" s="27" t="s">
        <v>103</v>
      </c>
      <c r="B889" s="34"/>
      <c r="E889" s="36" t="s">
        <v>1279</v>
      </c>
      <c r="J889" s="35"/>
    </row>
    <row r="890" spans="1:16" ht="28.8" x14ac:dyDescent="0.3">
      <c r="A890" s="27" t="s">
        <v>103</v>
      </c>
      <c r="B890" s="34"/>
      <c r="E890" s="36" t="s">
        <v>1280</v>
      </c>
      <c r="J890" s="35"/>
    </row>
    <row r="891" spans="1:16" x14ac:dyDescent="0.3">
      <c r="A891" s="27" t="s">
        <v>103</v>
      </c>
      <c r="B891" s="34"/>
      <c r="E891" s="36" t="s">
        <v>1281</v>
      </c>
      <c r="J891" s="35"/>
    </row>
    <row r="892" spans="1:16" x14ac:dyDescent="0.3">
      <c r="A892" s="27" t="s">
        <v>103</v>
      </c>
      <c r="B892" s="34"/>
      <c r="E892" s="36" t="s">
        <v>1282</v>
      </c>
      <c r="J892" s="35"/>
    </row>
    <row r="893" spans="1:16" x14ac:dyDescent="0.3">
      <c r="A893" s="27" t="s">
        <v>103</v>
      </c>
      <c r="B893" s="34"/>
      <c r="E893" s="36" t="s">
        <v>1283</v>
      </c>
      <c r="J893" s="35"/>
    </row>
    <row r="894" spans="1:16" x14ac:dyDescent="0.3">
      <c r="A894" s="27" t="s">
        <v>103</v>
      </c>
      <c r="B894" s="34"/>
      <c r="E894" s="36" t="s">
        <v>1284</v>
      </c>
      <c r="J894" s="35"/>
    </row>
    <row r="895" spans="1:16" x14ac:dyDescent="0.3">
      <c r="A895" s="27" t="s">
        <v>103</v>
      </c>
      <c r="B895" s="34"/>
      <c r="E895" s="36" t="s">
        <v>1285</v>
      </c>
      <c r="J895" s="35"/>
    </row>
    <row r="896" spans="1:16" ht="28.8" x14ac:dyDescent="0.3">
      <c r="A896" s="27" t="s">
        <v>103</v>
      </c>
      <c r="B896" s="34"/>
      <c r="E896" s="36" t="s">
        <v>1286</v>
      </c>
      <c r="J896" s="35"/>
    </row>
    <row r="897" spans="1:16" ht="28.8" x14ac:dyDescent="0.3">
      <c r="A897" s="27" t="s">
        <v>103</v>
      </c>
      <c r="B897" s="34"/>
      <c r="E897" s="36" t="s">
        <v>1287</v>
      </c>
      <c r="J897" s="35"/>
    </row>
    <row r="898" spans="1:16" ht="28.8" x14ac:dyDescent="0.3">
      <c r="A898" s="27" t="s">
        <v>103</v>
      </c>
      <c r="B898" s="34"/>
      <c r="E898" s="36" t="s">
        <v>1288</v>
      </c>
      <c r="J898" s="35"/>
    </row>
    <row r="899" spans="1:16" ht="28.8" x14ac:dyDescent="0.3">
      <c r="A899" s="27" t="s">
        <v>103</v>
      </c>
      <c r="B899" s="34"/>
      <c r="E899" s="36" t="s">
        <v>1289</v>
      </c>
      <c r="J899" s="35"/>
    </row>
    <row r="900" spans="1:16" ht="28.8" x14ac:dyDescent="0.3">
      <c r="A900" s="27" t="s">
        <v>103</v>
      </c>
      <c r="B900" s="34"/>
      <c r="E900" s="36" t="s">
        <v>1290</v>
      </c>
      <c r="J900" s="35"/>
    </row>
    <row r="901" spans="1:16" x14ac:dyDescent="0.3">
      <c r="A901" s="27" t="s">
        <v>103</v>
      </c>
      <c r="B901" s="34"/>
      <c r="E901" s="36" t="s">
        <v>1291</v>
      </c>
      <c r="J901" s="35"/>
    </row>
    <row r="902" spans="1:16" x14ac:dyDescent="0.3">
      <c r="A902" s="27" t="s">
        <v>103</v>
      </c>
      <c r="B902" s="34"/>
      <c r="E902" s="36" t="s">
        <v>1292</v>
      </c>
      <c r="J902" s="35"/>
    </row>
    <row r="903" spans="1:16" x14ac:dyDescent="0.3">
      <c r="A903" s="27" t="s">
        <v>103</v>
      </c>
      <c r="B903" s="34"/>
      <c r="E903" s="36" t="s">
        <v>1293</v>
      </c>
      <c r="J903" s="35"/>
    </row>
    <row r="904" spans="1:16" ht="72" x14ac:dyDescent="0.3">
      <c r="A904" s="27" t="s">
        <v>105</v>
      </c>
      <c r="B904" s="34"/>
      <c r="E904" s="29" t="s">
        <v>1294</v>
      </c>
      <c r="J904" s="35"/>
    </row>
    <row r="905" spans="1:16" x14ac:dyDescent="0.3">
      <c r="A905" s="27" t="s">
        <v>95</v>
      </c>
      <c r="B905" s="27">
        <v>29</v>
      </c>
      <c r="C905" s="28" t="s">
        <v>1295</v>
      </c>
      <c r="D905" s="27" t="s">
        <v>146</v>
      </c>
      <c r="E905" s="29" t="s">
        <v>1296</v>
      </c>
      <c r="F905" s="30" t="s">
        <v>137</v>
      </c>
      <c r="G905" s="31">
        <v>1</v>
      </c>
      <c r="H905" s="32">
        <v>0</v>
      </c>
      <c r="I905" s="32">
        <f>ROUND(1*H905,P4)</f>
        <v>0</v>
      </c>
      <c r="J905" s="30" t="s">
        <v>1200</v>
      </c>
      <c r="O905" s="33">
        <f>I905*0.21</f>
        <v>0</v>
      </c>
      <c r="P905">
        <v>3</v>
      </c>
    </row>
    <row r="906" spans="1:16" ht="302.39999999999998" x14ac:dyDescent="0.3">
      <c r="A906" s="27" t="s">
        <v>101</v>
      </c>
      <c r="B906" s="34"/>
      <c r="E906" s="29" t="s">
        <v>1297</v>
      </c>
      <c r="J906" s="35"/>
    </row>
    <row r="907" spans="1:16" x14ac:dyDescent="0.3">
      <c r="A907" s="27" t="s">
        <v>103</v>
      </c>
      <c r="B907" s="34"/>
      <c r="E907" s="36" t="s">
        <v>1298</v>
      </c>
      <c r="J907" s="35"/>
    </row>
    <row r="908" spans="1:16" x14ac:dyDescent="0.3">
      <c r="A908" s="27" t="s">
        <v>103</v>
      </c>
      <c r="B908" s="34"/>
      <c r="E908" s="36" t="s">
        <v>358</v>
      </c>
      <c r="J908" s="35"/>
    </row>
    <row r="909" spans="1:16" x14ac:dyDescent="0.3">
      <c r="A909" s="27" t="s">
        <v>105</v>
      </c>
      <c r="B909" s="37"/>
      <c r="C909" s="38"/>
      <c r="D909" s="38"/>
      <c r="E909" s="40" t="s">
        <v>129</v>
      </c>
      <c r="F909" s="38"/>
      <c r="G909" s="38"/>
      <c r="H909" s="38"/>
      <c r="I909" s="38"/>
      <c r="J909"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83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27</v>
      </c>
      <c r="I3" s="16">
        <f>SUMIFS(I9:I833,A9:A833,"SD")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27</v>
      </c>
      <c r="D5" s="44"/>
      <c r="E5" s="14" t="s">
        <v>28</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SUMIFS(I10:I653,A10:A653,"P")</f>
        <v>0</v>
      </c>
      <c r="J9" s="26"/>
    </row>
    <row r="10" spans="1:16" x14ac:dyDescent="0.3">
      <c r="A10" s="27" t="s">
        <v>95</v>
      </c>
      <c r="B10" s="27">
        <v>1</v>
      </c>
      <c r="C10" s="28" t="s">
        <v>452</v>
      </c>
      <c r="D10" s="27" t="s">
        <v>129</v>
      </c>
      <c r="E10" s="29" t="s">
        <v>453</v>
      </c>
      <c r="F10" s="30" t="s">
        <v>229</v>
      </c>
      <c r="G10" s="31">
        <v>10717.319</v>
      </c>
      <c r="H10" s="32">
        <v>0</v>
      </c>
      <c r="I10" s="32">
        <f>ROUND(1932.579*H10,P4)+ROUND(8784.74*H10,P4)</f>
        <v>0</v>
      </c>
      <c r="J10" s="30" t="s">
        <v>118</v>
      </c>
      <c r="O10" s="33">
        <f>I10*0.21</f>
        <v>0</v>
      </c>
      <c r="P10">
        <v>3</v>
      </c>
    </row>
    <row r="11" spans="1:16" ht="115.2" x14ac:dyDescent="0.3">
      <c r="A11" s="27" t="s">
        <v>101</v>
      </c>
      <c r="B11" s="34"/>
      <c r="E11" s="29" t="s">
        <v>1299</v>
      </c>
      <c r="J11" s="35"/>
    </row>
    <row r="12" spans="1:16" ht="28.8" x14ac:dyDescent="0.3">
      <c r="A12" s="27" t="s">
        <v>103</v>
      </c>
      <c r="B12" s="34"/>
      <c r="E12" s="36" t="s">
        <v>1300</v>
      </c>
      <c r="J12" s="35"/>
    </row>
    <row r="13" spans="1:16" ht="28.8" x14ac:dyDescent="0.3">
      <c r="A13" s="27" t="s">
        <v>103</v>
      </c>
      <c r="B13" s="34"/>
      <c r="E13" s="36" t="s">
        <v>1301</v>
      </c>
      <c r="J13" s="35"/>
    </row>
    <row r="14" spans="1:16" ht="28.8" x14ac:dyDescent="0.3">
      <c r="A14" s="27" t="s">
        <v>103</v>
      </c>
      <c r="B14" s="34"/>
      <c r="E14" s="36" t="s">
        <v>1302</v>
      </c>
      <c r="J14" s="35"/>
    </row>
    <row r="15" spans="1:16" ht="28.8" x14ac:dyDescent="0.3">
      <c r="A15" s="27" t="s">
        <v>103</v>
      </c>
      <c r="B15" s="34"/>
      <c r="E15" s="36" t="s">
        <v>1303</v>
      </c>
      <c r="J15" s="35"/>
    </row>
    <row r="16" spans="1:16" ht="28.8" x14ac:dyDescent="0.3">
      <c r="A16" s="27" t="s">
        <v>103</v>
      </c>
      <c r="B16" s="34"/>
      <c r="E16" s="36" t="s">
        <v>1304</v>
      </c>
      <c r="J16" s="35"/>
    </row>
    <row r="17" spans="1:10" x14ac:dyDescent="0.3">
      <c r="A17" s="27" t="s">
        <v>103</v>
      </c>
      <c r="B17" s="34"/>
      <c r="E17" s="36" t="s">
        <v>1305</v>
      </c>
      <c r="J17" s="35"/>
    </row>
    <row r="18" spans="1:10" ht="28.8" x14ac:dyDescent="0.3">
      <c r="A18" s="27" t="s">
        <v>103</v>
      </c>
      <c r="B18" s="34"/>
      <c r="E18" s="36" t="s">
        <v>1306</v>
      </c>
      <c r="J18" s="35"/>
    </row>
    <row r="19" spans="1:10" ht="28.8" x14ac:dyDescent="0.3">
      <c r="A19" s="27" t="s">
        <v>103</v>
      </c>
      <c r="B19" s="34"/>
      <c r="E19" s="36" t="s">
        <v>1307</v>
      </c>
      <c r="J19" s="35"/>
    </row>
    <row r="20" spans="1:10" ht="28.8" x14ac:dyDescent="0.3">
      <c r="A20" s="27" t="s">
        <v>103</v>
      </c>
      <c r="B20" s="34"/>
      <c r="E20" s="36" t="s">
        <v>1308</v>
      </c>
      <c r="J20" s="35"/>
    </row>
    <row r="21" spans="1:10" x14ac:dyDescent="0.3">
      <c r="A21" s="27" t="s">
        <v>103</v>
      </c>
      <c r="B21" s="34"/>
      <c r="E21" s="36" t="s">
        <v>1309</v>
      </c>
      <c r="J21" s="35"/>
    </row>
    <row r="22" spans="1:10" ht="28.8" x14ac:dyDescent="0.3">
      <c r="A22" s="27" t="s">
        <v>103</v>
      </c>
      <c r="B22" s="34"/>
      <c r="E22" s="36" t="s">
        <v>1310</v>
      </c>
      <c r="J22" s="35"/>
    </row>
    <row r="23" spans="1:10" ht="28.8" x14ac:dyDescent="0.3">
      <c r="A23" s="27" t="s">
        <v>103</v>
      </c>
      <c r="B23" s="34"/>
      <c r="E23" s="36" t="s">
        <v>1311</v>
      </c>
      <c r="J23" s="35"/>
    </row>
    <row r="24" spans="1:10" x14ac:dyDescent="0.3">
      <c r="A24" s="27" t="s">
        <v>103</v>
      </c>
      <c r="B24" s="34"/>
      <c r="E24" s="36" t="s">
        <v>1312</v>
      </c>
      <c r="J24" s="35"/>
    </row>
    <row r="25" spans="1:10" ht="28.8" x14ac:dyDescent="0.3">
      <c r="A25" s="27" t="s">
        <v>103</v>
      </c>
      <c r="B25" s="34"/>
      <c r="E25" s="36" t="s">
        <v>1313</v>
      </c>
      <c r="J25" s="35"/>
    </row>
    <row r="26" spans="1:10" ht="28.8" x14ac:dyDescent="0.3">
      <c r="A26" s="27" t="s">
        <v>103</v>
      </c>
      <c r="B26" s="34"/>
      <c r="E26" s="36" t="s">
        <v>1314</v>
      </c>
      <c r="J26" s="35"/>
    </row>
    <row r="27" spans="1:10" ht="28.8" x14ac:dyDescent="0.3">
      <c r="A27" s="27" t="s">
        <v>103</v>
      </c>
      <c r="B27" s="34"/>
      <c r="E27" s="36" t="s">
        <v>1315</v>
      </c>
      <c r="J27" s="35"/>
    </row>
    <row r="28" spans="1:10" ht="28.8" x14ac:dyDescent="0.3">
      <c r="A28" s="27" t="s">
        <v>103</v>
      </c>
      <c r="B28" s="34"/>
      <c r="E28" s="36" t="s">
        <v>1316</v>
      </c>
      <c r="J28" s="35"/>
    </row>
    <row r="29" spans="1:10" ht="28.8" x14ac:dyDescent="0.3">
      <c r="A29" s="27" t="s">
        <v>103</v>
      </c>
      <c r="B29" s="34"/>
      <c r="E29" s="36" t="s">
        <v>1317</v>
      </c>
      <c r="J29" s="35"/>
    </row>
    <row r="30" spans="1:10" ht="28.8" x14ac:dyDescent="0.3">
      <c r="A30" s="27" t="s">
        <v>103</v>
      </c>
      <c r="B30" s="34"/>
      <c r="E30" s="36" t="s">
        <v>1318</v>
      </c>
      <c r="J30" s="35"/>
    </row>
    <row r="31" spans="1:10" ht="28.8" x14ac:dyDescent="0.3">
      <c r="A31" s="27" t="s">
        <v>103</v>
      </c>
      <c r="B31" s="34"/>
      <c r="E31" s="36" t="s">
        <v>1319</v>
      </c>
      <c r="J31" s="35"/>
    </row>
    <row r="32" spans="1:10" x14ac:dyDescent="0.3">
      <c r="A32" s="27" t="s">
        <v>103</v>
      </c>
      <c r="B32" s="34"/>
      <c r="E32" s="36" t="s">
        <v>1320</v>
      </c>
      <c r="J32" s="35"/>
    </row>
    <row r="33" spans="1:16" ht="28.8" x14ac:dyDescent="0.3">
      <c r="A33" s="27" t="s">
        <v>103</v>
      </c>
      <c r="B33" s="34"/>
      <c r="E33" s="36" t="s">
        <v>1321</v>
      </c>
      <c r="J33" s="35"/>
    </row>
    <row r="34" spans="1:16" ht="28.8" x14ac:dyDescent="0.3">
      <c r="A34" s="27" t="s">
        <v>103</v>
      </c>
      <c r="B34" s="34"/>
      <c r="E34" s="36" t="s">
        <v>1322</v>
      </c>
      <c r="J34" s="35"/>
    </row>
    <row r="35" spans="1:16" ht="28.8" x14ac:dyDescent="0.3">
      <c r="A35" s="27" t="s">
        <v>103</v>
      </c>
      <c r="B35" s="34"/>
      <c r="E35" s="36" t="s">
        <v>1323</v>
      </c>
      <c r="J35" s="35"/>
    </row>
    <row r="36" spans="1:16" ht="28.8" x14ac:dyDescent="0.3">
      <c r="A36" s="27" t="s">
        <v>103</v>
      </c>
      <c r="B36" s="34"/>
      <c r="E36" s="36" t="s">
        <v>1324</v>
      </c>
      <c r="J36" s="35"/>
    </row>
    <row r="37" spans="1:16" ht="28.8" x14ac:dyDescent="0.3">
      <c r="A37" s="27" t="s">
        <v>103</v>
      </c>
      <c r="B37" s="34"/>
      <c r="E37" s="36" t="s">
        <v>1325</v>
      </c>
      <c r="J37" s="35"/>
    </row>
    <row r="38" spans="1:16" x14ac:dyDescent="0.3">
      <c r="A38" s="27" t="s">
        <v>103</v>
      </c>
      <c r="B38" s="34"/>
      <c r="E38" s="36" t="s">
        <v>1326</v>
      </c>
      <c r="J38" s="35"/>
    </row>
    <row r="39" spans="1:16" ht="409.6" x14ac:dyDescent="0.3">
      <c r="A39" s="27" t="s">
        <v>105</v>
      </c>
      <c r="B39" s="34"/>
      <c r="E39" s="29" t="s">
        <v>472</v>
      </c>
      <c r="J39" s="35"/>
    </row>
    <row r="40" spans="1:16" x14ac:dyDescent="0.3">
      <c r="A40" s="27" t="s">
        <v>95</v>
      </c>
      <c r="B40" s="27">
        <v>2</v>
      </c>
      <c r="C40" s="28" t="s">
        <v>426</v>
      </c>
      <c r="D40" s="27" t="s">
        <v>97</v>
      </c>
      <c r="E40" s="29" t="s">
        <v>427</v>
      </c>
      <c r="F40" s="30" t="s">
        <v>229</v>
      </c>
      <c r="G40" s="31">
        <v>4531.7470000000003</v>
      </c>
      <c r="H40" s="32">
        <v>0</v>
      </c>
      <c r="I40" s="32">
        <f>ROUND(2273.133*H40,P4)+ROUND(2206.898*H40,P4)+ROUND(51.716*H40,P4)</f>
        <v>0</v>
      </c>
      <c r="J40" s="30" t="s">
        <v>118</v>
      </c>
      <c r="O40" s="33">
        <f>I40*0.21</f>
        <v>0</v>
      </c>
      <c r="P40">
        <v>3</v>
      </c>
    </row>
    <row r="41" spans="1:16" ht="172.8" x14ac:dyDescent="0.3">
      <c r="A41" s="27" t="s">
        <v>101</v>
      </c>
      <c r="B41" s="34"/>
      <c r="E41" s="29" t="s">
        <v>1327</v>
      </c>
      <c r="J41" s="35"/>
    </row>
    <row r="42" spans="1:16" ht="28.8" x14ac:dyDescent="0.3">
      <c r="A42" s="27" t="s">
        <v>103</v>
      </c>
      <c r="B42" s="34"/>
      <c r="E42" s="36" t="s">
        <v>1328</v>
      </c>
      <c r="J42" s="35"/>
    </row>
    <row r="43" spans="1:16" ht="28.8" x14ac:dyDescent="0.3">
      <c r="A43" s="27" t="s">
        <v>103</v>
      </c>
      <c r="B43" s="34"/>
      <c r="E43" s="36" t="s">
        <v>1329</v>
      </c>
      <c r="J43" s="35"/>
    </row>
    <row r="44" spans="1:16" ht="28.8" x14ac:dyDescent="0.3">
      <c r="A44" s="27" t="s">
        <v>103</v>
      </c>
      <c r="B44" s="34"/>
      <c r="E44" s="36" t="s">
        <v>1330</v>
      </c>
      <c r="J44" s="35"/>
    </row>
    <row r="45" spans="1:16" ht="28.8" x14ac:dyDescent="0.3">
      <c r="A45" s="27" t="s">
        <v>103</v>
      </c>
      <c r="B45" s="34"/>
      <c r="E45" s="36" t="s">
        <v>1331</v>
      </c>
      <c r="J45" s="35"/>
    </row>
    <row r="46" spans="1:16" ht="28.8" x14ac:dyDescent="0.3">
      <c r="A46" s="27" t="s">
        <v>103</v>
      </c>
      <c r="B46" s="34"/>
      <c r="E46" s="36" t="s">
        <v>1332</v>
      </c>
      <c r="J46" s="35"/>
    </row>
    <row r="47" spans="1:16" ht="28.8" x14ac:dyDescent="0.3">
      <c r="A47" s="27" t="s">
        <v>103</v>
      </c>
      <c r="B47" s="34"/>
      <c r="E47" s="36" t="s">
        <v>1333</v>
      </c>
      <c r="J47" s="35"/>
    </row>
    <row r="48" spans="1:16" ht="28.8" x14ac:dyDescent="0.3">
      <c r="A48" s="27" t="s">
        <v>103</v>
      </c>
      <c r="B48" s="34"/>
      <c r="E48" s="36" t="s">
        <v>1334</v>
      </c>
      <c r="J48" s="35"/>
    </row>
    <row r="49" spans="1:10" ht="28.8" x14ac:dyDescent="0.3">
      <c r="A49" s="27" t="s">
        <v>103</v>
      </c>
      <c r="B49" s="34"/>
      <c r="E49" s="36" t="s">
        <v>1335</v>
      </c>
      <c r="J49" s="35"/>
    </row>
    <row r="50" spans="1:10" ht="28.8" x14ac:dyDescent="0.3">
      <c r="A50" s="27" t="s">
        <v>103</v>
      </c>
      <c r="B50" s="34"/>
      <c r="E50" s="36" t="s">
        <v>1336</v>
      </c>
      <c r="J50" s="35"/>
    </row>
    <row r="51" spans="1:10" ht="28.8" x14ac:dyDescent="0.3">
      <c r="A51" s="27" t="s">
        <v>103</v>
      </c>
      <c r="B51" s="34"/>
      <c r="E51" s="36" t="s">
        <v>1337</v>
      </c>
      <c r="J51" s="35"/>
    </row>
    <row r="52" spans="1:10" ht="28.8" x14ac:dyDescent="0.3">
      <c r="A52" s="27" t="s">
        <v>103</v>
      </c>
      <c r="B52" s="34"/>
      <c r="E52" s="36" t="s">
        <v>1338</v>
      </c>
      <c r="J52" s="35"/>
    </row>
    <row r="53" spans="1:10" ht="28.8" x14ac:dyDescent="0.3">
      <c r="A53" s="27" t="s">
        <v>103</v>
      </c>
      <c r="B53" s="34"/>
      <c r="E53" s="36" t="s">
        <v>1339</v>
      </c>
      <c r="J53" s="35"/>
    </row>
    <row r="54" spans="1:10" ht="28.8" x14ac:dyDescent="0.3">
      <c r="A54" s="27" t="s">
        <v>103</v>
      </c>
      <c r="B54" s="34"/>
      <c r="E54" s="36" t="s">
        <v>1340</v>
      </c>
      <c r="J54" s="35"/>
    </row>
    <row r="55" spans="1:10" ht="28.8" x14ac:dyDescent="0.3">
      <c r="A55" s="27" t="s">
        <v>103</v>
      </c>
      <c r="B55" s="34"/>
      <c r="E55" s="36" t="s">
        <v>1341</v>
      </c>
      <c r="J55" s="35"/>
    </row>
    <row r="56" spans="1:10" x14ac:dyDescent="0.3">
      <c r="A56" s="27" t="s">
        <v>103</v>
      </c>
      <c r="B56" s="34"/>
      <c r="E56" s="36" t="s">
        <v>1342</v>
      </c>
      <c r="J56" s="35"/>
    </row>
    <row r="57" spans="1:10" ht="28.8" x14ac:dyDescent="0.3">
      <c r="A57" s="27" t="s">
        <v>103</v>
      </c>
      <c r="B57" s="34"/>
      <c r="E57" s="36" t="s">
        <v>1343</v>
      </c>
      <c r="J57" s="35"/>
    </row>
    <row r="58" spans="1:10" ht="28.8" x14ac:dyDescent="0.3">
      <c r="A58" s="27" t="s">
        <v>103</v>
      </c>
      <c r="B58" s="34"/>
      <c r="E58" s="36" t="s">
        <v>1344</v>
      </c>
      <c r="J58" s="35"/>
    </row>
    <row r="59" spans="1:10" ht="28.8" x14ac:dyDescent="0.3">
      <c r="A59" s="27" t="s">
        <v>103</v>
      </c>
      <c r="B59" s="34"/>
      <c r="E59" s="36" t="s">
        <v>1345</v>
      </c>
      <c r="J59" s="35"/>
    </row>
    <row r="60" spans="1:10" ht="28.8" x14ac:dyDescent="0.3">
      <c r="A60" s="27" t="s">
        <v>103</v>
      </c>
      <c r="B60" s="34"/>
      <c r="E60" s="36" t="s">
        <v>1346</v>
      </c>
      <c r="J60" s="35"/>
    </row>
    <row r="61" spans="1:10" ht="28.8" x14ac:dyDescent="0.3">
      <c r="A61" s="27" t="s">
        <v>103</v>
      </c>
      <c r="B61" s="34"/>
      <c r="E61" s="36" t="s">
        <v>1347</v>
      </c>
      <c r="J61" s="35"/>
    </row>
    <row r="62" spans="1:10" ht="28.8" x14ac:dyDescent="0.3">
      <c r="A62" s="27" t="s">
        <v>103</v>
      </c>
      <c r="B62" s="34"/>
      <c r="E62" s="36" t="s">
        <v>1348</v>
      </c>
      <c r="J62" s="35"/>
    </row>
    <row r="63" spans="1:10" ht="28.8" x14ac:dyDescent="0.3">
      <c r="A63" s="27" t="s">
        <v>103</v>
      </c>
      <c r="B63" s="34"/>
      <c r="E63" s="36" t="s">
        <v>1349</v>
      </c>
      <c r="J63" s="35"/>
    </row>
    <row r="64" spans="1:10" ht="28.8" x14ac:dyDescent="0.3">
      <c r="A64" s="27" t="s">
        <v>103</v>
      </c>
      <c r="B64" s="34"/>
      <c r="E64" s="36" t="s">
        <v>1350</v>
      </c>
      <c r="J64" s="35"/>
    </row>
    <row r="65" spans="1:10" ht="28.8" x14ac:dyDescent="0.3">
      <c r="A65" s="27" t="s">
        <v>103</v>
      </c>
      <c r="B65" s="34"/>
      <c r="E65" s="36" t="s">
        <v>1351</v>
      </c>
      <c r="J65" s="35"/>
    </row>
    <row r="66" spans="1:10" ht="28.8" x14ac:dyDescent="0.3">
      <c r="A66" s="27" t="s">
        <v>103</v>
      </c>
      <c r="B66" s="34"/>
      <c r="E66" s="36" t="s">
        <v>1352</v>
      </c>
      <c r="J66" s="35"/>
    </row>
    <row r="67" spans="1:10" ht="28.8" x14ac:dyDescent="0.3">
      <c r="A67" s="27" t="s">
        <v>103</v>
      </c>
      <c r="B67" s="34"/>
      <c r="E67" s="36" t="s">
        <v>1353</v>
      </c>
      <c r="J67" s="35"/>
    </row>
    <row r="68" spans="1:10" ht="28.8" x14ac:dyDescent="0.3">
      <c r="A68" s="27" t="s">
        <v>103</v>
      </c>
      <c r="B68" s="34"/>
      <c r="E68" s="36" t="s">
        <v>1354</v>
      </c>
      <c r="J68" s="35"/>
    </row>
    <row r="69" spans="1:10" ht="28.8" x14ac:dyDescent="0.3">
      <c r="A69" s="27" t="s">
        <v>103</v>
      </c>
      <c r="B69" s="34"/>
      <c r="E69" s="36" t="s">
        <v>1355</v>
      </c>
      <c r="J69" s="35"/>
    </row>
    <row r="70" spans="1:10" ht="28.8" x14ac:dyDescent="0.3">
      <c r="A70" s="27" t="s">
        <v>103</v>
      </c>
      <c r="B70" s="34"/>
      <c r="E70" s="36" t="s">
        <v>1356</v>
      </c>
      <c r="J70" s="35"/>
    </row>
    <row r="71" spans="1:10" ht="28.8" x14ac:dyDescent="0.3">
      <c r="A71" s="27" t="s">
        <v>103</v>
      </c>
      <c r="B71" s="34"/>
      <c r="E71" s="36" t="s">
        <v>1357</v>
      </c>
      <c r="J71" s="35"/>
    </row>
    <row r="72" spans="1:10" ht="28.8" x14ac:dyDescent="0.3">
      <c r="A72" s="27" t="s">
        <v>103</v>
      </c>
      <c r="B72" s="34"/>
      <c r="E72" s="36" t="s">
        <v>1358</v>
      </c>
      <c r="J72" s="35"/>
    </row>
    <row r="73" spans="1:10" ht="28.8" x14ac:dyDescent="0.3">
      <c r="A73" s="27" t="s">
        <v>103</v>
      </c>
      <c r="B73" s="34"/>
      <c r="E73" s="36" t="s">
        <v>1359</v>
      </c>
      <c r="J73" s="35"/>
    </row>
    <row r="74" spans="1:10" ht="28.8" x14ac:dyDescent="0.3">
      <c r="A74" s="27" t="s">
        <v>103</v>
      </c>
      <c r="B74" s="34"/>
      <c r="E74" s="36" t="s">
        <v>1360</v>
      </c>
      <c r="J74" s="35"/>
    </row>
    <row r="75" spans="1:10" ht="28.8" x14ac:dyDescent="0.3">
      <c r="A75" s="27" t="s">
        <v>103</v>
      </c>
      <c r="B75" s="34"/>
      <c r="E75" s="36" t="s">
        <v>1361</v>
      </c>
      <c r="J75" s="35"/>
    </row>
    <row r="76" spans="1:10" ht="28.8" x14ac:dyDescent="0.3">
      <c r="A76" s="27" t="s">
        <v>103</v>
      </c>
      <c r="B76" s="34"/>
      <c r="E76" s="36" t="s">
        <v>1362</v>
      </c>
      <c r="J76" s="35"/>
    </row>
    <row r="77" spans="1:10" ht="28.8" x14ac:dyDescent="0.3">
      <c r="A77" s="27" t="s">
        <v>103</v>
      </c>
      <c r="B77" s="34"/>
      <c r="E77" s="36" t="s">
        <v>1363</v>
      </c>
      <c r="J77" s="35"/>
    </row>
    <row r="78" spans="1:10" ht="28.8" x14ac:dyDescent="0.3">
      <c r="A78" s="27" t="s">
        <v>103</v>
      </c>
      <c r="B78" s="34"/>
      <c r="E78" s="36" t="s">
        <v>1364</v>
      </c>
      <c r="J78" s="35"/>
    </row>
    <row r="79" spans="1:10" ht="28.8" x14ac:dyDescent="0.3">
      <c r="A79" s="27" t="s">
        <v>103</v>
      </c>
      <c r="B79" s="34"/>
      <c r="E79" s="36" t="s">
        <v>1365</v>
      </c>
      <c r="J79" s="35"/>
    </row>
    <row r="80" spans="1:10" ht="28.8" x14ac:dyDescent="0.3">
      <c r="A80" s="27" t="s">
        <v>103</v>
      </c>
      <c r="B80" s="34"/>
      <c r="E80" s="36" t="s">
        <v>1366</v>
      </c>
      <c r="J80" s="35"/>
    </row>
    <row r="81" spans="1:10" ht="28.8" x14ac:dyDescent="0.3">
      <c r="A81" s="27" t="s">
        <v>103</v>
      </c>
      <c r="B81" s="34"/>
      <c r="E81" s="36" t="s">
        <v>1367</v>
      </c>
      <c r="J81" s="35"/>
    </row>
    <row r="82" spans="1:10" ht="28.8" x14ac:dyDescent="0.3">
      <c r="A82" s="27" t="s">
        <v>103</v>
      </c>
      <c r="B82" s="34"/>
      <c r="E82" s="36" t="s">
        <v>1368</v>
      </c>
      <c r="J82" s="35"/>
    </row>
    <row r="83" spans="1:10" ht="28.8" x14ac:dyDescent="0.3">
      <c r="A83" s="27" t="s">
        <v>103</v>
      </c>
      <c r="B83" s="34"/>
      <c r="E83" s="36" t="s">
        <v>1369</v>
      </c>
      <c r="J83" s="35"/>
    </row>
    <row r="84" spans="1:10" ht="28.8" x14ac:dyDescent="0.3">
      <c r="A84" s="27" t="s">
        <v>103</v>
      </c>
      <c r="B84" s="34"/>
      <c r="E84" s="36" t="s">
        <v>1370</v>
      </c>
      <c r="J84" s="35"/>
    </row>
    <row r="85" spans="1:10" ht="28.8" x14ac:dyDescent="0.3">
      <c r="A85" s="27" t="s">
        <v>103</v>
      </c>
      <c r="B85" s="34"/>
      <c r="E85" s="36" t="s">
        <v>1371</v>
      </c>
      <c r="J85" s="35"/>
    </row>
    <row r="86" spans="1:10" ht="28.8" x14ac:dyDescent="0.3">
      <c r="A86" s="27" t="s">
        <v>103</v>
      </c>
      <c r="B86" s="34"/>
      <c r="E86" s="36" t="s">
        <v>1372</v>
      </c>
      <c r="J86" s="35"/>
    </row>
    <row r="87" spans="1:10" ht="28.8" x14ac:dyDescent="0.3">
      <c r="A87" s="27" t="s">
        <v>103</v>
      </c>
      <c r="B87" s="34"/>
      <c r="E87" s="36" t="s">
        <v>1373</v>
      </c>
      <c r="J87" s="35"/>
    </row>
    <row r="88" spans="1:10" ht="28.8" x14ac:dyDescent="0.3">
      <c r="A88" s="27" t="s">
        <v>103</v>
      </c>
      <c r="B88" s="34"/>
      <c r="E88" s="36" t="s">
        <v>1374</v>
      </c>
      <c r="J88" s="35"/>
    </row>
    <row r="89" spans="1:10" ht="28.8" x14ac:dyDescent="0.3">
      <c r="A89" s="27" t="s">
        <v>103</v>
      </c>
      <c r="B89" s="34"/>
      <c r="E89" s="36" t="s">
        <v>1375</v>
      </c>
      <c r="J89" s="35"/>
    </row>
    <row r="90" spans="1:10" ht="28.8" x14ac:dyDescent="0.3">
      <c r="A90" s="27" t="s">
        <v>103</v>
      </c>
      <c r="B90" s="34"/>
      <c r="E90" s="36" t="s">
        <v>1376</v>
      </c>
      <c r="J90" s="35"/>
    </row>
    <row r="91" spans="1:10" ht="28.8" x14ac:dyDescent="0.3">
      <c r="A91" s="27" t="s">
        <v>103</v>
      </c>
      <c r="B91" s="34"/>
      <c r="E91" s="36" t="s">
        <v>1377</v>
      </c>
      <c r="J91" s="35"/>
    </row>
    <row r="92" spans="1:10" ht="28.8" x14ac:dyDescent="0.3">
      <c r="A92" s="27" t="s">
        <v>103</v>
      </c>
      <c r="B92" s="34"/>
      <c r="E92" s="36" t="s">
        <v>1378</v>
      </c>
      <c r="J92" s="35"/>
    </row>
    <row r="93" spans="1:10" ht="28.8" x14ac:dyDescent="0.3">
      <c r="A93" s="27" t="s">
        <v>103</v>
      </c>
      <c r="B93" s="34"/>
      <c r="E93" s="36" t="s">
        <v>1379</v>
      </c>
      <c r="J93" s="35"/>
    </row>
    <row r="94" spans="1:10" ht="28.8" x14ac:dyDescent="0.3">
      <c r="A94" s="27" t="s">
        <v>103</v>
      </c>
      <c r="B94" s="34"/>
      <c r="E94" s="36" t="s">
        <v>1380</v>
      </c>
      <c r="J94" s="35"/>
    </row>
    <row r="95" spans="1:10" ht="28.8" x14ac:dyDescent="0.3">
      <c r="A95" s="27" t="s">
        <v>103</v>
      </c>
      <c r="B95" s="34"/>
      <c r="E95" s="36" t="s">
        <v>1381</v>
      </c>
      <c r="J95" s="35"/>
    </row>
    <row r="96" spans="1:10" ht="28.8" x14ac:dyDescent="0.3">
      <c r="A96" s="27" t="s">
        <v>103</v>
      </c>
      <c r="B96" s="34"/>
      <c r="E96" s="36" t="s">
        <v>1382</v>
      </c>
      <c r="J96" s="35"/>
    </row>
    <row r="97" spans="1:10" ht="28.8" x14ac:dyDescent="0.3">
      <c r="A97" s="27" t="s">
        <v>103</v>
      </c>
      <c r="B97" s="34"/>
      <c r="E97" s="36" t="s">
        <v>1383</v>
      </c>
      <c r="J97" s="35"/>
    </row>
    <row r="98" spans="1:10" ht="28.8" x14ac:dyDescent="0.3">
      <c r="A98" s="27" t="s">
        <v>103</v>
      </c>
      <c r="B98" s="34"/>
      <c r="E98" s="36" t="s">
        <v>1384</v>
      </c>
      <c r="J98" s="35"/>
    </row>
    <row r="99" spans="1:10" ht="28.8" x14ac:dyDescent="0.3">
      <c r="A99" s="27" t="s">
        <v>103</v>
      </c>
      <c r="B99" s="34"/>
      <c r="E99" s="36" t="s">
        <v>1385</v>
      </c>
      <c r="J99" s="35"/>
    </row>
    <row r="100" spans="1:10" ht="28.8" x14ac:dyDescent="0.3">
      <c r="A100" s="27" t="s">
        <v>103</v>
      </c>
      <c r="B100" s="34"/>
      <c r="E100" s="36" t="s">
        <v>1386</v>
      </c>
      <c r="J100" s="35"/>
    </row>
    <row r="101" spans="1:10" ht="28.8" x14ac:dyDescent="0.3">
      <c r="A101" s="27" t="s">
        <v>103</v>
      </c>
      <c r="B101" s="34"/>
      <c r="E101" s="36" t="s">
        <v>1387</v>
      </c>
      <c r="J101" s="35"/>
    </row>
    <row r="102" spans="1:10" ht="28.8" x14ac:dyDescent="0.3">
      <c r="A102" s="27" t="s">
        <v>103</v>
      </c>
      <c r="B102" s="34"/>
      <c r="E102" s="36" t="s">
        <v>1388</v>
      </c>
      <c r="J102" s="35"/>
    </row>
    <row r="103" spans="1:10" x14ac:dyDescent="0.3">
      <c r="A103" s="27" t="s">
        <v>103</v>
      </c>
      <c r="B103" s="34"/>
      <c r="E103" s="36" t="s">
        <v>1389</v>
      </c>
      <c r="J103" s="35"/>
    </row>
    <row r="104" spans="1:10" ht="28.8" x14ac:dyDescent="0.3">
      <c r="A104" s="27" t="s">
        <v>103</v>
      </c>
      <c r="B104" s="34"/>
      <c r="E104" s="36" t="s">
        <v>1390</v>
      </c>
      <c r="J104" s="35"/>
    </row>
    <row r="105" spans="1:10" ht="28.8" x14ac:dyDescent="0.3">
      <c r="A105" s="27" t="s">
        <v>103</v>
      </c>
      <c r="B105" s="34"/>
      <c r="E105" s="36" t="s">
        <v>1391</v>
      </c>
      <c r="J105" s="35"/>
    </row>
    <row r="106" spans="1:10" ht="28.8" x14ac:dyDescent="0.3">
      <c r="A106" s="27" t="s">
        <v>103</v>
      </c>
      <c r="B106" s="34"/>
      <c r="E106" s="36" t="s">
        <v>1392</v>
      </c>
      <c r="J106" s="35"/>
    </row>
    <row r="107" spans="1:10" ht="28.8" x14ac:dyDescent="0.3">
      <c r="A107" s="27" t="s">
        <v>103</v>
      </c>
      <c r="B107" s="34"/>
      <c r="E107" s="36" t="s">
        <v>1393</v>
      </c>
      <c r="J107" s="35"/>
    </row>
    <row r="108" spans="1:10" ht="28.8" x14ac:dyDescent="0.3">
      <c r="A108" s="27" t="s">
        <v>103</v>
      </c>
      <c r="B108" s="34"/>
      <c r="E108" s="36" t="s">
        <v>1394</v>
      </c>
      <c r="J108" s="35"/>
    </row>
    <row r="109" spans="1:10" ht="28.8" x14ac:dyDescent="0.3">
      <c r="A109" s="27" t="s">
        <v>103</v>
      </c>
      <c r="B109" s="34"/>
      <c r="E109" s="36" t="s">
        <v>1395</v>
      </c>
      <c r="J109" s="35"/>
    </row>
    <row r="110" spans="1:10" ht="28.8" x14ac:dyDescent="0.3">
      <c r="A110" s="27" t="s">
        <v>103</v>
      </c>
      <c r="B110" s="34"/>
      <c r="E110" s="36" t="s">
        <v>1396</v>
      </c>
      <c r="J110" s="35"/>
    </row>
    <row r="111" spans="1:10" ht="28.8" x14ac:dyDescent="0.3">
      <c r="A111" s="27" t="s">
        <v>103</v>
      </c>
      <c r="B111" s="34"/>
      <c r="E111" s="36" t="s">
        <v>1397</v>
      </c>
      <c r="J111" s="35"/>
    </row>
    <row r="112" spans="1:10" ht="28.8" x14ac:dyDescent="0.3">
      <c r="A112" s="27" t="s">
        <v>103</v>
      </c>
      <c r="B112" s="34"/>
      <c r="E112" s="36" t="s">
        <v>1398</v>
      </c>
      <c r="J112" s="35"/>
    </row>
    <row r="113" spans="1:10" ht="28.8" x14ac:dyDescent="0.3">
      <c r="A113" s="27" t="s">
        <v>103</v>
      </c>
      <c r="B113" s="34"/>
      <c r="E113" s="36" t="s">
        <v>1399</v>
      </c>
      <c r="J113" s="35"/>
    </row>
    <row r="114" spans="1:10" ht="28.8" x14ac:dyDescent="0.3">
      <c r="A114" s="27" t="s">
        <v>103</v>
      </c>
      <c r="B114" s="34"/>
      <c r="E114" s="36" t="s">
        <v>1400</v>
      </c>
      <c r="J114" s="35"/>
    </row>
    <row r="115" spans="1:10" ht="28.8" x14ac:dyDescent="0.3">
      <c r="A115" s="27" t="s">
        <v>103</v>
      </c>
      <c r="B115" s="34"/>
      <c r="E115" s="36" t="s">
        <v>1401</v>
      </c>
      <c r="J115" s="35"/>
    </row>
    <row r="116" spans="1:10" ht="28.8" x14ac:dyDescent="0.3">
      <c r="A116" s="27" t="s">
        <v>103</v>
      </c>
      <c r="B116" s="34"/>
      <c r="E116" s="36" t="s">
        <v>1402</v>
      </c>
      <c r="J116" s="35"/>
    </row>
    <row r="117" spans="1:10" ht="28.8" x14ac:dyDescent="0.3">
      <c r="A117" s="27" t="s">
        <v>103</v>
      </c>
      <c r="B117" s="34"/>
      <c r="E117" s="36" t="s">
        <v>1403</v>
      </c>
      <c r="J117" s="35"/>
    </row>
    <row r="118" spans="1:10" ht="28.8" x14ac:dyDescent="0.3">
      <c r="A118" s="27" t="s">
        <v>103</v>
      </c>
      <c r="B118" s="34"/>
      <c r="E118" s="36" t="s">
        <v>1404</v>
      </c>
      <c r="J118" s="35"/>
    </row>
    <row r="119" spans="1:10" ht="28.8" x14ac:dyDescent="0.3">
      <c r="A119" s="27" t="s">
        <v>103</v>
      </c>
      <c r="B119" s="34"/>
      <c r="E119" s="36" t="s">
        <v>1405</v>
      </c>
      <c r="J119" s="35"/>
    </row>
    <row r="120" spans="1:10" ht="28.8" x14ac:dyDescent="0.3">
      <c r="A120" s="27" t="s">
        <v>103</v>
      </c>
      <c r="B120" s="34"/>
      <c r="E120" s="36" t="s">
        <v>1406</v>
      </c>
      <c r="J120" s="35"/>
    </row>
    <row r="121" spans="1:10" ht="28.8" x14ac:dyDescent="0.3">
      <c r="A121" s="27" t="s">
        <v>103</v>
      </c>
      <c r="B121" s="34"/>
      <c r="E121" s="36" t="s">
        <v>1407</v>
      </c>
      <c r="J121" s="35"/>
    </row>
    <row r="122" spans="1:10" ht="28.8" x14ac:dyDescent="0.3">
      <c r="A122" s="27" t="s">
        <v>103</v>
      </c>
      <c r="B122" s="34"/>
      <c r="E122" s="36" t="s">
        <v>1408</v>
      </c>
      <c r="J122" s="35"/>
    </row>
    <row r="123" spans="1:10" ht="28.8" x14ac:dyDescent="0.3">
      <c r="A123" s="27" t="s">
        <v>103</v>
      </c>
      <c r="B123" s="34"/>
      <c r="E123" s="36" t="s">
        <v>1409</v>
      </c>
      <c r="J123" s="35"/>
    </row>
    <row r="124" spans="1:10" ht="28.8" x14ac:dyDescent="0.3">
      <c r="A124" s="27" t="s">
        <v>103</v>
      </c>
      <c r="B124" s="34"/>
      <c r="E124" s="36" t="s">
        <v>1410</v>
      </c>
      <c r="J124" s="35"/>
    </row>
    <row r="125" spans="1:10" ht="28.8" x14ac:dyDescent="0.3">
      <c r="A125" s="27" t="s">
        <v>103</v>
      </c>
      <c r="B125" s="34"/>
      <c r="E125" s="36" t="s">
        <v>1411</v>
      </c>
      <c r="J125" s="35"/>
    </row>
    <row r="126" spans="1:10" ht="28.8" x14ac:dyDescent="0.3">
      <c r="A126" s="27" t="s">
        <v>103</v>
      </c>
      <c r="B126" s="34"/>
      <c r="E126" s="36" t="s">
        <v>1412</v>
      </c>
      <c r="J126" s="35"/>
    </row>
    <row r="127" spans="1:10" ht="28.8" x14ac:dyDescent="0.3">
      <c r="A127" s="27" t="s">
        <v>103</v>
      </c>
      <c r="B127" s="34"/>
      <c r="E127" s="36" t="s">
        <v>1413</v>
      </c>
      <c r="J127" s="35"/>
    </row>
    <row r="128" spans="1:10" ht="28.8" x14ac:dyDescent="0.3">
      <c r="A128" s="27" t="s">
        <v>103</v>
      </c>
      <c r="B128" s="34"/>
      <c r="E128" s="36" t="s">
        <v>1414</v>
      </c>
      <c r="J128" s="35"/>
    </row>
    <row r="129" spans="1:10" ht="28.8" x14ac:dyDescent="0.3">
      <c r="A129" s="27" t="s">
        <v>103</v>
      </c>
      <c r="B129" s="34"/>
      <c r="E129" s="36" t="s">
        <v>1415</v>
      </c>
      <c r="J129" s="35"/>
    </row>
    <row r="130" spans="1:10" ht="28.8" x14ac:dyDescent="0.3">
      <c r="A130" s="27" t="s">
        <v>103</v>
      </c>
      <c r="B130" s="34"/>
      <c r="E130" s="36" t="s">
        <v>1416</v>
      </c>
      <c r="J130" s="35"/>
    </row>
    <row r="131" spans="1:10" x14ac:dyDescent="0.3">
      <c r="A131" s="27" t="s">
        <v>103</v>
      </c>
      <c r="B131" s="34"/>
      <c r="E131" s="36" t="s">
        <v>1417</v>
      </c>
      <c r="J131" s="35"/>
    </row>
    <row r="132" spans="1:10" ht="28.8" x14ac:dyDescent="0.3">
      <c r="A132" s="27" t="s">
        <v>103</v>
      </c>
      <c r="B132" s="34"/>
      <c r="E132" s="36" t="s">
        <v>1418</v>
      </c>
      <c r="J132" s="35"/>
    </row>
    <row r="133" spans="1:10" ht="28.8" x14ac:dyDescent="0.3">
      <c r="A133" s="27" t="s">
        <v>103</v>
      </c>
      <c r="B133" s="34"/>
      <c r="E133" s="36" t="s">
        <v>1419</v>
      </c>
      <c r="J133" s="35"/>
    </row>
    <row r="134" spans="1:10" ht="28.8" x14ac:dyDescent="0.3">
      <c r="A134" s="27" t="s">
        <v>103</v>
      </c>
      <c r="B134" s="34"/>
      <c r="E134" s="36" t="s">
        <v>1420</v>
      </c>
      <c r="J134" s="35"/>
    </row>
    <row r="135" spans="1:10" ht="28.8" x14ac:dyDescent="0.3">
      <c r="A135" s="27" t="s">
        <v>103</v>
      </c>
      <c r="B135" s="34"/>
      <c r="E135" s="36" t="s">
        <v>1421</v>
      </c>
      <c r="J135" s="35"/>
    </row>
    <row r="136" spans="1:10" ht="28.8" x14ac:dyDescent="0.3">
      <c r="A136" s="27" t="s">
        <v>103</v>
      </c>
      <c r="B136" s="34"/>
      <c r="E136" s="36" t="s">
        <v>1422</v>
      </c>
      <c r="J136" s="35"/>
    </row>
    <row r="137" spans="1:10" ht="28.8" x14ac:dyDescent="0.3">
      <c r="A137" s="27" t="s">
        <v>103</v>
      </c>
      <c r="B137" s="34"/>
      <c r="E137" s="36" t="s">
        <v>1423</v>
      </c>
      <c r="J137" s="35"/>
    </row>
    <row r="138" spans="1:10" ht="28.8" x14ac:dyDescent="0.3">
      <c r="A138" s="27" t="s">
        <v>103</v>
      </c>
      <c r="B138" s="34"/>
      <c r="E138" s="36" t="s">
        <v>1424</v>
      </c>
      <c r="J138" s="35"/>
    </row>
    <row r="139" spans="1:10" ht="28.8" x14ac:dyDescent="0.3">
      <c r="A139" s="27" t="s">
        <v>103</v>
      </c>
      <c r="B139" s="34"/>
      <c r="E139" s="36" t="s">
        <v>1425</v>
      </c>
      <c r="J139" s="35"/>
    </row>
    <row r="140" spans="1:10" ht="28.8" x14ac:dyDescent="0.3">
      <c r="A140" s="27" t="s">
        <v>103</v>
      </c>
      <c r="B140" s="34"/>
      <c r="E140" s="36" t="s">
        <v>1426</v>
      </c>
      <c r="J140" s="35"/>
    </row>
    <row r="141" spans="1:10" ht="28.8" x14ac:dyDescent="0.3">
      <c r="A141" s="27" t="s">
        <v>103</v>
      </c>
      <c r="B141" s="34"/>
      <c r="E141" s="36" t="s">
        <v>1427</v>
      </c>
      <c r="J141" s="35"/>
    </row>
    <row r="142" spans="1:10" ht="28.8" x14ac:dyDescent="0.3">
      <c r="A142" s="27" t="s">
        <v>103</v>
      </c>
      <c r="B142" s="34"/>
      <c r="E142" s="36" t="s">
        <v>1428</v>
      </c>
      <c r="J142" s="35"/>
    </row>
    <row r="143" spans="1:10" ht="28.8" x14ac:dyDescent="0.3">
      <c r="A143" s="27" t="s">
        <v>103</v>
      </c>
      <c r="B143" s="34"/>
      <c r="E143" s="36" t="s">
        <v>1429</v>
      </c>
      <c r="J143" s="35"/>
    </row>
    <row r="144" spans="1:10" ht="28.8" x14ac:dyDescent="0.3">
      <c r="A144" s="27" t="s">
        <v>103</v>
      </c>
      <c r="B144" s="34"/>
      <c r="E144" s="36" t="s">
        <v>1430</v>
      </c>
      <c r="J144" s="35"/>
    </row>
    <row r="145" spans="1:10" ht="28.8" x14ac:dyDescent="0.3">
      <c r="A145" s="27" t="s">
        <v>103</v>
      </c>
      <c r="B145" s="34"/>
      <c r="E145" s="36" t="s">
        <v>1431</v>
      </c>
      <c r="J145" s="35"/>
    </row>
    <row r="146" spans="1:10" ht="28.8" x14ac:dyDescent="0.3">
      <c r="A146" s="27" t="s">
        <v>103</v>
      </c>
      <c r="B146" s="34"/>
      <c r="E146" s="36" t="s">
        <v>1432</v>
      </c>
      <c r="J146" s="35"/>
    </row>
    <row r="147" spans="1:10" ht="28.8" x14ac:dyDescent="0.3">
      <c r="A147" s="27" t="s">
        <v>103</v>
      </c>
      <c r="B147" s="34"/>
      <c r="E147" s="36" t="s">
        <v>1433</v>
      </c>
      <c r="J147" s="35"/>
    </row>
    <row r="148" spans="1:10" ht="28.8" x14ac:dyDescent="0.3">
      <c r="A148" s="27" t="s">
        <v>103</v>
      </c>
      <c r="B148" s="34"/>
      <c r="E148" s="36" t="s">
        <v>1434</v>
      </c>
      <c r="J148" s="35"/>
    </row>
    <row r="149" spans="1:10" ht="28.8" x14ac:dyDescent="0.3">
      <c r="A149" s="27" t="s">
        <v>103</v>
      </c>
      <c r="B149" s="34"/>
      <c r="E149" s="36" t="s">
        <v>1435</v>
      </c>
      <c r="J149" s="35"/>
    </row>
    <row r="150" spans="1:10" ht="28.8" x14ac:dyDescent="0.3">
      <c r="A150" s="27" t="s">
        <v>103</v>
      </c>
      <c r="B150" s="34"/>
      <c r="E150" s="36" t="s">
        <v>1436</v>
      </c>
      <c r="J150" s="35"/>
    </row>
    <row r="151" spans="1:10" ht="28.8" x14ac:dyDescent="0.3">
      <c r="A151" s="27" t="s">
        <v>103</v>
      </c>
      <c r="B151" s="34"/>
      <c r="E151" s="36" t="s">
        <v>1437</v>
      </c>
      <c r="J151" s="35"/>
    </row>
    <row r="152" spans="1:10" ht="28.8" x14ac:dyDescent="0.3">
      <c r="A152" s="27" t="s">
        <v>103</v>
      </c>
      <c r="B152" s="34"/>
      <c r="E152" s="36" t="s">
        <v>1438</v>
      </c>
      <c r="J152" s="35"/>
    </row>
    <row r="153" spans="1:10" ht="28.8" x14ac:dyDescent="0.3">
      <c r="A153" s="27" t="s">
        <v>103</v>
      </c>
      <c r="B153" s="34"/>
      <c r="E153" s="36" t="s">
        <v>1439</v>
      </c>
      <c r="J153" s="35"/>
    </row>
    <row r="154" spans="1:10" ht="28.8" x14ac:dyDescent="0.3">
      <c r="A154" s="27" t="s">
        <v>103</v>
      </c>
      <c r="B154" s="34"/>
      <c r="E154" s="36" t="s">
        <v>1440</v>
      </c>
      <c r="J154" s="35"/>
    </row>
    <row r="155" spans="1:10" ht="28.8" x14ac:dyDescent="0.3">
      <c r="A155" s="27" t="s">
        <v>103</v>
      </c>
      <c r="B155" s="34"/>
      <c r="E155" s="36" t="s">
        <v>1441</v>
      </c>
      <c r="J155" s="35"/>
    </row>
    <row r="156" spans="1:10" ht="28.8" x14ac:dyDescent="0.3">
      <c r="A156" s="27" t="s">
        <v>103</v>
      </c>
      <c r="B156" s="34"/>
      <c r="E156" s="36" t="s">
        <v>1442</v>
      </c>
      <c r="J156" s="35"/>
    </row>
    <row r="157" spans="1:10" ht="28.8" x14ac:dyDescent="0.3">
      <c r="A157" s="27" t="s">
        <v>103</v>
      </c>
      <c r="B157" s="34"/>
      <c r="E157" s="36" t="s">
        <v>1443</v>
      </c>
      <c r="J157" s="35"/>
    </row>
    <row r="158" spans="1:10" ht="28.8" x14ac:dyDescent="0.3">
      <c r="A158" s="27" t="s">
        <v>103</v>
      </c>
      <c r="B158" s="34"/>
      <c r="E158" s="36" t="s">
        <v>1444</v>
      </c>
      <c r="J158" s="35"/>
    </row>
    <row r="159" spans="1:10" ht="28.8" x14ac:dyDescent="0.3">
      <c r="A159" s="27" t="s">
        <v>103</v>
      </c>
      <c r="B159" s="34"/>
      <c r="E159" s="36" t="s">
        <v>1445</v>
      </c>
      <c r="J159" s="35"/>
    </row>
    <row r="160" spans="1:10" ht="28.8" x14ac:dyDescent="0.3">
      <c r="A160" s="27" t="s">
        <v>103</v>
      </c>
      <c r="B160" s="34"/>
      <c r="E160" s="36" t="s">
        <v>1446</v>
      </c>
      <c r="J160" s="35"/>
    </row>
    <row r="161" spans="1:16" ht="28.8" x14ac:dyDescent="0.3">
      <c r="A161" s="27" t="s">
        <v>103</v>
      </c>
      <c r="B161" s="34"/>
      <c r="E161" s="36" t="s">
        <v>1447</v>
      </c>
      <c r="J161" s="35"/>
    </row>
    <row r="162" spans="1:16" ht="28.8" x14ac:dyDescent="0.3">
      <c r="A162" s="27" t="s">
        <v>103</v>
      </c>
      <c r="B162" s="34"/>
      <c r="E162" s="36" t="s">
        <v>1448</v>
      </c>
      <c r="J162" s="35"/>
    </row>
    <row r="163" spans="1:16" ht="28.8" x14ac:dyDescent="0.3">
      <c r="A163" s="27" t="s">
        <v>103</v>
      </c>
      <c r="B163" s="34"/>
      <c r="E163" s="36" t="s">
        <v>1449</v>
      </c>
      <c r="J163" s="35"/>
    </row>
    <row r="164" spans="1:16" x14ac:dyDescent="0.3">
      <c r="A164" s="27" t="s">
        <v>103</v>
      </c>
      <c r="B164" s="34"/>
      <c r="E164" s="36" t="s">
        <v>1450</v>
      </c>
      <c r="J164" s="35"/>
    </row>
    <row r="165" spans="1:16" ht="374.4" x14ac:dyDescent="0.3">
      <c r="A165" s="27" t="s">
        <v>105</v>
      </c>
      <c r="B165" s="34"/>
      <c r="E165" s="29" t="s">
        <v>434</v>
      </c>
      <c r="J165" s="35"/>
    </row>
    <row r="166" spans="1:16" x14ac:dyDescent="0.3">
      <c r="A166" s="27" t="s">
        <v>95</v>
      </c>
      <c r="B166" s="27">
        <v>3</v>
      </c>
      <c r="C166" s="28" t="s">
        <v>426</v>
      </c>
      <c r="D166" s="27" t="s">
        <v>107</v>
      </c>
      <c r="E166" s="29" t="s">
        <v>427</v>
      </c>
      <c r="F166" s="30" t="s">
        <v>229</v>
      </c>
      <c r="G166" s="31">
        <v>1179.923</v>
      </c>
      <c r="H166" s="32">
        <v>0</v>
      </c>
      <c r="I166" s="32">
        <f>ROUND(336.453*H166,P4)+ROUND(843.47*H166,P4)</f>
        <v>0</v>
      </c>
      <c r="J166" s="30" t="s">
        <v>118</v>
      </c>
      <c r="O166" s="33">
        <f>I166*0.21</f>
        <v>0</v>
      </c>
      <c r="P166">
        <v>3</v>
      </c>
    </row>
    <row r="167" spans="1:16" ht="172.8" x14ac:dyDescent="0.3">
      <c r="A167" s="27" t="s">
        <v>101</v>
      </c>
      <c r="B167" s="34"/>
      <c r="E167" s="29" t="s">
        <v>1451</v>
      </c>
      <c r="J167" s="35"/>
    </row>
    <row r="168" spans="1:16" ht="28.8" x14ac:dyDescent="0.3">
      <c r="A168" s="27" t="s">
        <v>103</v>
      </c>
      <c r="B168" s="34"/>
      <c r="E168" s="36" t="s">
        <v>1452</v>
      </c>
      <c r="J168" s="35"/>
    </row>
    <row r="169" spans="1:16" ht="28.8" x14ac:dyDescent="0.3">
      <c r="A169" s="27" t="s">
        <v>103</v>
      </c>
      <c r="B169" s="34"/>
      <c r="E169" s="36" t="s">
        <v>1453</v>
      </c>
      <c r="J169" s="35"/>
    </row>
    <row r="170" spans="1:16" ht="28.8" x14ac:dyDescent="0.3">
      <c r="A170" s="27" t="s">
        <v>103</v>
      </c>
      <c r="B170" s="34"/>
      <c r="E170" s="36" t="s">
        <v>1454</v>
      </c>
      <c r="J170" s="35"/>
    </row>
    <row r="171" spans="1:16" ht="28.8" x14ac:dyDescent="0.3">
      <c r="A171" s="27" t="s">
        <v>103</v>
      </c>
      <c r="B171" s="34"/>
      <c r="E171" s="36" t="s">
        <v>1455</v>
      </c>
      <c r="J171" s="35"/>
    </row>
    <row r="172" spans="1:16" ht="28.8" x14ac:dyDescent="0.3">
      <c r="A172" s="27" t="s">
        <v>103</v>
      </c>
      <c r="B172" s="34"/>
      <c r="E172" s="36" t="s">
        <v>1456</v>
      </c>
      <c r="J172" s="35"/>
    </row>
    <row r="173" spans="1:16" ht="28.8" x14ac:dyDescent="0.3">
      <c r="A173" s="27" t="s">
        <v>103</v>
      </c>
      <c r="B173" s="34"/>
      <c r="E173" s="36" t="s">
        <v>1457</v>
      </c>
      <c r="J173" s="35"/>
    </row>
    <row r="174" spans="1:16" ht="28.8" x14ac:dyDescent="0.3">
      <c r="A174" s="27" t="s">
        <v>103</v>
      </c>
      <c r="B174" s="34"/>
      <c r="E174" s="36" t="s">
        <v>1458</v>
      </c>
      <c r="J174" s="35"/>
    </row>
    <row r="175" spans="1:16" ht="28.8" x14ac:dyDescent="0.3">
      <c r="A175" s="27" t="s">
        <v>103</v>
      </c>
      <c r="B175" s="34"/>
      <c r="E175" s="36" t="s">
        <v>1459</v>
      </c>
      <c r="J175" s="35"/>
    </row>
    <row r="176" spans="1:16" ht="28.8" x14ac:dyDescent="0.3">
      <c r="A176" s="27" t="s">
        <v>103</v>
      </c>
      <c r="B176" s="34"/>
      <c r="E176" s="36" t="s">
        <v>1460</v>
      </c>
      <c r="J176" s="35"/>
    </row>
    <row r="177" spans="1:10" ht="28.8" x14ac:dyDescent="0.3">
      <c r="A177" s="27" t="s">
        <v>103</v>
      </c>
      <c r="B177" s="34"/>
      <c r="E177" s="36" t="s">
        <v>1461</v>
      </c>
      <c r="J177" s="35"/>
    </row>
    <row r="178" spans="1:10" ht="28.8" x14ac:dyDescent="0.3">
      <c r="A178" s="27" t="s">
        <v>103</v>
      </c>
      <c r="B178" s="34"/>
      <c r="E178" s="36" t="s">
        <v>1462</v>
      </c>
      <c r="J178" s="35"/>
    </row>
    <row r="179" spans="1:10" ht="28.8" x14ac:dyDescent="0.3">
      <c r="A179" s="27" t="s">
        <v>103</v>
      </c>
      <c r="B179" s="34"/>
      <c r="E179" s="36" t="s">
        <v>1463</v>
      </c>
      <c r="J179" s="35"/>
    </row>
    <row r="180" spans="1:10" ht="28.8" x14ac:dyDescent="0.3">
      <c r="A180" s="27" t="s">
        <v>103</v>
      </c>
      <c r="B180" s="34"/>
      <c r="E180" s="36" t="s">
        <v>1464</v>
      </c>
      <c r="J180" s="35"/>
    </row>
    <row r="181" spans="1:10" ht="28.8" x14ac:dyDescent="0.3">
      <c r="A181" s="27" t="s">
        <v>103</v>
      </c>
      <c r="B181" s="34"/>
      <c r="E181" s="36" t="s">
        <v>1465</v>
      </c>
      <c r="J181" s="35"/>
    </row>
    <row r="182" spans="1:10" ht="28.8" x14ac:dyDescent="0.3">
      <c r="A182" s="27" t="s">
        <v>103</v>
      </c>
      <c r="B182" s="34"/>
      <c r="E182" s="36" t="s">
        <v>1466</v>
      </c>
      <c r="J182" s="35"/>
    </row>
    <row r="183" spans="1:10" ht="28.8" x14ac:dyDescent="0.3">
      <c r="A183" s="27" t="s">
        <v>103</v>
      </c>
      <c r="B183" s="34"/>
      <c r="E183" s="36" t="s">
        <v>1467</v>
      </c>
      <c r="J183" s="35"/>
    </row>
    <row r="184" spans="1:10" ht="28.8" x14ac:dyDescent="0.3">
      <c r="A184" s="27" t="s">
        <v>103</v>
      </c>
      <c r="B184" s="34"/>
      <c r="E184" s="36" t="s">
        <v>1468</v>
      </c>
      <c r="J184" s="35"/>
    </row>
    <row r="185" spans="1:10" ht="28.8" x14ac:dyDescent="0.3">
      <c r="A185" s="27" t="s">
        <v>103</v>
      </c>
      <c r="B185" s="34"/>
      <c r="E185" s="36" t="s">
        <v>1469</v>
      </c>
      <c r="J185" s="35"/>
    </row>
    <row r="186" spans="1:10" ht="28.8" x14ac:dyDescent="0.3">
      <c r="A186" s="27" t="s">
        <v>103</v>
      </c>
      <c r="B186" s="34"/>
      <c r="E186" s="36" t="s">
        <v>1470</v>
      </c>
      <c r="J186" s="35"/>
    </row>
    <row r="187" spans="1:10" ht="28.8" x14ac:dyDescent="0.3">
      <c r="A187" s="27" t="s">
        <v>103</v>
      </c>
      <c r="B187" s="34"/>
      <c r="E187" s="36" t="s">
        <v>1471</v>
      </c>
      <c r="J187" s="35"/>
    </row>
    <row r="188" spans="1:10" ht="28.8" x14ac:dyDescent="0.3">
      <c r="A188" s="27" t="s">
        <v>103</v>
      </c>
      <c r="B188" s="34"/>
      <c r="E188" s="36" t="s">
        <v>1472</v>
      </c>
      <c r="J188" s="35"/>
    </row>
    <row r="189" spans="1:10" ht="28.8" x14ac:dyDescent="0.3">
      <c r="A189" s="27" t="s">
        <v>103</v>
      </c>
      <c r="B189" s="34"/>
      <c r="E189" s="36" t="s">
        <v>1473</v>
      </c>
      <c r="J189" s="35"/>
    </row>
    <row r="190" spans="1:10" ht="28.8" x14ac:dyDescent="0.3">
      <c r="A190" s="27" t="s">
        <v>103</v>
      </c>
      <c r="B190" s="34"/>
      <c r="E190" s="36" t="s">
        <v>1474</v>
      </c>
      <c r="J190" s="35"/>
    </row>
    <row r="191" spans="1:10" ht="28.8" x14ac:dyDescent="0.3">
      <c r="A191" s="27" t="s">
        <v>103</v>
      </c>
      <c r="B191" s="34"/>
      <c r="E191" s="36" t="s">
        <v>1475</v>
      </c>
      <c r="J191" s="35"/>
    </row>
    <row r="192" spans="1:10" ht="28.8" x14ac:dyDescent="0.3">
      <c r="A192" s="27" t="s">
        <v>103</v>
      </c>
      <c r="B192" s="34"/>
      <c r="E192" s="36" t="s">
        <v>1476</v>
      </c>
      <c r="J192" s="35"/>
    </row>
    <row r="193" spans="1:10" ht="28.8" x14ac:dyDescent="0.3">
      <c r="A193" s="27" t="s">
        <v>103</v>
      </c>
      <c r="B193" s="34"/>
      <c r="E193" s="36" t="s">
        <v>1477</v>
      </c>
      <c r="J193" s="35"/>
    </row>
    <row r="194" spans="1:10" ht="28.8" x14ac:dyDescent="0.3">
      <c r="A194" s="27" t="s">
        <v>103</v>
      </c>
      <c r="B194" s="34"/>
      <c r="E194" s="36" t="s">
        <v>1478</v>
      </c>
      <c r="J194" s="35"/>
    </row>
    <row r="195" spans="1:10" ht="28.8" x14ac:dyDescent="0.3">
      <c r="A195" s="27" t="s">
        <v>103</v>
      </c>
      <c r="B195" s="34"/>
      <c r="E195" s="36" t="s">
        <v>1479</v>
      </c>
      <c r="J195" s="35"/>
    </row>
    <row r="196" spans="1:10" ht="28.8" x14ac:dyDescent="0.3">
      <c r="A196" s="27" t="s">
        <v>103</v>
      </c>
      <c r="B196" s="34"/>
      <c r="E196" s="36" t="s">
        <v>1480</v>
      </c>
      <c r="J196" s="35"/>
    </row>
    <row r="197" spans="1:10" ht="28.8" x14ac:dyDescent="0.3">
      <c r="A197" s="27" t="s">
        <v>103</v>
      </c>
      <c r="B197" s="34"/>
      <c r="E197" s="36" t="s">
        <v>1481</v>
      </c>
      <c r="J197" s="35"/>
    </row>
    <row r="198" spans="1:10" ht="28.8" x14ac:dyDescent="0.3">
      <c r="A198" s="27" t="s">
        <v>103</v>
      </c>
      <c r="B198" s="34"/>
      <c r="E198" s="36" t="s">
        <v>1482</v>
      </c>
      <c r="J198" s="35"/>
    </row>
    <row r="199" spans="1:10" ht="28.8" x14ac:dyDescent="0.3">
      <c r="A199" s="27" t="s">
        <v>103</v>
      </c>
      <c r="B199" s="34"/>
      <c r="E199" s="36" t="s">
        <v>1483</v>
      </c>
      <c r="J199" s="35"/>
    </row>
    <row r="200" spans="1:10" ht="28.8" x14ac:dyDescent="0.3">
      <c r="A200" s="27" t="s">
        <v>103</v>
      </c>
      <c r="B200" s="34"/>
      <c r="E200" s="36" t="s">
        <v>1484</v>
      </c>
      <c r="J200" s="35"/>
    </row>
    <row r="201" spans="1:10" ht="28.8" x14ac:dyDescent="0.3">
      <c r="A201" s="27" t="s">
        <v>103</v>
      </c>
      <c r="B201" s="34"/>
      <c r="E201" s="36" t="s">
        <v>1485</v>
      </c>
      <c r="J201" s="35"/>
    </row>
    <row r="202" spans="1:10" ht="28.8" x14ac:dyDescent="0.3">
      <c r="A202" s="27" t="s">
        <v>103</v>
      </c>
      <c r="B202" s="34"/>
      <c r="E202" s="36" t="s">
        <v>1486</v>
      </c>
      <c r="J202" s="35"/>
    </row>
    <row r="203" spans="1:10" ht="28.8" x14ac:dyDescent="0.3">
      <c r="A203" s="27" t="s">
        <v>103</v>
      </c>
      <c r="B203" s="34"/>
      <c r="E203" s="36" t="s">
        <v>1487</v>
      </c>
      <c r="J203" s="35"/>
    </row>
    <row r="204" spans="1:10" ht="28.8" x14ac:dyDescent="0.3">
      <c r="A204" s="27" t="s">
        <v>103</v>
      </c>
      <c r="B204" s="34"/>
      <c r="E204" s="36" t="s">
        <v>1488</v>
      </c>
      <c r="J204" s="35"/>
    </row>
    <row r="205" spans="1:10" ht="28.8" x14ac:dyDescent="0.3">
      <c r="A205" s="27" t="s">
        <v>103</v>
      </c>
      <c r="B205" s="34"/>
      <c r="E205" s="36" t="s">
        <v>1489</v>
      </c>
      <c r="J205" s="35"/>
    </row>
    <row r="206" spans="1:10" ht="28.8" x14ac:dyDescent="0.3">
      <c r="A206" s="27" t="s">
        <v>103</v>
      </c>
      <c r="B206" s="34"/>
      <c r="E206" s="36" t="s">
        <v>1490</v>
      </c>
      <c r="J206" s="35"/>
    </row>
    <row r="207" spans="1:10" ht="28.8" x14ac:dyDescent="0.3">
      <c r="A207" s="27" t="s">
        <v>103</v>
      </c>
      <c r="B207" s="34"/>
      <c r="E207" s="36" t="s">
        <v>1491</v>
      </c>
      <c r="J207" s="35"/>
    </row>
    <row r="208" spans="1:10" ht="28.8" x14ac:dyDescent="0.3">
      <c r="A208" s="27" t="s">
        <v>103</v>
      </c>
      <c r="B208" s="34"/>
      <c r="E208" s="36" t="s">
        <v>1492</v>
      </c>
      <c r="J208" s="35"/>
    </row>
    <row r="209" spans="1:10" ht="28.8" x14ac:dyDescent="0.3">
      <c r="A209" s="27" t="s">
        <v>103</v>
      </c>
      <c r="B209" s="34"/>
      <c r="E209" s="36" t="s">
        <v>1493</v>
      </c>
      <c r="J209" s="35"/>
    </row>
    <row r="210" spans="1:10" ht="28.8" x14ac:dyDescent="0.3">
      <c r="A210" s="27" t="s">
        <v>103</v>
      </c>
      <c r="B210" s="34"/>
      <c r="E210" s="36" t="s">
        <v>1494</v>
      </c>
      <c r="J210" s="35"/>
    </row>
    <row r="211" spans="1:10" ht="28.8" x14ac:dyDescent="0.3">
      <c r="A211" s="27" t="s">
        <v>103</v>
      </c>
      <c r="B211" s="34"/>
      <c r="E211" s="36" t="s">
        <v>1495</v>
      </c>
      <c r="J211" s="35"/>
    </row>
    <row r="212" spans="1:10" ht="28.8" x14ac:dyDescent="0.3">
      <c r="A212" s="27" t="s">
        <v>103</v>
      </c>
      <c r="B212" s="34"/>
      <c r="E212" s="36" t="s">
        <v>1496</v>
      </c>
      <c r="J212" s="35"/>
    </row>
    <row r="213" spans="1:10" ht="28.8" x14ac:dyDescent="0.3">
      <c r="A213" s="27" t="s">
        <v>103</v>
      </c>
      <c r="B213" s="34"/>
      <c r="E213" s="36" t="s">
        <v>1497</v>
      </c>
      <c r="J213" s="35"/>
    </row>
    <row r="214" spans="1:10" ht="28.8" x14ac:dyDescent="0.3">
      <c r="A214" s="27" t="s">
        <v>103</v>
      </c>
      <c r="B214" s="34"/>
      <c r="E214" s="36" t="s">
        <v>1498</v>
      </c>
      <c r="J214" s="35"/>
    </row>
    <row r="215" spans="1:10" ht="28.8" x14ac:dyDescent="0.3">
      <c r="A215" s="27" t="s">
        <v>103</v>
      </c>
      <c r="B215" s="34"/>
      <c r="E215" s="36" t="s">
        <v>1499</v>
      </c>
      <c r="J215" s="35"/>
    </row>
    <row r="216" spans="1:10" ht="28.8" x14ac:dyDescent="0.3">
      <c r="A216" s="27" t="s">
        <v>103</v>
      </c>
      <c r="B216" s="34"/>
      <c r="E216" s="36" t="s">
        <v>1500</v>
      </c>
      <c r="J216" s="35"/>
    </row>
    <row r="217" spans="1:10" ht="28.8" x14ac:dyDescent="0.3">
      <c r="A217" s="27" t="s">
        <v>103</v>
      </c>
      <c r="B217" s="34"/>
      <c r="E217" s="36" t="s">
        <v>1501</v>
      </c>
      <c r="J217" s="35"/>
    </row>
    <row r="218" spans="1:10" ht="28.8" x14ac:dyDescent="0.3">
      <c r="A218" s="27" t="s">
        <v>103</v>
      </c>
      <c r="B218" s="34"/>
      <c r="E218" s="36" t="s">
        <v>1502</v>
      </c>
      <c r="J218" s="35"/>
    </row>
    <row r="219" spans="1:10" ht="28.8" x14ac:dyDescent="0.3">
      <c r="A219" s="27" t="s">
        <v>103</v>
      </c>
      <c r="B219" s="34"/>
      <c r="E219" s="36" t="s">
        <v>1503</v>
      </c>
      <c r="J219" s="35"/>
    </row>
    <row r="220" spans="1:10" ht="28.8" x14ac:dyDescent="0.3">
      <c r="A220" s="27" t="s">
        <v>103</v>
      </c>
      <c r="B220" s="34"/>
      <c r="E220" s="36" t="s">
        <v>1504</v>
      </c>
      <c r="J220" s="35"/>
    </row>
    <row r="221" spans="1:10" ht="28.8" x14ac:dyDescent="0.3">
      <c r="A221" s="27" t="s">
        <v>103</v>
      </c>
      <c r="B221" s="34"/>
      <c r="E221" s="36" t="s">
        <v>1505</v>
      </c>
      <c r="J221" s="35"/>
    </row>
    <row r="222" spans="1:10" ht="28.8" x14ac:dyDescent="0.3">
      <c r="A222" s="27" t="s">
        <v>103</v>
      </c>
      <c r="B222" s="34"/>
      <c r="E222" s="36" t="s">
        <v>1506</v>
      </c>
      <c r="J222" s="35"/>
    </row>
    <row r="223" spans="1:10" ht="28.8" x14ac:dyDescent="0.3">
      <c r="A223" s="27" t="s">
        <v>103</v>
      </c>
      <c r="B223" s="34"/>
      <c r="E223" s="36" t="s">
        <v>1507</v>
      </c>
      <c r="J223" s="35"/>
    </row>
    <row r="224" spans="1:10" ht="28.8" x14ac:dyDescent="0.3">
      <c r="A224" s="27" t="s">
        <v>103</v>
      </c>
      <c r="B224" s="34"/>
      <c r="E224" s="36" t="s">
        <v>1508</v>
      </c>
      <c r="J224" s="35"/>
    </row>
    <row r="225" spans="1:10" ht="28.8" x14ac:dyDescent="0.3">
      <c r="A225" s="27" t="s">
        <v>103</v>
      </c>
      <c r="B225" s="34"/>
      <c r="E225" s="36" t="s">
        <v>1509</v>
      </c>
      <c r="J225" s="35"/>
    </row>
    <row r="226" spans="1:10" ht="28.8" x14ac:dyDescent="0.3">
      <c r="A226" s="27" t="s">
        <v>103</v>
      </c>
      <c r="B226" s="34"/>
      <c r="E226" s="36" t="s">
        <v>1510</v>
      </c>
      <c r="J226" s="35"/>
    </row>
    <row r="227" spans="1:10" ht="28.8" x14ac:dyDescent="0.3">
      <c r="A227" s="27" t="s">
        <v>103</v>
      </c>
      <c r="B227" s="34"/>
      <c r="E227" s="36" t="s">
        <v>1511</v>
      </c>
      <c r="J227" s="35"/>
    </row>
    <row r="228" spans="1:10" ht="28.8" x14ac:dyDescent="0.3">
      <c r="A228" s="27" t="s">
        <v>103</v>
      </c>
      <c r="B228" s="34"/>
      <c r="E228" s="36" t="s">
        <v>1512</v>
      </c>
      <c r="J228" s="35"/>
    </row>
    <row r="229" spans="1:10" ht="28.8" x14ac:dyDescent="0.3">
      <c r="A229" s="27" t="s">
        <v>103</v>
      </c>
      <c r="B229" s="34"/>
      <c r="E229" s="36" t="s">
        <v>1513</v>
      </c>
      <c r="J229" s="35"/>
    </row>
    <row r="230" spans="1:10" ht="28.8" x14ac:dyDescent="0.3">
      <c r="A230" s="27" t="s">
        <v>103</v>
      </c>
      <c r="B230" s="34"/>
      <c r="E230" s="36" t="s">
        <v>1514</v>
      </c>
      <c r="J230" s="35"/>
    </row>
    <row r="231" spans="1:10" ht="28.8" x14ac:dyDescent="0.3">
      <c r="A231" s="27" t="s">
        <v>103</v>
      </c>
      <c r="B231" s="34"/>
      <c r="E231" s="36" t="s">
        <v>1515</v>
      </c>
      <c r="J231" s="35"/>
    </row>
    <row r="232" spans="1:10" ht="28.8" x14ac:dyDescent="0.3">
      <c r="A232" s="27" t="s">
        <v>103</v>
      </c>
      <c r="B232" s="34"/>
      <c r="E232" s="36" t="s">
        <v>1516</v>
      </c>
      <c r="J232" s="35"/>
    </row>
    <row r="233" spans="1:10" ht="28.8" x14ac:dyDescent="0.3">
      <c r="A233" s="27" t="s">
        <v>103</v>
      </c>
      <c r="B233" s="34"/>
      <c r="E233" s="36" t="s">
        <v>1517</v>
      </c>
      <c r="J233" s="35"/>
    </row>
    <row r="234" spans="1:10" ht="28.8" x14ac:dyDescent="0.3">
      <c r="A234" s="27" t="s">
        <v>103</v>
      </c>
      <c r="B234" s="34"/>
      <c r="E234" s="36" t="s">
        <v>1518</v>
      </c>
      <c r="J234" s="35"/>
    </row>
    <row r="235" spans="1:10" ht="28.8" x14ac:dyDescent="0.3">
      <c r="A235" s="27" t="s">
        <v>103</v>
      </c>
      <c r="B235" s="34"/>
      <c r="E235" s="36" t="s">
        <v>1519</v>
      </c>
      <c r="J235" s="35"/>
    </row>
    <row r="236" spans="1:10" ht="28.8" x14ac:dyDescent="0.3">
      <c r="A236" s="27" t="s">
        <v>103</v>
      </c>
      <c r="B236" s="34"/>
      <c r="E236" s="36" t="s">
        <v>1520</v>
      </c>
      <c r="J236" s="35"/>
    </row>
    <row r="237" spans="1:10" ht="28.8" x14ac:dyDescent="0.3">
      <c r="A237" s="27" t="s">
        <v>103</v>
      </c>
      <c r="B237" s="34"/>
      <c r="E237" s="36" t="s">
        <v>1521</v>
      </c>
      <c r="J237" s="35"/>
    </row>
    <row r="238" spans="1:10" ht="28.8" x14ac:dyDescent="0.3">
      <c r="A238" s="27" t="s">
        <v>103</v>
      </c>
      <c r="B238" s="34"/>
      <c r="E238" s="36" t="s">
        <v>1522</v>
      </c>
      <c r="J238" s="35"/>
    </row>
    <row r="239" spans="1:10" ht="28.8" x14ac:dyDescent="0.3">
      <c r="A239" s="27" t="s">
        <v>103</v>
      </c>
      <c r="B239" s="34"/>
      <c r="E239" s="36" t="s">
        <v>1523</v>
      </c>
      <c r="J239" s="35"/>
    </row>
    <row r="240" spans="1:10" ht="28.8" x14ac:dyDescent="0.3">
      <c r="A240" s="27" t="s">
        <v>103</v>
      </c>
      <c r="B240" s="34"/>
      <c r="E240" s="36" t="s">
        <v>1524</v>
      </c>
      <c r="J240" s="35"/>
    </row>
    <row r="241" spans="1:10" ht="28.8" x14ac:dyDescent="0.3">
      <c r="A241" s="27" t="s">
        <v>103</v>
      </c>
      <c r="B241" s="34"/>
      <c r="E241" s="36" t="s">
        <v>1525</v>
      </c>
      <c r="J241" s="35"/>
    </row>
    <row r="242" spans="1:10" ht="28.8" x14ac:dyDescent="0.3">
      <c r="A242" s="27" t="s">
        <v>103</v>
      </c>
      <c r="B242" s="34"/>
      <c r="E242" s="36" t="s">
        <v>1526</v>
      </c>
      <c r="J242" s="35"/>
    </row>
    <row r="243" spans="1:10" ht="28.8" x14ac:dyDescent="0.3">
      <c r="A243" s="27" t="s">
        <v>103</v>
      </c>
      <c r="B243" s="34"/>
      <c r="E243" s="36" t="s">
        <v>1527</v>
      </c>
      <c r="J243" s="35"/>
    </row>
    <row r="244" spans="1:10" ht="28.8" x14ac:dyDescent="0.3">
      <c r="A244" s="27" t="s">
        <v>103</v>
      </c>
      <c r="B244" s="34"/>
      <c r="E244" s="36" t="s">
        <v>1528</v>
      </c>
      <c r="J244" s="35"/>
    </row>
    <row r="245" spans="1:10" ht="28.8" x14ac:dyDescent="0.3">
      <c r="A245" s="27" t="s">
        <v>103</v>
      </c>
      <c r="B245" s="34"/>
      <c r="E245" s="36" t="s">
        <v>1529</v>
      </c>
      <c r="J245" s="35"/>
    </row>
    <row r="246" spans="1:10" ht="28.8" x14ac:dyDescent="0.3">
      <c r="A246" s="27" t="s">
        <v>103</v>
      </c>
      <c r="B246" s="34"/>
      <c r="E246" s="36" t="s">
        <v>1530</v>
      </c>
      <c r="J246" s="35"/>
    </row>
    <row r="247" spans="1:10" ht="28.8" x14ac:dyDescent="0.3">
      <c r="A247" s="27" t="s">
        <v>103</v>
      </c>
      <c r="B247" s="34"/>
      <c r="E247" s="36" t="s">
        <v>1531</v>
      </c>
      <c r="J247" s="35"/>
    </row>
    <row r="248" spans="1:10" ht="28.8" x14ac:dyDescent="0.3">
      <c r="A248" s="27" t="s">
        <v>103</v>
      </c>
      <c r="B248" s="34"/>
      <c r="E248" s="36" t="s">
        <v>1532</v>
      </c>
      <c r="J248" s="35"/>
    </row>
    <row r="249" spans="1:10" ht="28.8" x14ac:dyDescent="0.3">
      <c r="A249" s="27" t="s">
        <v>103</v>
      </c>
      <c r="B249" s="34"/>
      <c r="E249" s="36" t="s">
        <v>1533</v>
      </c>
      <c r="J249" s="35"/>
    </row>
    <row r="250" spans="1:10" ht="28.8" x14ac:dyDescent="0.3">
      <c r="A250" s="27" t="s">
        <v>103</v>
      </c>
      <c r="B250" s="34"/>
      <c r="E250" s="36" t="s">
        <v>1534</v>
      </c>
      <c r="J250" s="35"/>
    </row>
    <row r="251" spans="1:10" ht="28.8" x14ac:dyDescent="0.3">
      <c r="A251" s="27" t="s">
        <v>103</v>
      </c>
      <c r="B251" s="34"/>
      <c r="E251" s="36" t="s">
        <v>1535</v>
      </c>
      <c r="J251" s="35"/>
    </row>
    <row r="252" spans="1:10" ht="28.8" x14ac:dyDescent="0.3">
      <c r="A252" s="27" t="s">
        <v>103</v>
      </c>
      <c r="B252" s="34"/>
      <c r="E252" s="36" t="s">
        <v>1536</v>
      </c>
      <c r="J252" s="35"/>
    </row>
    <row r="253" spans="1:10" ht="28.8" x14ac:dyDescent="0.3">
      <c r="A253" s="27" t="s">
        <v>103</v>
      </c>
      <c r="B253" s="34"/>
      <c r="E253" s="36" t="s">
        <v>1537</v>
      </c>
      <c r="J253" s="35"/>
    </row>
    <row r="254" spans="1:10" ht="28.8" x14ac:dyDescent="0.3">
      <c r="A254" s="27" t="s">
        <v>103</v>
      </c>
      <c r="B254" s="34"/>
      <c r="E254" s="36" t="s">
        <v>1538</v>
      </c>
      <c r="J254" s="35"/>
    </row>
    <row r="255" spans="1:10" ht="28.8" x14ac:dyDescent="0.3">
      <c r="A255" s="27" t="s">
        <v>103</v>
      </c>
      <c r="B255" s="34"/>
      <c r="E255" s="36" t="s">
        <v>1539</v>
      </c>
      <c r="J255" s="35"/>
    </row>
    <row r="256" spans="1:10" x14ac:dyDescent="0.3">
      <c r="A256" s="27" t="s">
        <v>103</v>
      </c>
      <c r="B256" s="34"/>
      <c r="E256" s="36" t="s">
        <v>1540</v>
      </c>
      <c r="J256" s="35"/>
    </row>
    <row r="257" spans="1:10" ht="28.8" x14ac:dyDescent="0.3">
      <c r="A257" s="27" t="s">
        <v>103</v>
      </c>
      <c r="B257" s="34"/>
      <c r="E257" s="36" t="s">
        <v>1541</v>
      </c>
      <c r="J257" s="35"/>
    </row>
    <row r="258" spans="1:10" ht="28.8" x14ac:dyDescent="0.3">
      <c r="A258" s="27" t="s">
        <v>103</v>
      </c>
      <c r="B258" s="34"/>
      <c r="E258" s="36" t="s">
        <v>1542</v>
      </c>
      <c r="J258" s="35"/>
    </row>
    <row r="259" spans="1:10" ht="28.8" x14ac:dyDescent="0.3">
      <c r="A259" s="27" t="s">
        <v>103</v>
      </c>
      <c r="B259" s="34"/>
      <c r="E259" s="36" t="s">
        <v>1543</v>
      </c>
      <c r="J259" s="35"/>
    </row>
    <row r="260" spans="1:10" ht="28.8" x14ac:dyDescent="0.3">
      <c r="A260" s="27" t="s">
        <v>103</v>
      </c>
      <c r="B260" s="34"/>
      <c r="E260" s="36" t="s">
        <v>1544</v>
      </c>
      <c r="J260" s="35"/>
    </row>
    <row r="261" spans="1:10" ht="28.8" x14ac:dyDescent="0.3">
      <c r="A261" s="27" t="s">
        <v>103</v>
      </c>
      <c r="B261" s="34"/>
      <c r="E261" s="36" t="s">
        <v>1545</v>
      </c>
      <c r="J261" s="35"/>
    </row>
    <row r="262" spans="1:10" ht="28.8" x14ac:dyDescent="0.3">
      <c r="A262" s="27" t="s">
        <v>103</v>
      </c>
      <c r="B262" s="34"/>
      <c r="E262" s="36" t="s">
        <v>1546</v>
      </c>
      <c r="J262" s="35"/>
    </row>
    <row r="263" spans="1:10" ht="28.8" x14ac:dyDescent="0.3">
      <c r="A263" s="27" t="s">
        <v>103</v>
      </c>
      <c r="B263" s="34"/>
      <c r="E263" s="36" t="s">
        <v>1547</v>
      </c>
      <c r="J263" s="35"/>
    </row>
    <row r="264" spans="1:10" ht="28.8" x14ac:dyDescent="0.3">
      <c r="A264" s="27" t="s">
        <v>103</v>
      </c>
      <c r="B264" s="34"/>
      <c r="E264" s="36" t="s">
        <v>1548</v>
      </c>
      <c r="J264" s="35"/>
    </row>
    <row r="265" spans="1:10" ht="28.8" x14ac:dyDescent="0.3">
      <c r="A265" s="27" t="s">
        <v>103</v>
      </c>
      <c r="B265" s="34"/>
      <c r="E265" s="36" t="s">
        <v>1549</v>
      </c>
      <c r="J265" s="35"/>
    </row>
    <row r="266" spans="1:10" ht="28.8" x14ac:dyDescent="0.3">
      <c r="A266" s="27" t="s">
        <v>103</v>
      </c>
      <c r="B266" s="34"/>
      <c r="E266" s="36" t="s">
        <v>1550</v>
      </c>
      <c r="J266" s="35"/>
    </row>
    <row r="267" spans="1:10" ht="28.8" x14ac:dyDescent="0.3">
      <c r="A267" s="27" t="s">
        <v>103</v>
      </c>
      <c r="B267" s="34"/>
      <c r="E267" s="36" t="s">
        <v>1551</v>
      </c>
      <c r="J267" s="35"/>
    </row>
    <row r="268" spans="1:10" ht="28.8" x14ac:dyDescent="0.3">
      <c r="A268" s="27" t="s">
        <v>103</v>
      </c>
      <c r="B268" s="34"/>
      <c r="E268" s="36" t="s">
        <v>1552</v>
      </c>
      <c r="J268" s="35"/>
    </row>
    <row r="269" spans="1:10" ht="28.8" x14ac:dyDescent="0.3">
      <c r="A269" s="27" t="s">
        <v>103</v>
      </c>
      <c r="B269" s="34"/>
      <c r="E269" s="36" t="s">
        <v>1553</v>
      </c>
      <c r="J269" s="35"/>
    </row>
    <row r="270" spans="1:10" ht="28.8" x14ac:dyDescent="0.3">
      <c r="A270" s="27" t="s">
        <v>103</v>
      </c>
      <c r="B270" s="34"/>
      <c r="E270" s="36" t="s">
        <v>1554</v>
      </c>
      <c r="J270" s="35"/>
    </row>
    <row r="271" spans="1:10" ht="28.8" x14ac:dyDescent="0.3">
      <c r="A271" s="27" t="s">
        <v>103</v>
      </c>
      <c r="B271" s="34"/>
      <c r="E271" s="36" t="s">
        <v>1555</v>
      </c>
      <c r="J271" s="35"/>
    </row>
    <row r="272" spans="1:10" ht="28.8" x14ac:dyDescent="0.3">
      <c r="A272" s="27" t="s">
        <v>103</v>
      </c>
      <c r="B272" s="34"/>
      <c r="E272" s="36" t="s">
        <v>1556</v>
      </c>
      <c r="J272" s="35"/>
    </row>
    <row r="273" spans="1:10" ht="28.8" x14ac:dyDescent="0.3">
      <c r="A273" s="27" t="s">
        <v>103</v>
      </c>
      <c r="B273" s="34"/>
      <c r="E273" s="36" t="s">
        <v>1557</v>
      </c>
      <c r="J273" s="35"/>
    </row>
    <row r="274" spans="1:10" ht="28.8" x14ac:dyDescent="0.3">
      <c r="A274" s="27" t="s">
        <v>103</v>
      </c>
      <c r="B274" s="34"/>
      <c r="E274" s="36" t="s">
        <v>1558</v>
      </c>
      <c r="J274" s="35"/>
    </row>
    <row r="275" spans="1:10" ht="28.8" x14ac:dyDescent="0.3">
      <c r="A275" s="27" t="s">
        <v>103</v>
      </c>
      <c r="B275" s="34"/>
      <c r="E275" s="36" t="s">
        <v>1559</v>
      </c>
      <c r="J275" s="35"/>
    </row>
    <row r="276" spans="1:10" ht="28.8" x14ac:dyDescent="0.3">
      <c r="A276" s="27" t="s">
        <v>103</v>
      </c>
      <c r="B276" s="34"/>
      <c r="E276" s="36" t="s">
        <v>1560</v>
      </c>
      <c r="J276" s="35"/>
    </row>
    <row r="277" spans="1:10" ht="28.8" x14ac:dyDescent="0.3">
      <c r="A277" s="27" t="s">
        <v>103</v>
      </c>
      <c r="B277" s="34"/>
      <c r="E277" s="36" t="s">
        <v>1561</v>
      </c>
      <c r="J277" s="35"/>
    </row>
    <row r="278" spans="1:10" ht="28.8" x14ac:dyDescent="0.3">
      <c r="A278" s="27" t="s">
        <v>103</v>
      </c>
      <c r="B278" s="34"/>
      <c r="E278" s="36" t="s">
        <v>1562</v>
      </c>
      <c r="J278" s="35"/>
    </row>
    <row r="279" spans="1:10" ht="28.8" x14ac:dyDescent="0.3">
      <c r="A279" s="27" t="s">
        <v>103</v>
      </c>
      <c r="B279" s="34"/>
      <c r="E279" s="36" t="s">
        <v>1563</v>
      </c>
      <c r="J279" s="35"/>
    </row>
    <row r="280" spans="1:10" ht="28.8" x14ac:dyDescent="0.3">
      <c r="A280" s="27" t="s">
        <v>103</v>
      </c>
      <c r="B280" s="34"/>
      <c r="E280" s="36" t="s">
        <v>1564</v>
      </c>
      <c r="J280" s="35"/>
    </row>
    <row r="281" spans="1:10" ht="28.8" x14ac:dyDescent="0.3">
      <c r="A281" s="27" t="s">
        <v>103</v>
      </c>
      <c r="B281" s="34"/>
      <c r="E281" s="36" t="s">
        <v>1565</v>
      </c>
      <c r="J281" s="35"/>
    </row>
    <row r="282" spans="1:10" ht="28.8" x14ac:dyDescent="0.3">
      <c r="A282" s="27" t="s">
        <v>103</v>
      </c>
      <c r="B282" s="34"/>
      <c r="E282" s="36" t="s">
        <v>1566</v>
      </c>
      <c r="J282" s="35"/>
    </row>
    <row r="283" spans="1:10" ht="28.8" x14ac:dyDescent="0.3">
      <c r="A283" s="27" t="s">
        <v>103</v>
      </c>
      <c r="B283" s="34"/>
      <c r="E283" s="36" t="s">
        <v>1567</v>
      </c>
      <c r="J283" s="35"/>
    </row>
    <row r="284" spans="1:10" ht="28.8" x14ac:dyDescent="0.3">
      <c r="A284" s="27" t="s">
        <v>103</v>
      </c>
      <c r="B284" s="34"/>
      <c r="E284" s="36" t="s">
        <v>1568</v>
      </c>
      <c r="J284" s="35"/>
    </row>
    <row r="285" spans="1:10" ht="28.8" x14ac:dyDescent="0.3">
      <c r="A285" s="27" t="s">
        <v>103</v>
      </c>
      <c r="B285" s="34"/>
      <c r="E285" s="36" t="s">
        <v>1569</v>
      </c>
      <c r="J285" s="35"/>
    </row>
    <row r="286" spans="1:10" ht="28.8" x14ac:dyDescent="0.3">
      <c r="A286" s="27" t="s">
        <v>103</v>
      </c>
      <c r="B286" s="34"/>
      <c r="E286" s="36" t="s">
        <v>1570</v>
      </c>
      <c r="J286" s="35"/>
    </row>
    <row r="287" spans="1:10" ht="28.8" x14ac:dyDescent="0.3">
      <c r="A287" s="27" t="s">
        <v>103</v>
      </c>
      <c r="B287" s="34"/>
      <c r="E287" s="36" t="s">
        <v>1571</v>
      </c>
      <c r="J287" s="35"/>
    </row>
    <row r="288" spans="1:10" ht="28.8" x14ac:dyDescent="0.3">
      <c r="A288" s="27" t="s">
        <v>103</v>
      </c>
      <c r="B288" s="34"/>
      <c r="E288" s="36" t="s">
        <v>1572</v>
      </c>
      <c r="J288" s="35"/>
    </row>
    <row r="289" spans="1:10" ht="28.8" x14ac:dyDescent="0.3">
      <c r="A289" s="27" t="s">
        <v>103</v>
      </c>
      <c r="B289" s="34"/>
      <c r="E289" s="36" t="s">
        <v>1573</v>
      </c>
      <c r="J289" s="35"/>
    </row>
    <row r="290" spans="1:10" ht="28.8" x14ac:dyDescent="0.3">
      <c r="A290" s="27" t="s">
        <v>103</v>
      </c>
      <c r="B290" s="34"/>
      <c r="E290" s="36" t="s">
        <v>1574</v>
      </c>
      <c r="J290" s="35"/>
    </row>
    <row r="291" spans="1:10" ht="28.8" x14ac:dyDescent="0.3">
      <c r="A291" s="27" t="s">
        <v>103</v>
      </c>
      <c r="B291" s="34"/>
      <c r="E291" s="36" t="s">
        <v>1575</v>
      </c>
      <c r="J291" s="35"/>
    </row>
    <row r="292" spans="1:10" ht="28.8" x14ac:dyDescent="0.3">
      <c r="A292" s="27" t="s">
        <v>103</v>
      </c>
      <c r="B292" s="34"/>
      <c r="E292" s="36" t="s">
        <v>1576</v>
      </c>
      <c r="J292" s="35"/>
    </row>
    <row r="293" spans="1:10" ht="28.8" x14ac:dyDescent="0.3">
      <c r="A293" s="27" t="s">
        <v>103</v>
      </c>
      <c r="B293" s="34"/>
      <c r="E293" s="36" t="s">
        <v>1577</v>
      </c>
      <c r="J293" s="35"/>
    </row>
    <row r="294" spans="1:10" ht="28.8" x14ac:dyDescent="0.3">
      <c r="A294" s="27" t="s">
        <v>103</v>
      </c>
      <c r="B294" s="34"/>
      <c r="E294" s="36" t="s">
        <v>1578</v>
      </c>
      <c r="J294" s="35"/>
    </row>
    <row r="295" spans="1:10" ht="28.8" x14ac:dyDescent="0.3">
      <c r="A295" s="27" t="s">
        <v>103</v>
      </c>
      <c r="B295" s="34"/>
      <c r="E295" s="36" t="s">
        <v>1579</v>
      </c>
      <c r="J295" s="35"/>
    </row>
    <row r="296" spans="1:10" ht="28.8" x14ac:dyDescent="0.3">
      <c r="A296" s="27" t="s">
        <v>103</v>
      </c>
      <c r="B296" s="34"/>
      <c r="E296" s="36" t="s">
        <v>1580</v>
      </c>
      <c r="J296" s="35"/>
    </row>
    <row r="297" spans="1:10" ht="28.8" x14ac:dyDescent="0.3">
      <c r="A297" s="27" t="s">
        <v>103</v>
      </c>
      <c r="B297" s="34"/>
      <c r="E297" s="36" t="s">
        <v>1581</v>
      </c>
      <c r="J297" s="35"/>
    </row>
    <row r="298" spans="1:10" ht="28.8" x14ac:dyDescent="0.3">
      <c r="A298" s="27" t="s">
        <v>103</v>
      </c>
      <c r="B298" s="34"/>
      <c r="E298" s="36" t="s">
        <v>1582</v>
      </c>
      <c r="J298" s="35"/>
    </row>
    <row r="299" spans="1:10" ht="28.8" x14ac:dyDescent="0.3">
      <c r="A299" s="27" t="s">
        <v>103</v>
      </c>
      <c r="B299" s="34"/>
      <c r="E299" s="36" t="s">
        <v>1583</v>
      </c>
      <c r="J299" s="35"/>
    </row>
    <row r="300" spans="1:10" ht="28.8" x14ac:dyDescent="0.3">
      <c r="A300" s="27" t="s">
        <v>103</v>
      </c>
      <c r="B300" s="34"/>
      <c r="E300" s="36" t="s">
        <v>1584</v>
      </c>
      <c r="J300" s="35"/>
    </row>
    <row r="301" spans="1:10" ht="28.8" x14ac:dyDescent="0.3">
      <c r="A301" s="27" t="s">
        <v>103</v>
      </c>
      <c r="B301" s="34"/>
      <c r="E301" s="36" t="s">
        <v>1585</v>
      </c>
      <c r="J301" s="35"/>
    </row>
    <row r="302" spans="1:10" ht="28.8" x14ac:dyDescent="0.3">
      <c r="A302" s="27" t="s">
        <v>103</v>
      </c>
      <c r="B302" s="34"/>
      <c r="E302" s="36" t="s">
        <v>1586</v>
      </c>
      <c r="J302" s="35"/>
    </row>
    <row r="303" spans="1:10" x14ac:dyDescent="0.3">
      <c r="A303" s="27" t="s">
        <v>103</v>
      </c>
      <c r="B303" s="34"/>
      <c r="E303" s="36" t="s">
        <v>1587</v>
      </c>
      <c r="J303" s="35"/>
    </row>
    <row r="304" spans="1:10" ht="388.8" x14ac:dyDescent="0.3">
      <c r="A304" s="27" t="s">
        <v>105</v>
      </c>
      <c r="B304" s="34"/>
      <c r="E304" s="29" t="s">
        <v>1588</v>
      </c>
      <c r="J304" s="35"/>
    </row>
    <row r="305" spans="1:16" x14ac:dyDescent="0.3">
      <c r="A305" s="27" t="s">
        <v>95</v>
      </c>
      <c r="B305" s="27">
        <v>4</v>
      </c>
      <c r="C305" s="28" t="s">
        <v>1589</v>
      </c>
      <c r="D305" s="27" t="s">
        <v>129</v>
      </c>
      <c r="E305" s="29" t="s">
        <v>1590</v>
      </c>
      <c r="F305" s="30" t="s">
        <v>229</v>
      </c>
      <c r="G305" s="31">
        <v>4531.7470000000003</v>
      </c>
      <c r="H305" s="32">
        <v>0</v>
      </c>
      <c r="I305" s="32">
        <f>ROUND(51.716*H305,P4)+ROUND(2273.133*H305,P4)+ROUND(2206.898*H305,P4)</f>
        <v>0</v>
      </c>
      <c r="J305" s="30" t="s">
        <v>118</v>
      </c>
      <c r="O305" s="33">
        <f>I305*0.21</f>
        <v>0</v>
      </c>
      <c r="P305">
        <v>3</v>
      </c>
    </row>
    <row r="306" spans="1:16" ht="172.8" x14ac:dyDescent="0.3">
      <c r="A306" s="27" t="s">
        <v>101</v>
      </c>
      <c r="B306" s="34"/>
      <c r="E306" s="29" t="s">
        <v>1327</v>
      </c>
      <c r="J306" s="35"/>
    </row>
    <row r="307" spans="1:16" ht="28.8" x14ac:dyDescent="0.3">
      <c r="A307" s="27" t="s">
        <v>103</v>
      </c>
      <c r="B307" s="34"/>
      <c r="E307" s="36" t="s">
        <v>1418</v>
      </c>
      <c r="J307" s="35"/>
    </row>
    <row r="308" spans="1:16" ht="28.8" x14ac:dyDescent="0.3">
      <c r="A308" s="27" t="s">
        <v>103</v>
      </c>
      <c r="B308" s="34"/>
      <c r="E308" s="36" t="s">
        <v>1419</v>
      </c>
      <c r="J308" s="35"/>
    </row>
    <row r="309" spans="1:16" ht="28.8" x14ac:dyDescent="0.3">
      <c r="A309" s="27" t="s">
        <v>103</v>
      </c>
      <c r="B309" s="34"/>
      <c r="E309" s="36" t="s">
        <v>1420</v>
      </c>
      <c r="J309" s="35"/>
    </row>
    <row r="310" spans="1:16" ht="28.8" x14ac:dyDescent="0.3">
      <c r="A310" s="27" t="s">
        <v>103</v>
      </c>
      <c r="B310" s="34"/>
      <c r="E310" s="36" t="s">
        <v>1421</v>
      </c>
      <c r="J310" s="35"/>
    </row>
    <row r="311" spans="1:16" ht="28.8" x14ac:dyDescent="0.3">
      <c r="A311" s="27" t="s">
        <v>103</v>
      </c>
      <c r="B311" s="34"/>
      <c r="E311" s="36" t="s">
        <v>1422</v>
      </c>
      <c r="J311" s="35"/>
    </row>
    <row r="312" spans="1:16" ht="28.8" x14ac:dyDescent="0.3">
      <c r="A312" s="27" t="s">
        <v>103</v>
      </c>
      <c r="B312" s="34"/>
      <c r="E312" s="36" t="s">
        <v>1423</v>
      </c>
      <c r="J312" s="35"/>
    </row>
    <row r="313" spans="1:16" ht="28.8" x14ac:dyDescent="0.3">
      <c r="A313" s="27" t="s">
        <v>103</v>
      </c>
      <c r="B313" s="34"/>
      <c r="E313" s="36" t="s">
        <v>1424</v>
      </c>
      <c r="J313" s="35"/>
    </row>
    <row r="314" spans="1:16" ht="28.8" x14ac:dyDescent="0.3">
      <c r="A314" s="27" t="s">
        <v>103</v>
      </c>
      <c r="B314" s="34"/>
      <c r="E314" s="36" t="s">
        <v>1425</v>
      </c>
      <c r="J314" s="35"/>
    </row>
    <row r="315" spans="1:16" ht="28.8" x14ac:dyDescent="0.3">
      <c r="A315" s="27" t="s">
        <v>103</v>
      </c>
      <c r="B315" s="34"/>
      <c r="E315" s="36" t="s">
        <v>1426</v>
      </c>
      <c r="J315" s="35"/>
    </row>
    <row r="316" spans="1:16" ht="28.8" x14ac:dyDescent="0.3">
      <c r="A316" s="27" t="s">
        <v>103</v>
      </c>
      <c r="B316" s="34"/>
      <c r="E316" s="36" t="s">
        <v>1427</v>
      </c>
      <c r="J316" s="35"/>
    </row>
    <row r="317" spans="1:16" ht="28.8" x14ac:dyDescent="0.3">
      <c r="A317" s="27" t="s">
        <v>103</v>
      </c>
      <c r="B317" s="34"/>
      <c r="E317" s="36" t="s">
        <v>1428</v>
      </c>
      <c r="J317" s="35"/>
    </row>
    <row r="318" spans="1:16" ht="28.8" x14ac:dyDescent="0.3">
      <c r="A318" s="27" t="s">
        <v>103</v>
      </c>
      <c r="B318" s="34"/>
      <c r="E318" s="36" t="s">
        <v>1429</v>
      </c>
      <c r="J318" s="35"/>
    </row>
    <row r="319" spans="1:16" ht="28.8" x14ac:dyDescent="0.3">
      <c r="A319" s="27" t="s">
        <v>103</v>
      </c>
      <c r="B319" s="34"/>
      <c r="E319" s="36" t="s">
        <v>1430</v>
      </c>
      <c r="J319" s="35"/>
    </row>
    <row r="320" spans="1:16" ht="28.8" x14ac:dyDescent="0.3">
      <c r="A320" s="27" t="s">
        <v>103</v>
      </c>
      <c r="B320" s="34"/>
      <c r="E320" s="36" t="s">
        <v>1431</v>
      </c>
      <c r="J320" s="35"/>
    </row>
    <row r="321" spans="1:10" ht="28.8" x14ac:dyDescent="0.3">
      <c r="A321" s="27" t="s">
        <v>103</v>
      </c>
      <c r="B321" s="34"/>
      <c r="E321" s="36" t="s">
        <v>1432</v>
      </c>
      <c r="J321" s="35"/>
    </row>
    <row r="322" spans="1:10" ht="28.8" x14ac:dyDescent="0.3">
      <c r="A322" s="27" t="s">
        <v>103</v>
      </c>
      <c r="B322" s="34"/>
      <c r="E322" s="36" t="s">
        <v>1433</v>
      </c>
      <c r="J322" s="35"/>
    </row>
    <row r="323" spans="1:10" ht="28.8" x14ac:dyDescent="0.3">
      <c r="A323" s="27" t="s">
        <v>103</v>
      </c>
      <c r="B323" s="34"/>
      <c r="E323" s="36" t="s">
        <v>1434</v>
      </c>
      <c r="J323" s="35"/>
    </row>
    <row r="324" spans="1:10" ht="28.8" x14ac:dyDescent="0.3">
      <c r="A324" s="27" t="s">
        <v>103</v>
      </c>
      <c r="B324" s="34"/>
      <c r="E324" s="36" t="s">
        <v>1435</v>
      </c>
      <c r="J324" s="35"/>
    </row>
    <row r="325" spans="1:10" ht="28.8" x14ac:dyDescent="0.3">
      <c r="A325" s="27" t="s">
        <v>103</v>
      </c>
      <c r="B325" s="34"/>
      <c r="E325" s="36" t="s">
        <v>1436</v>
      </c>
      <c r="J325" s="35"/>
    </row>
    <row r="326" spans="1:10" ht="28.8" x14ac:dyDescent="0.3">
      <c r="A326" s="27" t="s">
        <v>103</v>
      </c>
      <c r="B326" s="34"/>
      <c r="E326" s="36" t="s">
        <v>1437</v>
      </c>
      <c r="J326" s="35"/>
    </row>
    <row r="327" spans="1:10" ht="28.8" x14ac:dyDescent="0.3">
      <c r="A327" s="27" t="s">
        <v>103</v>
      </c>
      <c r="B327" s="34"/>
      <c r="E327" s="36" t="s">
        <v>1438</v>
      </c>
      <c r="J327" s="35"/>
    </row>
    <row r="328" spans="1:10" ht="28.8" x14ac:dyDescent="0.3">
      <c r="A328" s="27" t="s">
        <v>103</v>
      </c>
      <c r="B328" s="34"/>
      <c r="E328" s="36" t="s">
        <v>1439</v>
      </c>
      <c r="J328" s="35"/>
    </row>
    <row r="329" spans="1:10" ht="28.8" x14ac:dyDescent="0.3">
      <c r="A329" s="27" t="s">
        <v>103</v>
      </c>
      <c r="B329" s="34"/>
      <c r="E329" s="36" t="s">
        <v>1440</v>
      </c>
      <c r="J329" s="35"/>
    </row>
    <row r="330" spans="1:10" ht="28.8" x14ac:dyDescent="0.3">
      <c r="A330" s="27" t="s">
        <v>103</v>
      </c>
      <c r="B330" s="34"/>
      <c r="E330" s="36" t="s">
        <v>1441</v>
      </c>
      <c r="J330" s="35"/>
    </row>
    <row r="331" spans="1:10" ht="28.8" x14ac:dyDescent="0.3">
      <c r="A331" s="27" t="s">
        <v>103</v>
      </c>
      <c r="B331" s="34"/>
      <c r="E331" s="36" t="s">
        <v>1442</v>
      </c>
      <c r="J331" s="35"/>
    </row>
    <row r="332" spans="1:10" ht="28.8" x14ac:dyDescent="0.3">
      <c r="A332" s="27" t="s">
        <v>103</v>
      </c>
      <c r="B332" s="34"/>
      <c r="E332" s="36" t="s">
        <v>1443</v>
      </c>
      <c r="J332" s="35"/>
    </row>
    <row r="333" spans="1:10" ht="28.8" x14ac:dyDescent="0.3">
      <c r="A333" s="27" t="s">
        <v>103</v>
      </c>
      <c r="B333" s="34"/>
      <c r="E333" s="36" t="s">
        <v>1444</v>
      </c>
      <c r="J333" s="35"/>
    </row>
    <row r="334" spans="1:10" ht="28.8" x14ac:dyDescent="0.3">
      <c r="A334" s="27" t="s">
        <v>103</v>
      </c>
      <c r="B334" s="34"/>
      <c r="E334" s="36" t="s">
        <v>1445</v>
      </c>
      <c r="J334" s="35"/>
    </row>
    <row r="335" spans="1:10" ht="28.8" x14ac:dyDescent="0.3">
      <c r="A335" s="27" t="s">
        <v>103</v>
      </c>
      <c r="B335" s="34"/>
      <c r="E335" s="36" t="s">
        <v>1446</v>
      </c>
      <c r="J335" s="35"/>
    </row>
    <row r="336" spans="1:10" ht="28.8" x14ac:dyDescent="0.3">
      <c r="A336" s="27" t="s">
        <v>103</v>
      </c>
      <c r="B336" s="34"/>
      <c r="E336" s="36" t="s">
        <v>1447</v>
      </c>
      <c r="J336" s="35"/>
    </row>
    <row r="337" spans="1:10" ht="28.8" x14ac:dyDescent="0.3">
      <c r="A337" s="27" t="s">
        <v>103</v>
      </c>
      <c r="B337" s="34"/>
      <c r="E337" s="36" t="s">
        <v>1448</v>
      </c>
      <c r="J337" s="35"/>
    </row>
    <row r="338" spans="1:10" ht="28.8" x14ac:dyDescent="0.3">
      <c r="A338" s="27" t="s">
        <v>103</v>
      </c>
      <c r="B338" s="34"/>
      <c r="E338" s="36" t="s">
        <v>1449</v>
      </c>
      <c r="J338" s="35"/>
    </row>
    <row r="339" spans="1:10" x14ac:dyDescent="0.3">
      <c r="A339" s="27" t="s">
        <v>103</v>
      </c>
      <c r="B339" s="34"/>
      <c r="E339" s="36" t="s">
        <v>1450</v>
      </c>
      <c r="J339" s="35"/>
    </row>
    <row r="340" spans="1:10" ht="28.8" x14ac:dyDescent="0.3">
      <c r="A340" s="27" t="s">
        <v>103</v>
      </c>
      <c r="B340" s="34"/>
      <c r="E340" s="36" t="s">
        <v>1328</v>
      </c>
      <c r="J340" s="35"/>
    </row>
    <row r="341" spans="1:10" ht="28.8" x14ac:dyDescent="0.3">
      <c r="A341" s="27" t="s">
        <v>103</v>
      </c>
      <c r="B341" s="34"/>
      <c r="E341" s="36" t="s">
        <v>1329</v>
      </c>
      <c r="J341" s="35"/>
    </row>
    <row r="342" spans="1:10" ht="28.8" x14ac:dyDescent="0.3">
      <c r="A342" s="27" t="s">
        <v>103</v>
      </c>
      <c r="B342" s="34"/>
      <c r="E342" s="36" t="s">
        <v>1330</v>
      </c>
      <c r="J342" s="35"/>
    </row>
    <row r="343" spans="1:10" ht="28.8" x14ac:dyDescent="0.3">
      <c r="A343" s="27" t="s">
        <v>103</v>
      </c>
      <c r="B343" s="34"/>
      <c r="E343" s="36" t="s">
        <v>1331</v>
      </c>
      <c r="J343" s="35"/>
    </row>
    <row r="344" spans="1:10" ht="28.8" x14ac:dyDescent="0.3">
      <c r="A344" s="27" t="s">
        <v>103</v>
      </c>
      <c r="B344" s="34"/>
      <c r="E344" s="36" t="s">
        <v>1332</v>
      </c>
      <c r="J344" s="35"/>
    </row>
    <row r="345" spans="1:10" ht="28.8" x14ac:dyDescent="0.3">
      <c r="A345" s="27" t="s">
        <v>103</v>
      </c>
      <c r="B345" s="34"/>
      <c r="E345" s="36" t="s">
        <v>1333</v>
      </c>
      <c r="J345" s="35"/>
    </row>
    <row r="346" spans="1:10" ht="28.8" x14ac:dyDescent="0.3">
      <c r="A346" s="27" t="s">
        <v>103</v>
      </c>
      <c r="B346" s="34"/>
      <c r="E346" s="36" t="s">
        <v>1334</v>
      </c>
      <c r="J346" s="35"/>
    </row>
    <row r="347" spans="1:10" ht="28.8" x14ac:dyDescent="0.3">
      <c r="A347" s="27" t="s">
        <v>103</v>
      </c>
      <c r="B347" s="34"/>
      <c r="E347" s="36" t="s">
        <v>1335</v>
      </c>
      <c r="J347" s="35"/>
    </row>
    <row r="348" spans="1:10" ht="28.8" x14ac:dyDescent="0.3">
      <c r="A348" s="27" t="s">
        <v>103</v>
      </c>
      <c r="B348" s="34"/>
      <c r="E348" s="36" t="s">
        <v>1336</v>
      </c>
      <c r="J348" s="35"/>
    </row>
    <row r="349" spans="1:10" ht="28.8" x14ac:dyDescent="0.3">
      <c r="A349" s="27" t="s">
        <v>103</v>
      </c>
      <c r="B349" s="34"/>
      <c r="E349" s="36" t="s">
        <v>1337</v>
      </c>
      <c r="J349" s="35"/>
    </row>
    <row r="350" spans="1:10" ht="28.8" x14ac:dyDescent="0.3">
      <c r="A350" s="27" t="s">
        <v>103</v>
      </c>
      <c r="B350" s="34"/>
      <c r="E350" s="36" t="s">
        <v>1338</v>
      </c>
      <c r="J350" s="35"/>
    </row>
    <row r="351" spans="1:10" ht="28.8" x14ac:dyDescent="0.3">
      <c r="A351" s="27" t="s">
        <v>103</v>
      </c>
      <c r="B351" s="34"/>
      <c r="E351" s="36" t="s">
        <v>1339</v>
      </c>
      <c r="J351" s="35"/>
    </row>
    <row r="352" spans="1:10" ht="28.8" x14ac:dyDescent="0.3">
      <c r="A352" s="27" t="s">
        <v>103</v>
      </c>
      <c r="B352" s="34"/>
      <c r="E352" s="36" t="s">
        <v>1340</v>
      </c>
      <c r="J352" s="35"/>
    </row>
    <row r="353" spans="1:10" ht="28.8" x14ac:dyDescent="0.3">
      <c r="A353" s="27" t="s">
        <v>103</v>
      </c>
      <c r="B353" s="34"/>
      <c r="E353" s="36" t="s">
        <v>1341</v>
      </c>
      <c r="J353" s="35"/>
    </row>
    <row r="354" spans="1:10" x14ac:dyDescent="0.3">
      <c r="A354" s="27" t="s">
        <v>103</v>
      </c>
      <c r="B354" s="34"/>
      <c r="E354" s="36" t="s">
        <v>1342</v>
      </c>
      <c r="J354" s="35"/>
    </row>
    <row r="355" spans="1:10" ht="28.8" x14ac:dyDescent="0.3">
      <c r="A355" s="27" t="s">
        <v>103</v>
      </c>
      <c r="B355" s="34"/>
      <c r="E355" s="36" t="s">
        <v>1343</v>
      </c>
      <c r="J355" s="35"/>
    </row>
    <row r="356" spans="1:10" ht="28.8" x14ac:dyDescent="0.3">
      <c r="A356" s="27" t="s">
        <v>103</v>
      </c>
      <c r="B356" s="34"/>
      <c r="E356" s="36" t="s">
        <v>1344</v>
      </c>
      <c r="J356" s="35"/>
    </row>
    <row r="357" spans="1:10" ht="28.8" x14ac:dyDescent="0.3">
      <c r="A357" s="27" t="s">
        <v>103</v>
      </c>
      <c r="B357" s="34"/>
      <c r="E357" s="36" t="s">
        <v>1345</v>
      </c>
      <c r="J357" s="35"/>
    </row>
    <row r="358" spans="1:10" ht="28.8" x14ac:dyDescent="0.3">
      <c r="A358" s="27" t="s">
        <v>103</v>
      </c>
      <c r="B358" s="34"/>
      <c r="E358" s="36" t="s">
        <v>1346</v>
      </c>
      <c r="J358" s="35"/>
    </row>
    <row r="359" spans="1:10" ht="28.8" x14ac:dyDescent="0.3">
      <c r="A359" s="27" t="s">
        <v>103</v>
      </c>
      <c r="B359" s="34"/>
      <c r="E359" s="36" t="s">
        <v>1347</v>
      </c>
      <c r="J359" s="35"/>
    </row>
    <row r="360" spans="1:10" ht="28.8" x14ac:dyDescent="0.3">
      <c r="A360" s="27" t="s">
        <v>103</v>
      </c>
      <c r="B360" s="34"/>
      <c r="E360" s="36" t="s">
        <v>1348</v>
      </c>
      <c r="J360" s="35"/>
    </row>
    <row r="361" spans="1:10" ht="28.8" x14ac:dyDescent="0.3">
      <c r="A361" s="27" t="s">
        <v>103</v>
      </c>
      <c r="B361" s="34"/>
      <c r="E361" s="36" t="s">
        <v>1349</v>
      </c>
      <c r="J361" s="35"/>
    </row>
    <row r="362" spans="1:10" ht="28.8" x14ac:dyDescent="0.3">
      <c r="A362" s="27" t="s">
        <v>103</v>
      </c>
      <c r="B362" s="34"/>
      <c r="E362" s="36" t="s">
        <v>1350</v>
      </c>
      <c r="J362" s="35"/>
    </row>
    <row r="363" spans="1:10" ht="28.8" x14ac:dyDescent="0.3">
      <c r="A363" s="27" t="s">
        <v>103</v>
      </c>
      <c r="B363" s="34"/>
      <c r="E363" s="36" t="s">
        <v>1351</v>
      </c>
      <c r="J363" s="35"/>
    </row>
    <row r="364" spans="1:10" ht="28.8" x14ac:dyDescent="0.3">
      <c r="A364" s="27" t="s">
        <v>103</v>
      </c>
      <c r="B364" s="34"/>
      <c r="E364" s="36" t="s">
        <v>1352</v>
      </c>
      <c r="J364" s="35"/>
    </row>
    <row r="365" spans="1:10" ht="28.8" x14ac:dyDescent="0.3">
      <c r="A365" s="27" t="s">
        <v>103</v>
      </c>
      <c r="B365" s="34"/>
      <c r="E365" s="36" t="s">
        <v>1353</v>
      </c>
      <c r="J365" s="35"/>
    </row>
    <row r="366" spans="1:10" ht="28.8" x14ac:dyDescent="0.3">
      <c r="A366" s="27" t="s">
        <v>103</v>
      </c>
      <c r="B366" s="34"/>
      <c r="E366" s="36" t="s">
        <v>1354</v>
      </c>
      <c r="J366" s="35"/>
    </row>
    <row r="367" spans="1:10" ht="28.8" x14ac:dyDescent="0.3">
      <c r="A367" s="27" t="s">
        <v>103</v>
      </c>
      <c r="B367" s="34"/>
      <c r="E367" s="36" t="s">
        <v>1355</v>
      </c>
      <c r="J367" s="35"/>
    </row>
    <row r="368" spans="1:10" ht="28.8" x14ac:dyDescent="0.3">
      <c r="A368" s="27" t="s">
        <v>103</v>
      </c>
      <c r="B368" s="34"/>
      <c r="E368" s="36" t="s">
        <v>1356</v>
      </c>
      <c r="J368" s="35"/>
    </row>
    <row r="369" spans="1:10" ht="28.8" x14ac:dyDescent="0.3">
      <c r="A369" s="27" t="s">
        <v>103</v>
      </c>
      <c r="B369" s="34"/>
      <c r="E369" s="36" t="s">
        <v>1357</v>
      </c>
      <c r="J369" s="35"/>
    </row>
    <row r="370" spans="1:10" ht="28.8" x14ac:dyDescent="0.3">
      <c r="A370" s="27" t="s">
        <v>103</v>
      </c>
      <c r="B370" s="34"/>
      <c r="E370" s="36" t="s">
        <v>1358</v>
      </c>
      <c r="J370" s="35"/>
    </row>
    <row r="371" spans="1:10" ht="28.8" x14ac:dyDescent="0.3">
      <c r="A371" s="27" t="s">
        <v>103</v>
      </c>
      <c r="B371" s="34"/>
      <c r="E371" s="36" t="s">
        <v>1359</v>
      </c>
      <c r="J371" s="35"/>
    </row>
    <row r="372" spans="1:10" ht="28.8" x14ac:dyDescent="0.3">
      <c r="A372" s="27" t="s">
        <v>103</v>
      </c>
      <c r="B372" s="34"/>
      <c r="E372" s="36" t="s">
        <v>1360</v>
      </c>
      <c r="J372" s="35"/>
    </row>
    <row r="373" spans="1:10" ht="28.8" x14ac:dyDescent="0.3">
      <c r="A373" s="27" t="s">
        <v>103</v>
      </c>
      <c r="B373" s="34"/>
      <c r="E373" s="36" t="s">
        <v>1361</v>
      </c>
      <c r="J373" s="35"/>
    </row>
    <row r="374" spans="1:10" ht="28.8" x14ac:dyDescent="0.3">
      <c r="A374" s="27" t="s">
        <v>103</v>
      </c>
      <c r="B374" s="34"/>
      <c r="E374" s="36" t="s">
        <v>1362</v>
      </c>
      <c r="J374" s="35"/>
    </row>
    <row r="375" spans="1:10" ht="28.8" x14ac:dyDescent="0.3">
      <c r="A375" s="27" t="s">
        <v>103</v>
      </c>
      <c r="B375" s="34"/>
      <c r="E375" s="36" t="s">
        <v>1363</v>
      </c>
      <c r="J375" s="35"/>
    </row>
    <row r="376" spans="1:10" ht="28.8" x14ac:dyDescent="0.3">
      <c r="A376" s="27" t="s">
        <v>103</v>
      </c>
      <c r="B376" s="34"/>
      <c r="E376" s="36" t="s">
        <v>1364</v>
      </c>
      <c r="J376" s="35"/>
    </row>
    <row r="377" spans="1:10" ht="28.8" x14ac:dyDescent="0.3">
      <c r="A377" s="27" t="s">
        <v>103</v>
      </c>
      <c r="B377" s="34"/>
      <c r="E377" s="36" t="s">
        <v>1365</v>
      </c>
      <c r="J377" s="35"/>
    </row>
    <row r="378" spans="1:10" ht="28.8" x14ac:dyDescent="0.3">
      <c r="A378" s="27" t="s">
        <v>103</v>
      </c>
      <c r="B378" s="34"/>
      <c r="E378" s="36" t="s">
        <v>1366</v>
      </c>
      <c r="J378" s="35"/>
    </row>
    <row r="379" spans="1:10" ht="28.8" x14ac:dyDescent="0.3">
      <c r="A379" s="27" t="s">
        <v>103</v>
      </c>
      <c r="B379" s="34"/>
      <c r="E379" s="36" t="s">
        <v>1367</v>
      </c>
      <c r="J379" s="35"/>
    </row>
    <row r="380" spans="1:10" ht="28.8" x14ac:dyDescent="0.3">
      <c r="A380" s="27" t="s">
        <v>103</v>
      </c>
      <c r="B380" s="34"/>
      <c r="E380" s="36" t="s">
        <v>1368</v>
      </c>
      <c r="J380" s="35"/>
    </row>
    <row r="381" spans="1:10" ht="28.8" x14ac:dyDescent="0.3">
      <c r="A381" s="27" t="s">
        <v>103</v>
      </c>
      <c r="B381" s="34"/>
      <c r="E381" s="36" t="s">
        <v>1369</v>
      </c>
      <c r="J381" s="35"/>
    </row>
    <row r="382" spans="1:10" ht="28.8" x14ac:dyDescent="0.3">
      <c r="A382" s="27" t="s">
        <v>103</v>
      </c>
      <c r="B382" s="34"/>
      <c r="E382" s="36" t="s">
        <v>1370</v>
      </c>
      <c r="J382" s="35"/>
    </row>
    <row r="383" spans="1:10" ht="28.8" x14ac:dyDescent="0.3">
      <c r="A383" s="27" t="s">
        <v>103</v>
      </c>
      <c r="B383" s="34"/>
      <c r="E383" s="36" t="s">
        <v>1371</v>
      </c>
      <c r="J383" s="35"/>
    </row>
    <row r="384" spans="1:10" ht="28.8" x14ac:dyDescent="0.3">
      <c r="A384" s="27" t="s">
        <v>103</v>
      </c>
      <c r="B384" s="34"/>
      <c r="E384" s="36" t="s">
        <v>1372</v>
      </c>
      <c r="J384" s="35"/>
    </row>
    <row r="385" spans="1:10" ht="28.8" x14ac:dyDescent="0.3">
      <c r="A385" s="27" t="s">
        <v>103</v>
      </c>
      <c r="B385" s="34"/>
      <c r="E385" s="36" t="s">
        <v>1373</v>
      </c>
      <c r="J385" s="35"/>
    </row>
    <row r="386" spans="1:10" ht="28.8" x14ac:dyDescent="0.3">
      <c r="A386" s="27" t="s">
        <v>103</v>
      </c>
      <c r="B386" s="34"/>
      <c r="E386" s="36" t="s">
        <v>1374</v>
      </c>
      <c r="J386" s="35"/>
    </row>
    <row r="387" spans="1:10" ht="28.8" x14ac:dyDescent="0.3">
      <c r="A387" s="27" t="s">
        <v>103</v>
      </c>
      <c r="B387" s="34"/>
      <c r="E387" s="36" t="s">
        <v>1375</v>
      </c>
      <c r="J387" s="35"/>
    </row>
    <row r="388" spans="1:10" ht="28.8" x14ac:dyDescent="0.3">
      <c r="A388" s="27" t="s">
        <v>103</v>
      </c>
      <c r="B388" s="34"/>
      <c r="E388" s="36" t="s">
        <v>1376</v>
      </c>
      <c r="J388" s="35"/>
    </row>
    <row r="389" spans="1:10" ht="28.8" x14ac:dyDescent="0.3">
      <c r="A389" s="27" t="s">
        <v>103</v>
      </c>
      <c r="B389" s="34"/>
      <c r="E389" s="36" t="s">
        <v>1377</v>
      </c>
      <c r="J389" s="35"/>
    </row>
    <row r="390" spans="1:10" ht="28.8" x14ac:dyDescent="0.3">
      <c r="A390" s="27" t="s">
        <v>103</v>
      </c>
      <c r="B390" s="34"/>
      <c r="E390" s="36" t="s">
        <v>1378</v>
      </c>
      <c r="J390" s="35"/>
    </row>
    <row r="391" spans="1:10" ht="28.8" x14ac:dyDescent="0.3">
      <c r="A391" s="27" t="s">
        <v>103</v>
      </c>
      <c r="B391" s="34"/>
      <c r="E391" s="36" t="s">
        <v>1379</v>
      </c>
      <c r="J391" s="35"/>
    </row>
    <row r="392" spans="1:10" ht="28.8" x14ac:dyDescent="0.3">
      <c r="A392" s="27" t="s">
        <v>103</v>
      </c>
      <c r="B392" s="34"/>
      <c r="E392" s="36" t="s">
        <v>1380</v>
      </c>
      <c r="J392" s="35"/>
    </row>
    <row r="393" spans="1:10" ht="28.8" x14ac:dyDescent="0.3">
      <c r="A393" s="27" t="s">
        <v>103</v>
      </c>
      <c r="B393" s="34"/>
      <c r="E393" s="36" t="s">
        <v>1381</v>
      </c>
      <c r="J393" s="35"/>
    </row>
    <row r="394" spans="1:10" ht="28.8" x14ac:dyDescent="0.3">
      <c r="A394" s="27" t="s">
        <v>103</v>
      </c>
      <c r="B394" s="34"/>
      <c r="E394" s="36" t="s">
        <v>1382</v>
      </c>
      <c r="J394" s="35"/>
    </row>
    <row r="395" spans="1:10" ht="28.8" x14ac:dyDescent="0.3">
      <c r="A395" s="27" t="s">
        <v>103</v>
      </c>
      <c r="B395" s="34"/>
      <c r="E395" s="36" t="s">
        <v>1383</v>
      </c>
      <c r="J395" s="35"/>
    </row>
    <row r="396" spans="1:10" ht="28.8" x14ac:dyDescent="0.3">
      <c r="A396" s="27" t="s">
        <v>103</v>
      </c>
      <c r="B396" s="34"/>
      <c r="E396" s="36" t="s">
        <v>1384</v>
      </c>
      <c r="J396" s="35"/>
    </row>
    <row r="397" spans="1:10" ht="28.8" x14ac:dyDescent="0.3">
      <c r="A397" s="27" t="s">
        <v>103</v>
      </c>
      <c r="B397" s="34"/>
      <c r="E397" s="36" t="s">
        <v>1385</v>
      </c>
      <c r="J397" s="35"/>
    </row>
    <row r="398" spans="1:10" ht="28.8" x14ac:dyDescent="0.3">
      <c r="A398" s="27" t="s">
        <v>103</v>
      </c>
      <c r="B398" s="34"/>
      <c r="E398" s="36" t="s">
        <v>1386</v>
      </c>
      <c r="J398" s="35"/>
    </row>
    <row r="399" spans="1:10" ht="28.8" x14ac:dyDescent="0.3">
      <c r="A399" s="27" t="s">
        <v>103</v>
      </c>
      <c r="B399" s="34"/>
      <c r="E399" s="36" t="s">
        <v>1387</v>
      </c>
      <c r="J399" s="35"/>
    </row>
    <row r="400" spans="1:10" ht="28.8" x14ac:dyDescent="0.3">
      <c r="A400" s="27" t="s">
        <v>103</v>
      </c>
      <c r="B400" s="34"/>
      <c r="E400" s="36" t="s">
        <v>1388</v>
      </c>
      <c r="J400" s="35"/>
    </row>
    <row r="401" spans="1:10" x14ac:dyDescent="0.3">
      <c r="A401" s="27" t="s">
        <v>103</v>
      </c>
      <c r="B401" s="34"/>
      <c r="E401" s="36" t="s">
        <v>1389</v>
      </c>
      <c r="J401" s="35"/>
    </row>
    <row r="402" spans="1:10" ht="28.8" x14ac:dyDescent="0.3">
      <c r="A402" s="27" t="s">
        <v>103</v>
      </c>
      <c r="B402" s="34"/>
      <c r="E402" s="36" t="s">
        <v>1390</v>
      </c>
      <c r="J402" s="35"/>
    </row>
    <row r="403" spans="1:10" ht="28.8" x14ac:dyDescent="0.3">
      <c r="A403" s="27" t="s">
        <v>103</v>
      </c>
      <c r="B403" s="34"/>
      <c r="E403" s="36" t="s">
        <v>1391</v>
      </c>
      <c r="J403" s="35"/>
    </row>
    <row r="404" spans="1:10" ht="28.8" x14ac:dyDescent="0.3">
      <c r="A404" s="27" t="s">
        <v>103</v>
      </c>
      <c r="B404" s="34"/>
      <c r="E404" s="36" t="s">
        <v>1392</v>
      </c>
      <c r="J404" s="35"/>
    </row>
    <row r="405" spans="1:10" ht="28.8" x14ac:dyDescent="0.3">
      <c r="A405" s="27" t="s">
        <v>103</v>
      </c>
      <c r="B405" s="34"/>
      <c r="E405" s="36" t="s">
        <v>1393</v>
      </c>
      <c r="J405" s="35"/>
    </row>
    <row r="406" spans="1:10" ht="28.8" x14ac:dyDescent="0.3">
      <c r="A406" s="27" t="s">
        <v>103</v>
      </c>
      <c r="B406" s="34"/>
      <c r="E406" s="36" t="s">
        <v>1394</v>
      </c>
      <c r="J406" s="35"/>
    </row>
    <row r="407" spans="1:10" ht="28.8" x14ac:dyDescent="0.3">
      <c r="A407" s="27" t="s">
        <v>103</v>
      </c>
      <c r="B407" s="34"/>
      <c r="E407" s="36" t="s">
        <v>1395</v>
      </c>
      <c r="J407" s="35"/>
    </row>
    <row r="408" spans="1:10" ht="28.8" x14ac:dyDescent="0.3">
      <c r="A408" s="27" t="s">
        <v>103</v>
      </c>
      <c r="B408" s="34"/>
      <c r="E408" s="36" t="s">
        <v>1396</v>
      </c>
      <c r="J408" s="35"/>
    </row>
    <row r="409" spans="1:10" ht="28.8" x14ac:dyDescent="0.3">
      <c r="A409" s="27" t="s">
        <v>103</v>
      </c>
      <c r="B409" s="34"/>
      <c r="E409" s="36" t="s">
        <v>1397</v>
      </c>
      <c r="J409" s="35"/>
    </row>
    <row r="410" spans="1:10" ht="28.8" x14ac:dyDescent="0.3">
      <c r="A410" s="27" t="s">
        <v>103</v>
      </c>
      <c r="B410" s="34"/>
      <c r="E410" s="36" t="s">
        <v>1398</v>
      </c>
      <c r="J410" s="35"/>
    </row>
    <row r="411" spans="1:10" ht="28.8" x14ac:dyDescent="0.3">
      <c r="A411" s="27" t="s">
        <v>103</v>
      </c>
      <c r="B411" s="34"/>
      <c r="E411" s="36" t="s">
        <v>1399</v>
      </c>
      <c r="J411" s="35"/>
    </row>
    <row r="412" spans="1:10" ht="28.8" x14ac:dyDescent="0.3">
      <c r="A412" s="27" t="s">
        <v>103</v>
      </c>
      <c r="B412" s="34"/>
      <c r="E412" s="36" t="s">
        <v>1400</v>
      </c>
      <c r="J412" s="35"/>
    </row>
    <row r="413" spans="1:10" ht="28.8" x14ac:dyDescent="0.3">
      <c r="A413" s="27" t="s">
        <v>103</v>
      </c>
      <c r="B413" s="34"/>
      <c r="E413" s="36" t="s">
        <v>1401</v>
      </c>
      <c r="J413" s="35"/>
    </row>
    <row r="414" spans="1:10" ht="28.8" x14ac:dyDescent="0.3">
      <c r="A414" s="27" t="s">
        <v>103</v>
      </c>
      <c r="B414" s="34"/>
      <c r="E414" s="36" t="s">
        <v>1402</v>
      </c>
      <c r="J414" s="35"/>
    </row>
    <row r="415" spans="1:10" ht="28.8" x14ac:dyDescent="0.3">
      <c r="A415" s="27" t="s">
        <v>103</v>
      </c>
      <c r="B415" s="34"/>
      <c r="E415" s="36" t="s">
        <v>1403</v>
      </c>
      <c r="J415" s="35"/>
    </row>
    <row r="416" spans="1:10" ht="28.8" x14ac:dyDescent="0.3">
      <c r="A416" s="27" t="s">
        <v>103</v>
      </c>
      <c r="B416" s="34"/>
      <c r="E416" s="36" t="s">
        <v>1404</v>
      </c>
      <c r="J416" s="35"/>
    </row>
    <row r="417" spans="1:16" ht="28.8" x14ac:dyDescent="0.3">
      <c r="A417" s="27" t="s">
        <v>103</v>
      </c>
      <c r="B417" s="34"/>
      <c r="E417" s="36" t="s">
        <v>1405</v>
      </c>
      <c r="J417" s="35"/>
    </row>
    <row r="418" spans="1:16" ht="28.8" x14ac:dyDescent="0.3">
      <c r="A418" s="27" t="s">
        <v>103</v>
      </c>
      <c r="B418" s="34"/>
      <c r="E418" s="36" t="s">
        <v>1406</v>
      </c>
      <c r="J418" s="35"/>
    </row>
    <row r="419" spans="1:16" ht="28.8" x14ac:dyDescent="0.3">
      <c r="A419" s="27" t="s">
        <v>103</v>
      </c>
      <c r="B419" s="34"/>
      <c r="E419" s="36" t="s">
        <v>1407</v>
      </c>
      <c r="J419" s="35"/>
    </row>
    <row r="420" spans="1:16" ht="28.8" x14ac:dyDescent="0.3">
      <c r="A420" s="27" t="s">
        <v>103</v>
      </c>
      <c r="B420" s="34"/>
      <c r="E420" s="36" t="s">
        <v>1408</v>
      </c>
      <c r="J420" s="35"/>
    </row>
    <row r="421" spans="1:16" ht="28.8" x14ac:dyDescent="0.3">
      <c r="A421" s="27" t="s">
        <v>103</v>
      </c>
      <c r="B421" s="34"/>
      <c r="E421" s="36" t="s">
        <v>1409</v>
      </c>
      <c r="J421" s="35"/>
    </row>
    <row r="422" spans="1:16" ht="28.8" x14ac:dyDescent="0.3">
      <c r="A422" s="27" t="s">
        <v>103</v>
      </c>
      <c r="B422" s="34"/>
      <c r="E422" s="36" t="s">
        <v>1410</v>
      </c>
      <c r="J422" s="35"/>
    </row>
    <row r="423" spans="1:16" ht="28.8" x14ac:dyDescent="0.3">
      <c r="A423" s="27" t="s">
        <v>103</v>
      </c>
      <c r="B423" s="34"/>
      <c r="E423" s="36" t="s">
        <v>1411</v>
      </c>
      <c r="J423" s="35"/>
    </row>
    <row r="424" spans="1:16" ht="28.8" x14ac:dyDescent="0.3">
      <c r="A424" s="27" t="s">
        <v>103</v>
      </c>
      <c r="B424" s="34"/>
      <c r="E424" s="36" t="s">
        <v>1412</v>
      </c>
      <c r="J424" s="35"/>
    </row>
    <row r="425" spans="1:16" ht="28.8" x14ac:dyDescent="0.3">
      <c r="A425" s="27" t="s">
        <v>103</v>
      </c>
      <c r="B425" s="34"/>
      <c r="E425" s="36" t="s">
        <v>1413</v>
      </c>
      <c r="J425" s="35"/>
    </row>
    <row r="426" spans="1:16" ht="28.8" x14ac:dyDescent="0.3">
      <c r="A426" s="27" t="s">
        <v>103</v>
      </c>
      <c r="B426" s="34"/>
      <c r="E426" s="36" t="s">
        <v>1414</v>
      </c>
      <c r="J426" s="35"/>
    </row>
    <row r="427" spans="1:16" ht="28.8" x14ac:dyDescent="0.3">
      <c r="A427" s="27" t="s">
        <v>103</v>
      </c>
      <c r="B427" s="34"/>
      <c r="E427" s="36" t="s">
        <v>1415</v>
      </c>
      <c r="J427" s="35"/>
    </row>
    <row r="428" spans="1:16" ht="28.8" x14ac:dyDescent="0.3">
      <c r="A428" s="27" t="s">
        <v>103</v>
      </c>
      <c r="B428" s="34"/>
      <c r="E428" s="36" t="s">
        <v>1416</v>
      </c>
      <c r="J428" s="35"/>
    </row>
    <row r="429" spans="1:16" x14ac:dyDescent="0.3">
      <c r="A429" s="27" t="s">
        <v>103</v>
      </c>
      <c r="B429" s="34"/>
      <c r="E429" s="36" t="s">
        <v>1417</v>
      </c>
      <c r="J429" s="35"/>
    </row>
    <row r="430" spans="1:16" ht="316.8" x14ac:dyDescent="0.3">
      <c r="A430" s="27" t="s">
        <v>105</v>
      </c>
      <c r="B430" s="34"/>
      <c r="E430" s="29" t="s">
        <v>1591</v>
      </c>
      <c r="J430" s="35"/>
    </row>
    <row r="431" spans="1:16" x14ac:dyDescent="0.3">
      <c r="A431" s="27" t="s">
        <v>95</v>
      </c>
      <c r="B431" s="27">
        <v>5</v>
      </c>
      <c r="C431" s="28" t="s">
        <v>1592</v>
      </c>
      <c r="D431" s="27" t="s">
        <v>129</v>
      </c>
      <c r="E431" s="29" t="s">
        <v>1593</v>
      </c>
      <c r="F431" s="30" t="s">
        <v>229</v>
      </c>
      <c r="G431" s="31">
        <v>7743.6930000000002</v>
      </c>
      <c r="H431" s="32">
        <v>0</v>
      </c>
      <c r="I431" s="32">
        <f>ROUND(2375.272*H431,P4)+ROUND(5368.421*H431,P4)</f>
        <v>0</v>
      </c>
      <c r="J431" s="30" t="s">
        <v>118</v>
      </c>
      <c r="O431" s="33">
        <f>I431*0.21</f>
        <v>0</v>
      </c>
      <c r="P431">
        <v>3</v>
      </c>
    </row>
    <row r="432" spans="1:16" ht="172.8" x14ac:dyDescent="0.3">
      <c r="A432" s="27" t="s">
        <v>101</v>
      </c>
      <c r="B432" s="34"/>
      <c r="E432" s="29" t="s">
        <v>1594</v>
      </c>
      <c r="J432" s="35"/>
    </row>
    <row r="433" spans="1:10" ht="28.8" x14ac:dyDescent="0.3">
      <c r="A433" s="27" t="s">
        <v>103</v>
      </c>
      <c r="B433" s="34"/>
      <c r="E433" s="36" t="s">
        <v>1595</v>
      </c>
      <c r="J433" s="35"/>
    </row>
    <row r="434" spans="1:10" ht="28.8" x14ac:dyDescent="0.3">
      <c r="A434" s="27" t="s">
        <v>103</v>
      </c>
      <c r="B434" s="34"/>
      <c r="E434" s="36" t="s">
        <v>1596</v>
      </c>
      <c r="J434" s="35"/>
    </row>
    <row r="435" spans="1:10" ht="28.8" x14ac:dyDescent="0.3">
      <c r="A435" s="27" t="s">
        <v>103</v>
      </c>
      <c r="B435" s="34"/>
      <c r="E435" s="36" t="s">
        <v>1597</v>
      </c>
      <c r="J435" s="35"/>
    </row>
    <row r="436" spans="1:10" ht="28.8" x14ac:dyDescent="0.3">
      <c r="A436" s="27" t="s">
        <v>103</v>
      </c>
      <c r="B436" s="34"/>
      <c r="E436" s="36" t="s">
        <v>1598</v>
      </c>
      <c r="J436" s="35"/>
    </row>
    <row r="437" spans="1:10" ht="28.8" x14ac:dyDescent="0.3">
      <c r="A437" s="27" t="s">
        <v>103</v>
      </c>
      <c r="B437" s="34"/>
      <c r="E437" s="36" t="s">
        <v>1599</v>
      </c>
      <c r="J437" s="35"/>
    </row>
    <row r="438" spans="1:10" ht="28.8" x14ac:dyDescent="0.3">
      <c r="A438" s="27" t="s">
        <v>103</v>
      </c>
      <c r="B438" s="34"/>
      <c r="E438" s="36" t="s">
        <v>1600</v>
      </c>
      <c r="J438" s="35"/>
    </row>
    <row r="439" spans="1:10" ht="28.8" x14ac:dyDescent="0.3">
      <c r="A439" s="27" t="s">
        <v>103</v>
      </c>
      <c r="B439" s="34"/>
      <c r="E439" s="36" t="s">
        <v>1601</v>
      </c>
      <c r="J439" s="35"/>
    </row>
    <row r="440" spans="1:10" ht="28.8" x14ac:dyDescent="0.3">
      <c r="A440" s="27" t="s">
        <v>103</v>
      </c>
      <c r="B440" s="34"/>
      <c r="E440" s="36" t="s">
        <v>1602</v>
      </c>
      <c r="J440" s="35"/>
    </row>
    <row r="441" spans="1:10" ht="28.8" x14ac:dyDescent="0.3">
      <c r="A441" s="27" t="s">
        <v>103</v>
      </c>
      <c r="B441" s="34"/>
      <c r="E441" s="36" t="s">
        <v>1603</v>
      </c>
      <c r="J441" s="35"/>
    </row>
    <row r="442" spans="1:10" ht="28.8" x14ac:dyDescent="0.3">
      <c r="A442" s="27" t="s">
        <v>103</v>
      </c>
      <c r="B442" s="34"/>
      <c r="E442" s="36" t="s">
        <v>1604</v>
      </c>
      <c r="J442" s="35"/>
    </row>
    <row r="443" spans="1:10" ht="28.8" x14ac:dyDescent="0.3">
      <c r="A443" s="27" t="s">
        <v>103</v>
      </c>
      <c r="B443" s="34"/>
      <c r="E443" s="36" t="s">
        <v>1605</v>
      </c>
      <c r="J443" s="35"/>
    </row>
    <row r="444" spans="1:10" ht="28.8" x14ac:dyDescent="0.3">
      <c r="A444" s="27" t="s">
        <v>103</v>
      </c>
      <c r="B444" s="34"/>
      <c r="E444" s="36" t="s">
        <v>1606</v>
      </c>
      <c r="J444" s="35"/>
    </row>
    <row r="445" spans="1:10" ht="28.8" x14ac:dyDescent="0.3">
      <c r="A445" s="27" t="s">
        <v>103</v>
      </c>
      <c r="B445" s="34"/>
      <c r="E445" s="36" t="s">
        <v>1607</v>
      </c>
      <c r="J445" s="35"/>
    </row>
    <row r="446" spans="1:10" ht="28.8" x14ac:dyDescent="0.3">
      <c r="A446" s="27" t="s">
        <v>103</v>
      </c>
      <c r="B446" s="34"/>
      <c r="E446" s="36" t="s">
        <v>1608</v>
      </c>
      <c r="J446" s="35"/>
    </row>
    <row r="447" spans="1:10" ht="28.8" x14ac:dyDescent="0.3">
      <c r="A447" s="27" t="s">
        <v>103</v>
      </c>
      <c r="B447" s="34"/>
      <c r="E447" s="36" t="s">
        <v>1609</v>
      </c>
      <c r="J447" s="35"/>
    </row>
    <row r="448" spans="1:10" ht="28.8" x14ac:dyDescent="0.3">
      <c r="A448" s="27" t="s">
        <v>103</v>
      </c>
      <c r="B448" s="34"/>
      <c r="E448" s="36" t="s">
        <v>1610</v>
      </c>
      <c r="J448" s="35"/>
    </row>
    <row r="449" spans="1:10" ht="28.8" x14ac:dyDescent="0.3">
      <c r="A449" s="27" t="s">
        <v>103</v>
      </c>
      <c r="B449" s="34"/>
      <c r="E449" s="36" t="s">
        <v>1611</v>
      </c>
      <c r="J449" s="35"/>
    </row>
    <row r="450" spans="1:10" ht="28.8" x14ac:dyDescent="0.3">
      <c r="A450" s="27" t="s">
        <v>103</v>
      </c>
      <c r="B450" s="34"/>
      <c r="E450" s="36" t="s">
        <v>1612</v>
      </c>
      <c r="J450" s="35"/>
    </row>
    <row r="451" spans="1:10" ht="28.8" x14ac:dyDescent="0.3">
      <c r="A451" s="27" t="s">
        <v>103</v>
      </c>
      <c r="B451" s="34"/>
      <c r="E451" s="36" t="s">
        <v>1613</v>
      </c>
      <c r="J451" s="35"/>
    </row>
    <row r="452" spans="1:10" ht="28.8" x14ac:dyDescent="0.3">
      <c r="A452" s="27" t="s">
        <v>103</v>
      </c>
      <c r="B452" s="34"/>
      <c r="E452" s="36" t="s">
        <v>1614</v>
      </c>
      <c r="J452" s="35"/>
    </row>
    <row r="453" spans="1:10" ht="28.8" x14ac:dyDescent="0.3">
      <c r="A453" s="27" t="s">
        <v>103</v>
      </c>
      <c r="B453" s="34"/>
      <c r="E453" s="36" t="s">
        <v>1615</v>
      </c>
      <c r="J453" s="35"/>
    </row>
    <row r="454" spans="1:10" ht="28.8" x14ac:dyDescent="0.3">
      <c r="A454" s="27" t="s">
        <v>103</v>
      </c>
      <c r="B454" s="34"/>
      <c r="E454" s="36" t="s">
        <v>1616</v>
      </c>
      <c r="J454" s="35"/>
    </row>
    <row r="455" spans="1:10" ht="28.8" x14ac:dyDescent="0.3">
      <c r="A455" s="27" t="s">
        <v>103</v>
      </c>
      <c r="B455" s="34"/>
      <c r="E455" s="36" t="s">
        <v>1617</v>
      </c>
      <c r="J455" s="35"/>
    </row>
    <row r="456" spans="1:10" ht="28.8" x14ac:dyDescent="0.3">
      <c r="A456" s="27" t="s">
        <v>103</v>
      </c>
      <c r="B456" s="34"/>
      <c r="E456" s="36" t="s">
        <v>1618</v>
      </c>
      <c r="J456" s="35"/>
    </row>
    <row r="457" spans="1:10" ht="28.8" x14ac:dyDescent="0.3">
      <c r="A457" s="27" t="s">
        <v>103</v>
      </c>
      <c r="B457" s="34"/>
      <c r="E457" s="36" t="s">
        <v>1619</v>
      </c>
      <c r="J457" s="35"/>
    </row>
    <row r="458" spans="1:10" ht="28.8" x14ac:dyDescent="0.3">
      <c r="A458" s="27" t="s">
        <v>103</v>
      </c>
      <c r="B458" s="34"/>
      <c r="E458" s="36" t="s">
        <v>1620</v>
      </c>
      <c r="J458" s="35"/>
    </row>
    <row r="459" spans="1:10" ht="28.8" x14ac:dyDescent="0.3">
      <c r="A459" s="27" t="s">
        <v>103</v>
      </c>
      <c r="B459" s="34"/>
      <c r="E459" s="36" t="s">
        <v>1621</v>
      </c>
      <c r="J459" s="35"/>
    </row>
    <row r="460" spans="1:10" ht="28.8" x14ac:dyDescent="0.3">
      <c r="A460" s="27" t="s">
        <v>103</v>
      </c>
      <c r="B460" s="34"/>
      <c r="E460" s="36" t="s">
        <v>1622</v>
      </c>
      <c r="J460" s="35"/>
    </row>
    <row r="461" spans="1:10" ht="28.8" x14ac:dyDescent="0.3">
      <c r="A461" s="27" t="s">
        <v>103</v>
      </c>
      <c r="B461" s="34"/>
      <c r="E461" s="36" t="s">
        <v>1623</v>
      </c>
      <c r="J461" s="35"/>
    </row>
    <row r="462" spans="1:10" ht="28.8" x14ac:dyDescent="0.3">
      <c r="A462" s="27" t="s">
        <v>103</v>
      </c>
      <c r="B462" s="34"/>
      <c r="E462" s="36" t="s">
        <v>1624</v>
      </c>
      <c r="J462" s="35"/>
    </row>
    <row r="463" spans="1:10" ht="28.8" x14ac:dyDescent="0.3">
      <c r="A463" s="27" t="s">
        <v>103</v>
      </c>
      <c r="B463" s="34"/>
      <c r="E463" s="36" t="s">
        <v>1625</v>
      </c>
      <c r="J463" s="35"/>
    </row>
    <row r="464" spans="1:10" x14ac:dyDescent="0.3">
      <c r="A464" s="27" t="s">
        <v>103</v>
      </c>
      <c r="B464" s="34"/>
      <c r="E464" s="36" t="s">
        <v>1626</v>
      </c>
      <c r="J464" s="35"/>
    </row>
    <row r="465" spans="1:16" ht="28.8" x14ac:dyDescent="0.3">
      <c r="A465" s="27" t="s">
        <v>103</v>
      </c>
      <c r="B465" s="34"/>
      <c r="E465" s="36" t="s">
        <v>1627</v>
      </c>
      <c r="J465" s="35"/>
    </row>
    <row r="466" spans="1:16" ht="28.8" x14ac:dyDescent="0.3">
      <c r="A466" s="27" t="s">
        <v>103</v>
      </c>
      <c r="B466" s="34"/>
      <c r="E466" s="36" t="s">
        <v>1628</v>
      </c>
      <c r="J466" s="35"/>
    </row>
    <row r="467" spans="1:16" ht="28.8" x14ac:dyDescent="0.3">
      <c r="A467" s="27" t="s">
        <v>103</v>
      </c>
      <c r="B467" s="34"/>
      <c r="E467" s="36" t="s">
        <v>1629</v>
      </c>
      <c r="J467" s="35"/>
    </row>
    <row r="468" spans="1:16" ht="28.8" x14ac:dyDescent="0.3">
      <c r="A468" s="27" t="s">
        <v>103</v>
      </c>
      <c r="B468" s="34"/>
      <c r="E468" s="36" t="s">
        <v>1630</v>
      </c>
      <c r="J468" s="35"/>
    </row>
    <row r="469" spans="1:16" ht="28.8" x14ac:dyDescent="0.3">
      <c r="A469" s="27" t="s">
        <v>103</v>
      </c>
      <c r="B469" s="34"/>
      <c r="E469" s="36" t="s">
        <v>1631</v>
      </c>
      <c r="J469" s="35"/>
    </row>
    <row r="470" spans="1:16" ht="28.8" x14ac:dyDescent="0.3">
      <c r="A470" s="27" t="s">
        <v>103</v>
      </c>
      <c r="B470" s="34"/>
      <c r="E470" s="36" t="s">
        <v>1632</v>
      </c>
      <c r="J470" s="35"/>
    </row>
    <row r="471" spans="1:16" x14ac:dyDescent="0.3">
      <c r="A471" s="27" t="s">
        <v>103</v>
      </c>
      <c r="B471" s="34"/>
      <c r="E471" s="36" t="s">
        <v>1633</v>
      </c>
      <c r="J471" s="35"/>
    </row>
    <row r="472" spans="1:16" ht="316.8" x14ac:dyDescent="0.3">
      <c r="A472" s="27" t="s">
        <v>105</v>
      </c>
      <c r="B472" s="34"/>
      <c r="E472" s="29" t="s">
        <v>1591</v>
      </c>
      <c r="J472" s="35"/>
    </row>
    <row r="473" spans="1:16" x14ac:dyDescent="0.3">
      <c r="A473" s="27" t="s">
        <v>95</v>
      </c>
      <c r="B473" s="27">
        <v>6</v>
      </c>
      <c r="C473" s="28" t="s">
        <v>476</v>
      </c>
      <c r="D473" s="27" t="s">
        <v>129</v>
      </c>
      <c r="E473" s="29" t="s">
        <v>477</v>
      </c>
      <c r="F473" s="30" t="s">
        <v>229</v>
      </c>
      <c r="G473" s="31">
        <v>10717.319</v>
      </c>
      <c r="H473" s="32">
        <v>0</v>
      </c>
      <c r="I473" s="32">
        <f>ROUND(1932.579*H473,P4)+ROUND(8784.74*H473,P4)</f>
        <v>0</v>
      </c>
      <c r="J473" s="30" t="s">
        <v>118</v>
      </c>
      <c r="O473" s="33">
        <f>I473*0.21</f>
        <v>0</v>
      </c>
      <c r="P473">
        <v>3</v>
      </c>
    </row>
    <row r="474" spans="1:16" ht="115.2" x14ac:dyDescent="0.3">
      <c r="A474" s="27" t="s">
        <v>101</v>
      </c>
      <c r="B474" s="34"/>
      <c r="E474" s="29" t="s">
        <v>1299</v>
      </c>
      <c r="J474" s="35"/>
    </row>
    <row r="475" spans="1:16" ht="28.8" x14ac:dyDescent="0.3">
      <c r="A475" s="27" t="s">
        <v>103</v>
      </c>
      <c r="B475" s="34"/>
      <c r="E475" s="36" t="s">
        <v>1300</v>
      </c>
      <c r="J475" s="35"/>
    </row>
    <row r="476" spans="1:16" ht="28.8" x14ac:dyDescent="0.3">
      <c r="A476" s="27" t="s">
        <v>103</v>
      </c>
      <c r="B476" s="34"/>
      <c r="E476" s="36" t="s">
        <v>1301</v>
      </c>
      <c r="J476" s="35"/>
    </row>
    <row r="477" spans="1:16" ht="28.8" x14ac:dyDescent="0.3">
      <c r="A477" s="27" t="s">
        <v>103</v>
      </c>
      <c r="B477" s="34"/>
      <c r="E477" s="36" t="s">
        <v>1302</v>
      </c>
      <c r="J477" s="35"/>
    </row>
    <row r="478" spans="1:16" ht="28.8" x14ac:dyDescent="0.3">
      <c r="A478" s="27" t="s">
        <v>103</v>
      </c>
      <c r="B478" s="34"/>
      <c r="E478" s="36" t="s">
        <v>1303</v>
      </c>
      <c r="J478" s="35"/>
    </row>
    <row r="479" spans="1:16" ht="28.8" x14ac:dyDescent="0.3">
      <c r="A479" s="27" t="s">
        <v>103</v>
      </c>
      <c r="B479" s="34"/>
      <c r="E479" s="36" t="s">
        <v>1304</v>
      </c>
      <c r="J479" s="35"/>
    </row>
    <row r="480" spans="1:16" x14ac:dyDescent="0.3">
      <c r="A480" s="27" t="s">
        <v>103</v>
      </c>
      <c r="B480" s="34"/>
      <c r="E480" s="36" t="s">
        <v>1305</v>
      </c>
      <c r="J480" s="35"/>
    </row>
    <row r="481" spans="1:10" ht="28.8" x14ac:dyDescent="0.3">
      <c r="A481" s="27" t="s">
        <v>103</v>
      </c>
      <c r="B481" s="34"/>
      <c r="E481" s="36" t="s">
        <v>1306</v>
      </c>
      <c r="J481" s="35"/>
    </row>
    <row r="482" spans="1:10" ht="28.8" x14ac:dyDescent="0.3">
      <c r="A482" s="27" t="s">
        <v>103</v>
      </c>
      <c r="B482" s="34"/>
      <c r="E482" s="36" t="s">
        <v>1307</v>
      </c>
      <c r="J482" s="35"/>
    </row>
    <row r="483" spans="1:10" ht="28.8" x14ac:dyDescent="0.3">
      <c r="A483" s="27" t="s">
        <v>103</v>
      </c>
      <c r="B483" s="34"/>
      <c r="E483" s="36" t="s">
        <v>1308</v>
      </c>
      <c r="J483" s="35"/>
    </row>
    <row r="484" spans="1:10" x14ac:dyDescent="0.3">
      <c r="A484" s="27" t="s">
        <v>103</v>
      </c>
      <c r="B484" s="34"/>
      <c r="E484" s="36" t="s">
        <v>1309</v>
      </c>
      <c r="J484" s="35"/>
    </row>
    <row r="485" spans="1:10" ht="28.8" x14ac:dyDescent="0.3">
      <c r="A485" s="27" t="s">
        <v>103</v>
      </c>
      <c r="B485" s="34"/>
      <c r="E485" s="36" t="s">
        <v>1310</v>
      </c>
      <c r="J485" s="35"/>
    </row>
    <row r="486" spans="1:10" ht="28.8" x14ac:dyDescent="0.3">
      <c r="A486" s="27" t="s">
        <v>103</v>
      </c>
      <c r="B486" s="34"/>
      <c r="E486" s="36" t="s">
        <v>1311</v>
      </c>
      <c r="J486" s="35"/>
    </row>
    <row r="487" spans="1:10" x14ac:dyDescent="0.3">
      <c r="A487" s="27" t="s">
        <v>103</v>
      </c>
      <c r="B487" s="34"/>
      <c r="E487" s="36" t="s">
        <v>1312</v>
      </c>
      <c r="J487" s="35"/>
    </row>
    <row r="488" spans="1:10" ht="28.8" x14ac:dyDescent="0.3">
      <c r="A488" s="27" t="s">
        <v>103</v>
      </c>
      <c r="B488" s="34"/>
      <c r="E488" s="36" t="s">
        <v>1313</v>
      </c>
      <c r="J488" s="35"/>
    </row>
    <row r="489" spans="1:10" ht="28.8" x14ac:dyDescent="0.3">
      <c r="A489" s="27" t="s">
        <v>103</v>
      </c>
      <c r="B489" s="34"/>
      <c r="E489" s="36" t="s">
        <v>1314</v>
      </c>
      <c r="J489" s="35"/>
    </row>
    <row r="490" spans="1:10" ht="28.8" x14ac:dyDescent="0.3">
      <c r="A490" s="27" t="s">
        <v>103</v>
      </c>
      <c r="B490" s="34"/>
      <c r="E490" s="36" t="s">
        <v>1315</v>
      </c>
      <c r="J490" s="35"/>
    </row>
    <row r="491" spans="1:10" ht="28.8" x14ac:dyDescent="0.3">
      <c r="A491" s="27" t="s">
        <v>103</v>
      </c>
      <c r="B491" s="34"/>
      <c r="E491" s="36" t="s">
        <v>1316</v>
      </c>
      <c r="J491" s="35"/>
    </row>
    <row r="492" spans="1:10" ht="28.8" x14ac:dyDescent="0.3">
      <c r="A492" s="27" t="s">
        <v>103</v>
      </c>
      <c r="B492" s="34"/>
      <c r="E492" s="36" t="s">
        <v>1317</v>
      </c>
      <c r="J492" s="35"/>
    </row>
    <row r="493" spans="1:10" ht="28.8" x14ac:dyDescent="0.3">
      <c r="A493" s="27" t="s">
        <v>103</v>
      </c>
      <c r="B493" s="34"/>
      <c r="E493" s="36" t="s">
        <v>1318</v>
      </c>
      <c r="J493" s="35"/>
    </row>
    <row r="494" spans="1:10" ht="28.8" x14ac:dyDescent="0.3">
      <c r="A494" s="27" t="s">
        <v>103</v>
      </c>
      <c r="B494" s="34"/>
      <c r="E494" s="36" t="s">
        <v>1319</v>
      </c>
      <c r="J494" s="35"/>
    </row>
    <row r="495" spans="1:10" x14ac:dyDescent="0.3">
      <c r="A495" s="27" t="s">
        <v>103</v>
      </c>
      <c r="B495" s="34"/>
      <c r="E495" s="36" t="s">
        <v>1320</v>
      </c>
      <c r="J495" s="35"/>
    </row>
    <row r="496" spans="1:10" ht="28.8" x14ac:dyDescent="0.3">
      <c r="A496" s="27" t="s">
        <v>103</v>
      </c>
      <c r="B496" s="34"/>
      <c r="E496" s="36" t="s">
        <v>1321</v>
      </c>
      <c r="J496" s="35"/>
    </row>
    <row r="497" spans="1:16" ht="28.8" x14ac:dyDescent="0.3">
      <c r="A497" s="27" t="s">
        <v>103</v>
      </c>
      <c r="B497" s="34"/>
      <c r="E497" s="36" t="s">
        <v>1322</v>
      </c>
      <c r="J497" s="35"/>
    </row>
    <row r="498" spans="1:16" ht="28.8" x14ac:dyDescent="0.3">
      <c r="A498" s="27" t="s">
        <v>103</v>
      </c>
      <c r="B498" s="34"/>
      <c r="E498" s="36" t="s">
        <v>1323</v>
      </c>
      <c r="J498" s="35"/>
    </row>
    <row r="499" spans="1:16" ht="28.8" x14ac:dyDescent="0.3">
      <c r="A499" s="27" t="s">
        <v>103</v>
      </c>
      <c r="B499" s="34"/>
      <c r="E499" s="36" t="s">
        <v>1324</v>
      </c>
      <c r="J499" s="35"/>
    </row>
    <row r="500" spans="1:16" ht="28.8" x14ac:dyDescent="0.3">
      <c r="A500" s="27" t="s">
        <v>103</v>
      </c>
      <c r="B500" s="34"/>
      <c r="E500" s="36" t="s">
        <v>1325</v>
      </c>
      <c r="J500" s="35"/>
    </row>
    <row r="501" spans="1:16" x14ac:dyDescent="0.3">
      <c r="A501" s="27" t="s">
        <v>103</v>
      </c>
      <c r="B501" s="34"/>
      <c r="E501" s="36" t="s">
        <v>1326</v>
      </c>
      <c r="J501" s="35"/>
    </row>
    <row r="502" spans="1:16" ht="216" x14ac:dyDescent="0.3">
      <c r="A502" s="27" t="s">
        <v>105</v>
      </c>
      <c r="B502" s="34"/>
      <c r="E502" s="29" t="s">
        <v>481</v>
      </c>
      <c r="J502" s="35"/>
    </row>
    <row r="503" spans="1:16" x14ac:dyDescent="0.3">
      <c r="A503" s="27" t="s">
        <v>95</v>
      </c>
      <c r="B503" s="27">
        <v>7</v>
      </c>
      <c r="C503" s="28" t="s">
        <v>435</v>
      </c>
      <c r="D503" s="27" t="s">
        <v>129</v>
      </c>
      <c r="E503" s="29" t="s">
        <v>436</v>
      </c>
      <c r="F503" s="30" t="s">
        <v>229</v>
      </c>
      <c r="G503" s="31">
        <v>1179.923</v>
      </c>
      <c r="H503" s="32">
        <v>0</v>
      </c>
      <c r="I503" s="32">
        <f>ROUND(336.453*H503,P4)+ROUND(843.47*H503,P4)</f>
        <v>0</v>
      </c>
      <c r="J503" s="30" t="s">
        <v>118</v>
      </c>
      <c r="O503" s="33">
        <f>I503*0.21</f>
        <v>0</v>
      </c>
      <c r="P503">
        <v>3</v>
      </c>
    </row>
    <row r="504" spans="1:16" ht="172.8" x14ac:dyDescent="0.3">
      <c r="A504" s="27" t="s">
        <v>101</v>
      </c>
      <c r="B504" s="34"/>
      <c r="E504" s="29" t="s">
        <v>1634</v>
      </c>
      <c r="J504" s="35"/>
    </row>
    <row r="505" spans="1:16" ht="28.8" x14ac:dyDescent="0.3">
      <c r="A505" s="27" t="s">
        <v>103</v>
      </c>
      <c r="B505" s="34"/>
      <c r="E505" s="36" t="s">
        <v>1452</v>
      </c>
      <c r="J505" s="35"/>
    </row>
    <row r="506" spans="1:16" ht="28.8" x14ac:dyDescent="0.3">
      <c r="A506" s="27" t="s">
        <v>103</v>
      </c>
      <c r="B506" s="34"/>
      <c r="E506" s="36" t="s">
        <v>1453</v>
      </c>
      <c r="J506" s="35"/>
    </row>
    <row r="507" spans="1:16" ht="28.8" x14ac:dyDescent="0.3">
      <c r="A507" s="27" t="s">
        <v>103</v>
      </c>
      <c r="B507" s="34"/>
      <c r="E507" s="36" t="s">
        <v>1454</v>
      </c>
      <c r="J507" s="35"/>
    </row>
    <row r="508" spans="1:16" ht="28.8" x14ac:dyDescent="0.3">
      <c r="A508" s="27" t="s">
        <v>103</v>
      </c>
      <c r="B508" s="34"/>
      <c r="E508" s="36" t="s">
        <v>1455</v>
      </c>
      <c r="J508" s="35"/>
    </row>
    <row r="509" spans="1:16" ht="28.8" x14ac:dyDescent="0.3">
      <c r="A509" s="27" t="s">
        <v>103</v>
      </c>
      <c r="B509" s="34"/>
      <c r="E509" s="36" t="s">
        <v>1456</v>
      </c>
      <c r="J509" s="35"/>
    </row>
    <row r="510" spans="1:16" ht="28.8" x14ac:dyDescent="0.3">
      <c r="A510" s="27" t="s">
        <v>103</v>
      </c>
      <c r="B510" s="34"/>
      <c r="E510" s="36" t="s">
        <v>1457</v>
      </c>
      <c r="J510" s="35"/>
    </row>
    <row r="511" spans="1:16" ht="28.8" x14ac:dyDescent="0.3">
      <c r="A511" s="27" t="s">
        <v>103</v>
      </c>
      <c r="B511" s="34"/>
      <c r="E511" s="36" t="s">
        <v>1458</v>
      </c>
      <c r="J511" s="35"/>
    </row>
    <row r="512" spans="1:16" ht="28.8" x14ac:dyDescent="0.3">
      <c r="A512" s="27" t="s">
        <v>103</v>
      </c>
      <c r="B512" s="34"/>
      <c r="E512" s="36" t="s">
        <v>1459</v>
      </c>
      <c r="J512" s="35"/>
    </row>
    <row r="513" spans="1:10" ht="28.8" x14ac:dyDescent="0.3">
      <c r="A513" s="27" t="s">
        <v>103</v>
      </c>
      <c r="B513" s="34"/>
      <c r="E513" s="36" t="s">
        <v>1460</v>
      </c>
      <c r="J513" s="35"/>
    </row>
    <row r="514" spans="1:10" ht="28.8" x14ac:dyDescent="0.3">
      <c r="A514" s="27" t="s">
        <v>103</v>
      </c>
      <c r="B514" s="34"/>
      <c r="E514" s="36" t="s">
        <v>1461</v>
      </c>
      <c r="J514" s="35"/>
    </row>
    <row r="515" spans="1:10" ht="28.8" x14ac:dyDescent="0.3">
      <c r="A515" s="27" t="s">
        <v>103</v>
      </c>
      <c r="B515" s="34"/>
      <c r="E515" s="36" t="s">
        <v>1462</v>
      </c>
      <c r="J515" s="35"/>
    </row>
    <row r="516" spans="1:10" ht="28.8" x14ac:dyDescent="0.3">
      <c r="A516" s="27" t="s">
        <v>103</v>
      </c>
      <c r="B516" s="34"/>
      <c r="E516" s="36" t="s">
        <v>1463</v>
      </c>
      <c r="J516" s="35"/>
    </row>
    <row r="517" spans="1:10" ht="28.8" x14ac:dyDescent="0.3">
      <c r="A517" s="27" t="s">
        <v>103</v>
      </c>
      <c r="B517" s="34"/>
      <c r="E517" s="36" t="s">
        <v>1464</v>
      </c>
      <c r="J517" s="35"/>
    </row>
    <row r="518" spans="1:10" ht="28.8" x14ac:dyDescent="0.3">
      <c r="A518" s="27" t="s">
        <v>103</v>
      </c>
      <c r="B518" s="34"/>
      <c r="E518" s="36" t="s">
        <v>1465</v>
      </c>
      <c r="J518" s="35"/>
    </row>
    <row r="519" spans="1:10" ht="28.8" x14ac:dyDescent="0.3">
      <c r="A519" s="27" t="s">
        <v>103</v>
      </c>
      <c r="B519" s="34"/>
      <c r="E519" s="36" t="s">
        <v>1466</v>
      </c>
      <c r="J519" s="35"/>
    </row>
    <row r="520" spans="1:10" ht="28.8" x14ac:dyDescent="0.3">
      <c r="A520" s="27" t="s">
        <v>103</v>
      </c>
      <c r="B520" s="34"/>
      <c r="E520" s="36" t="s">
        <v>1467</v>
      </c>
      <c r="J520" s="35"/>
    </row>
    <row r="521" spans="1:10" ht="28.8" x14ac:dyDescent="0.3">
      <c r="A521" s="27" t="s">
        <v>103</v>
      </c>
      <c r="B521" s="34"/>
      <c r="E521" s="36" t="s">
        <v>1468</v>
      </c>
      <c r="J521" s="35"/>
    </row>
    <row r="522" spans="1:10" ht="28.8" x14ac:dyDescent="0.3">
      <c r="A522" s="27" t="s">
        <v>103</v>
      </c>
      <c r="B522" s="34"/>
      <c r="E522" s="36" t="s">
        <v>1469</v>
      </c>
      <c r="J522" s="35"/>
    </row>
    <row r="523" spans="1:10" ht="28.8" x14ac:dyDescent="0.3">
      <c r="A523" s="27" t="s">
        <v>103</v>
      </c>
      <c r="B523" s="34"/>
      <c r="E523" s="36" t="s">
        <v>1470</v>
      </c>
      <c r="J523" s="35"/>
    </row>
    <row r="524" spans="1:10" ht="28.8" x14ac:dyDescent="0.3">
      <c r="A524" s="27" t="s">
        <v>103</v>
      </c>
      <c r="B524" s="34"/>
      <c r="E524" s="36" t="s">
        <v>1471</v>
      </c>
      <c r="J524" s="35"/>
    </row>
    <row r="525" spans="1:10" ht="28.8" x14ac:dyDescent="0.3">
      <c r="A525" s="27" t="s">
        <v>103</v>
      </c>
      <c r="B525" s="34"/>
      <c r="E525" s="36" t="s">
        <v>1472</v>
      </c>
      <c r="J525" s="35"/>
    </row>
    <row r="526" spans="1:10" ht="28.8" x14ac:dyDescent="0.3">
      <c r="A526" s="27" t="s">
        <v>103</v>
      </c>
      <c r="B526" s="34"/>
      <c r="E526" s="36" t="s">
        <v>1473</v>
      </c>
      <c r="J526" s="35"/>
    </row>
    <row r="527" spans="1:10" ht="28.8" x14ac:dyDescent="0.3">
      <c r="A527" s="27" t="s">
        <v>103</v>
      </c>
      <c r="B527" s="34"/>
      <c r="E527" s="36" t="s">
        <v>1474</v>
      </c>
      <c r="J527" s="35"/>
    </row>
    <row r="528" spans="1:10" ht="28.8" x14ac:dyDescent="0.3">
      <c r="A528" s="27" t="s">
        <v>103</v>
      </c>
      <c r="B528" s="34"/>
      <c r="E528" s="36" t="s">
        <v>1475</v>
      </c>
      <c r="J528" s="35"/>
    </row>
    <row r="529" spans="1:10" ht="28.8" x14ac:dyDescent="0.3">
      <c r="A529" s="27" t="s">
        <v>103</v>
      </c>
      <c r="B529" s="34"/>
      <c r="E529" s="36" t="s">
        <v>1476</v>
      </c>
      <c r="J529" s="35"/>
    </row>
    <row r="530" spans="1:10" ht="28.8" x14ac:dyDescent="0.3">
      <c r="A530" s="27" t="s">
        <v>103</v>
      </c>
      <c r="B530" s="34"/>
      <c r="E530" s="36" t="s">
        <v>1477</v>
      </c>
      <c r="J530" s="35"/>
    </row>
    <row r="531" spans="1:10" ht="28.8" x14ac:dyDescent="0.3">
      <c r="A531" s="27" t="s">
        <v>103</v>
      </c>
      <c r="B531" s="34"/>
      <c r="E531" s="36" t="s">
        <v>1478</v>
      </c>
      <c r="J531" s="35"/>
    </row>
    <row r="532" spans="1:10" ht="28.8" x14ac:dyDescent="0.3">
      <c r="A532" s="27" t="s">
        <v>103</v>
      </c>
      <c r="B532" s="34"/>
      <c r="E532" s="36" t="s">
        <v>1479</v>
      </c>
      <c r="J532" s="35"/>
    </row>
    <row r="533" spans="1:10" ht="28.8" x14ac:dyDescent="0.3">
      <c r="A533" s="27" t="s">
        <v>103</v>
      </c>
      <c r="B533" s="34"/>
      <c r="E533" s="36" t="s">
        <v>1480</v>
      </c>
      <c r="J533" s="35"/>
    </row>
    <row r="534" spans="1:10" ht="28.8" x14ac:dyDescent="0.3">
      <c r="A534" s="27" t="s">
        <v>103</v>
      </c>
      <c r="B534" s="34"/>
      <c r="E534" s="36" t="s">
        <v>1481</v>
      </c>
      <c r="J534" s="35"/>
    </row>
    <row r="535" spans="1:10" ht="28.8" x14ac:dyDescent="0.3">
      <c r="A535" s="27" t="s">
        <v>103</v>
      </c>
      <c r="B535" s="34"/>
      <c r="E535" s="36" t="s">
        <v>1482</v>
      </c>
      <c r="J535" s="35"/>
    </row>
    <row r="536" spans="1:10" ht="28.8" x14ac:dyDescent="0.3">
      <c r="A536" s="27" t="s">
        <v>103</v>
      </c>
      <c r="B536" s="34"/>
      <c r="E536" s="36" t="s">
        <v>1483</v>
      </c>
      <c r="J536" s="35"/>
    </row>
    <row r="537" spans="1:10" ht="28.8" x14ac:dyDescent="0.3">
      <c r="A537" s="27" t="s">
        <v>103</v>
      </c>
      <c r="B537" s="34"/>
      <c r="E537" s="36" t="s">
        <v>1484</v>
      </c>
      <c r="J537" s="35"/>
    </row>
    <row r="538" spans="1:10" ht="28.8" x14ac:dyDescent="0.3">
      <c r="A538" s="27" t="s">
        <v>103</v>
      </c>
      <c r="B538" s="34"/>
      <c r="E538" s="36" t="s">
        <v>1485</v>
      </c>
      <c r="J538" s="35"/>
    </row>
    <row r="539" spans="1:10" ht="28.8" x14ac:dyDescent="0.3">
      <c r="A539" s="27" t="s">
        <v>103</v>
      </c>
      <c r="B539" s="34"/>
      <c r="E539" s="36" t="s">
        <v>1486</v>
      </c>
      <c r="J539" s="35"/>
    </row>
    <row r="540" spans="1:10" ht="28.8" x14ac:dyDescent="0.3">
      <c r="A540" s="27" t="s">
        <v>103</v>
      </c>
      <c r="B540" s="34"/>
      <c r="E540" s="36" t="s">
        <v>1487</v>
      </c>
      <c r="J540" s="35"/>
    </row>
    <row r="541" spans="1:10" ht="28.8" x14ac:dyDescent="0.3">
      <c r="A541" s="27" t="s">
        <v>103</v>
      </c>
      <c r="B541" s="34"/>
      <c r="E541" s="36" t="s">
        <v>1488</v>
      </c>
      <c r="J541" s="35"/>
    </row>
    <row r="542" spans="1:10" ht="28.8" x14ac:dyDescent="0.3">
      <c r="A542" s="27" t="s">
        <v>103</v>
      </c>
      <c r="B542" s="34"/>
      <c r="E542" s="36" t="s">
        <v>1489</v>
      </c>
      <c r="J542" s="35"/>
    </row>
    <row r="543" spans="1:10" ht="28.8" x14ac:dyDescent="0.3">
      <c r="A543" s="27" t="s">
        <v>103</v>
      </c>
      <c r="B543" s="34"/>
      <c r="E543" s="36" t="s">
        <v>1490</v>
      </c>
      <c r="J543" s="35"/>
    </row>
    <row r="544" spans="1:10" ht="28.8" x14ac:dyDescent="0.3">
      <c r="A544" s="27" t="s">
        <v>103</v>
      </c>
      <c r="B544" s="34"/>
      <c r="E544" s="36" t="s">
        <v>1491</v>
      </c>
      <c r="J544" s="35"/>
    </row>
    <row r="545" spans="1:10" ht="28.8" x14ac:dyDescent="0.3">
      <c r="A545" s="27" t="s">
        <v>103</v>
      </c>
      <c r="B545" s="34"/>
      <c r="E545" s="36" t="s">
        <v>1492</v>
      </c>
      <c r="J545" s="35"/>
    </row>
    <row r="546" spans="1:10" ht="28.8" x14ac:dyDescent="0.3">
      <c r="A546" s="27" t="s">
        <v>103</v>
      </c>
      <c r="B546" s="34"/>
      <c r="E546" s="36" t="s">
        <v>1493</v>
      </c>
      <c r="J546" s="35"/>
    </row>
    <row r="547" spans="1:10" ht="28.8" x14ac:dyDescent="0.3">
      <c r="A547" s="27" t="s">
        <v>103</v>
      </c>
      <c r="B547" s="34"/>
      <c r="E547" s="36" t="s">
        <v>1494</v>
      </c>
      <c r="J547" s="35"/>
    </row>
    <row r="548" spans="1:10" ht="28.8" x14ac:dyDescent="0.3">
      <c r="A548" s="27" t="s">
        <v>103</v>
      </c>
      <c r="B548" s="34"/>
      <c r="E548" s="36" t="s">
        <v>1495</v>
      </c>
      <c r="J548" s="35"/>
    </row>
    <row r="549" spans="1:10" ht="28.8" x14ac:dyDescent="0.3">
      <c r="A549" s="27" t="s">
        <v>103</v>
      </c>
      <c r="B549" s="34"/>
      <c r="E549" s="36" t="s">
        <v>1496</v>
      </c>
      <c r="J549" s="35"/>
    </row>
    <row r="550" spans="1:10" ht="28.8" x14ac:dyDescent="0.3">
      <c r="A550" s="27" t="s">
        <v>103</v>
      </c>
      <c r="B550" s="34"/>
      <c r="E550" s="36" t="s">
        <v>1497</v>
      </c>
      <c r="J550" s="35"/>
    </row>
    <row r="551" spans="1:10" ht="28.8" x14ac:dyDescent="0.3">
      <c r="A551" s="27" t="s">
        <v>103</v>
      </c>
      <c r="B551" s="34"/>
      <c r="E551" s="36" t="s">
        <v>1498</v>
      </c>
      <c r="J551" s="35"/>
    </row>
    <row r="552" spans="1:10" ht="28.8" x14ac:dyDescent="0.3">
      <c r="A552" s="27" t="s">
        <v>103</v>
      </c>
      <c r="B552" s="34"/>
      <c r="E552" s="36" t="s">
        <v>1499</v>
      </c>
      <c r="J552" s="35"/>
    </row>
    <row r="553" spans="1:10" ht="28.8" x14ac:dyDescent="0.3">
      <c r="A553" s="27" t="s">
        <v>103</v>
      </c>
      <c r="B553" s="34"/>
      <c r="E553" s="36" t="s">
        <v>1500</v>
      </c>
      <c r="J553" s="35"/>
    </row>
    <row r="554" spans="1:10" ht="28.8" x14ac:dyDescent="0.3">
      <c r="A554" s="27" t="s">
        <v>103</v>
      </c>
      <c r="B554" s="34"/>
      <c r="E554" s="36" t="s">
        <v>1501</v>
      </c>
      <c r="J554" s="35"/>
    </row>
    <row r="555" spans="1:10" ht="28.8" x14ac:dyDescent="0.3">
      <c r="A555" s="27" t="s">
        <v>103</v>
      </c>
      <c r="B555" s="34"/>
      <c r="E555" s="36" t="s">
        <v>1502</v>
      </c>
      <c r="J555" s="35"/>
    </row>
    <row r="556" spans="1:10" ht="28.8" x14ac:dyDescent="0.3">
      <c r="A556" s="27" t="s">
        <v>103</v>
      </c>
      <c r="B556" s="34"/>
      <c r="E556" s="36" t="s">
        <v>1503</v>
      </c>
      <c r="J556" s="35"/>
    </row>
    <row r="557" spans="1:10" ht="28.8" x14ac:dyDescent="0.3">
      <c r="A557" s="27" t="s">
        <v>103</v>
      </c>
      <c r="B557" s="34"/>
      <c r="E557" s="36" t="s">
        <v>1504</v>
      </c>
      <c r="J557" s="35"/>
    </row>
    <row r="558" spans="1:10" ht="28.8" x14ac:dyDescent="0.3">
      <c r="A558" s="27" t="s">
        <v>103</v>
      </c>
      <c r="B558" s="34"/>
      <c r="E558" s="36" t="s">
        <v>1505</v>
      </c>
      <c r="J558" s="35"/>
    </row>
    <row r="559" spans="1:10" ht="28.8" x14ac:dyDescent="0.3">
      <c r="A559" s="27" t="s">
        <v>103</v>
      </c>
      <c r="B559" s="34"/>
      <c r="E559" s="36" t="s">
        <v>1506</v>
      </c>
      <c r="J559" s="35"/>
    </row>
    <row r="560" spans="1:10" ht="28.8" x14ac:dyDescent="0.3">
      <c r="A560" s="27" t="s">
        <v>103</v>
      </c>
      <c r="B560" s="34"/>
      <c r="E560" s="36" t="s">
        <v>1507</v>
      </c>
      <c r="J560" s="35"/>
    </row>
    <row r="561" spans="1:10" ht="28.8" x14ac:dyDescent="0.3">
      <c r="A561" s="27" t="s">
        <v>103</v>
      </c>
      <c r="B561" s="34"/>
      <c r="E561" s="36" t="s">
        <v>1508</v>
      </c>
      <c r="J561" s="35"/>
    </row>
    <row r="562" spans="1:10" ht="28.8" x14ac:dyDescent="0.3">
      <c r="A562" s="27" t="s">
        <v>103</v>
      </c>
      <c r="B562" s="34"/>
      <c r="E562" s="36" t="s">
        <v>1509</v>
      </c>
      <c r="J562" s="35"/>
    </row>
    <row r="563" spans="1:10" ht="28.8" x14ac:dyDescent="0.3">
      <c r="A563" s="27" t="s">
        <v>103</v>
      </c>
      <c r="B563" s="34"/>
      <c r="E563" s="36" t="s">
        <v>1510</v>
      </c>
      <c r="J563" s="35"/>
    </row>
    <row r="564" spans="1:10" ht="28.8" x14ac:dyDescent="0.3">
      <c r="A564" s="27" t="s">
        <v>103</v>
      </c>
      <c r="B564" s="34"/>
      <c r="E564" s="36" t="s">
        <v>1511</v>
      </c>
      <c r="J564" s="35"/>
    </row>
    <row r="565" spans="1:10" ht="28.8" x14ac:dyDescent="0.3">
      <c r="A565" s="27" t="s">
        <v>103</v>
      </c>
      <c r="B565" s="34"/>
      <c r="E565" s="36" t="s">
        <v>1512</v>
      </c>
      <c r="J565" s="35"/>
    </row>
    <row r="566" spans="1:10" ht="28.8" x14ac:dyDescent="0.3">
      <c r="A566" s="27" t="s">
        <v>103</v>
      </c>
      <c r="B566" s="34"/>
      <c r="E566" s="36" t="s">
        <v>1513</v>
      </c>
      <c r="J566" s="35"/>
    </row>
    <row r="567" spans="1:10" ht="28.8" x14ac:dyDescent="0.3">
      <c r="A567" s="27" t="s">
        <v>103</v>
      </c>
      <c r="B567" s="34"/>
      <c r="E567" s="36" t="s">
        <v>1514</v>
      </c>
      <c r="J567" s="35"/>
    </row>
    <row r="568" spans="1:10" ht="28.8" x14ac:dyDescent="0.3">
      <c r="A568" s="27" t="s">
        <v>103</v>
      </c>
      <c r="B568" s="34"/>
      <c r="E568" s="36" t="s">
        <v>1515</v>
      </c>
      <c r="J568" s="35"/>
    </row>
    <row r="569" spans="1:10" ht="28.8" x14ac:dyDescent="0.3">
      <c r="A569" s="27" t="s">
        <v>103</v>
      </c>
      <c r="B569" s="34"/>
      <c r="E569" s="36" t="s">
        <v>1516</v>
      </c>
      <c r="J569" s="35"/>
    </row>
    <row r="570" spans="1:10" ht="28.8" x14ac:dyDescent="0.3">
      <c r="A570" s="27" t="s">
        <v>103</v>
      </c>
      <c r="B570" s="34"/>
      <c r="E570" s="36" t="s">
        <v>1517</v>
      </c>
      <c r="J570" s="35"/>
    </row>
    <row r="571" spans="1:10" ht="28.8" x14ac:dyDescent="0.3">
      <c r="A571" s="27" t="s">
        <v>103</v>
      </c>
      <c r="B571" s="34"/>
      <c r="E571" s="36" t="s">
        <v>1518</v>
      </c>
      <c r="J571" s="35"/>
    </row>
    <row r="572" spans="1:10" ht="28.8" x14ac:dyDescent="0.3">
      <c r="A572" s="27" t="s">
        <v>103</v>
      </c>
      <c r="B572" s="34"/>
      <c r="E572" s="36" t="s">
        <v>1519</v>
      </c>
      <c r="J572" s="35"/>
    </row>
    <row r="573" spans="1:10" ht="28.8" x14ac:dyDescent="0.3">
      <c r="A573" s="27" t="s">
        <v>103</v>
      </c>
      <c r="B573" s="34"/>
      <c r="E573" s="36" t="s">
        <v>1520</v>
      </c>
      <c r="J573" s="35"/>
    </row>
    <row r="574" spans="1:10" ht="28.8" x14ac:dyDescent="0.3">
      <c r="A574" s="27" t="s">
        <v>103</v>
      </c>
      <c r="B574" s="34"/>
      <c r="E574" s="36" t="s">
        <v>1521</v>
      </c>
      <c r="J574" s="35"/>
    </row>
    <row r="575" spans="1:10" ht="28.8" x14ac:dyDescent="0.3">
      <c r="A575" s="27" t="s">
        <v>103</v>
      </c>
      <c r="B575" s="34"/>
      <c r="E575" s="36" t="s">
        <v>1522</v>
      </c>
      <c r="J575" s="35"/>
    </row>
    <row r="576" spans="1:10" ht="28.8" x14ac:dyDescent="0.3">
      <c r="A576" s="27" t="s">
        <v>103</v>
      </c>
      <c r="B576" s="34"/>
      <c r="E576" s="36" t="s">
        <v>1523</v>
      </c>
      <c r="J576" s="35"/>
    </row>
    <row r="577" spans="1:10" ht="28.8" x14ac:dyDescent="0.3">
      <c r="A577" s="27" t="s">
        <v>103</v>
      </c>
      <c r="B577" s="34"/>
      <c r="E577" s="36" t="s">
        <v>1524</v>
      </c>
      <c r="J577" s="35"/>
    </row>
    <row r="578" spans="1:10" ht="28.8" x14ac:dyDescent="0.3">
      <c r="A578" s="27" t="s">
        <v>103</v>
      </c>
      <c r="B578" s="34"/>
      <c r="E578" s="36" t="s">
        <v>1525</v>
      </c>
      <c r="J578" s="35"/>
    </row>
    <row r="579" spans="1:10" ht="28.8" x14ac:dyDescent="0.3">
      <c r="A579" s="27" t="s">
        <v>103</v>
      </c>
      <c r="B579" s="34"/>
      <c r="E579" s="36" t="s">
        <v>1526</v>
      </c>
      <c r="J579" s="35"/>
    </row>
    <row r="580" spans="1:10" ht="28.8" x14ac:dyDescent="0.3">
      <c r="A580" s="27" t="s">
        <v>103</v>
      </c>
      <c r="B580" s="34"/>
      <c r="E580" s="36" t="s">
        <v>1527</v>
      </c>
      <c r="J580" s="35"/>
    </row>
    <row r="581" spans="1:10" ht="28.8" x14ac:dyDescent="0.3">
      <c r="A581" s="27" t="s">
        <v>103</v>
      </c>
      <c r="B581" s="34"/>
      <c r="E581" s="36" t="s">
        <v>1528</v>
      </c>
      <c r="J581" s="35"/>
    </row>
    <row r="582" spans="1:10" ht="28.8" x14ac:dyDescent="0.3">
      <c r="A582" s="27" t="s">
        <v>103</v>
      </c>
      <c r="B582" s="34"/>
      <c r="E582" s="36" t="s">
        <v>1529</v>
      </c>
      <c r="J582" s="35"/>
    </row>
    <row r="583" spans="1:10" ht="28.8" x14ac:dyDescent="0.3">
      <c r="A583" s="27" t="s">
        <v>103</v>
      </c>
      <c r="B583" s="34"/>
      <c r="E583" s="36" t="s">
        <v>1530</v>
      </c>
      <c r="J583" s="35"/>
    </row>
    <row r="584" spans="1:10" ht="28.8" x14ac:dyDescent="0.3">
      <c r="A584" s="27" t="s">
        <v>103</v>
      </c>
      <c r="B584" s="34"/>
      <c r="E584" s="36" t="s">
        <v>1531</v>
      </c>
      <c r="J584" s="35"/>
    </row>
    <row r="585" spans="1:10" ht="28.8" x14ac:dyDescent="0.3">
      <c r="A585" s="27" t="s">
        <v>103</v>
      </c>
      <c r="B585" s="34"/>
      <c r="E585" s="36" t="s">
        <v>1532</v>
      </c>
      <c r="J585" s="35"/>
    </row>
    <row r="586" spans="1:10" ht="28.8" x14ac:dyDescent="0.3">
      <c r="A586" s="27" t="s">
        <v>103</v>
      </c>
      <c r="B586" s="34"/>
      <c r="E586" s="36" t="s">
        <v>1533</v>
      </c>
      <c r="J586" s="35"/>
    </row>
    <row r="587" spans="1:10" ht="28.8" x14ac:dyDescent="0.3">
      <c r="A587" s="27" t="s">
        <v>103</v>
      </c>
      <c r="B587" s="34"/>
      <c r="E587" s="36" t="s">
        <v>1534</v>
      </c>
      <c r="J587" s="35"/>
    </row>
    <row r="588" spans="1:10" ht="28.8" x14ac:dyDescent="0.3">
      <c r="A588" s="27" t="s">
        <v>103</v>
      </c>
      <c r="B588" s="34"/>
      <c r="E588" s="36" t="s">
        <v>1535</v>
      </c>
      <c r="J588" s="35"/>
    </row>
    <row r="589" spans="1:10" ht="28.8" x14ac:dyDescent="0.3">
      <c r="A589" s="27" t="s">
        <v>103</v>
      </c>
      <c r="B589" s="34"/>
      <c r="E589" s="36" t="s">
        <v>1536</v>
      </c>
      <c r="J589" s="35"/>
    </row>
    <row r="590" spans="1:10" ht="28.8" x14ac:dyDescent="0.3">
      <c r="A590" s="27" t="s">
        <v>103</v>
      </c>
      <c r="B590" s="34"/>
      <c r="E590" s="36" t="s">
        <v>1537</v>
      </c>
      <c r="J590" s="35"/>
    </row>
    <row r="591" spans="1:10" ht="28.8" x14ac:dyDescent="0.3">
      <c r="A591" s="27" t="s">
        <v>103</v>
      </c>
      <c r="B591" s="34"/>
      <c r="E591" s="36" t="s">
        <v>1538</v>
      </c>
      <c r="J591" s="35"/>
    </row>
    <row r="592" spans="1:10" ht="28.8" x14ac:dyDescent="0.3">
      <c r="A592" s="27" t="s">
        <v>103</v>
      </c>
      <c r="B592" s="34"/>
      <c r="E592" s="36" t="s">
        <v>1539</v>
      </c>
      <c r="J592" s="35"/>
    </row>
    <row r="593" spans="1:10" x14ac:dyDescent="0.3">
      <c r="A593" s="27" t="s">
        <v>103</v>
      </c>
      <c r="B593" s="34"/>
      <c r="E593" s="36" t="s">
        <v>1540</v>
      </c>
      <c r="J593" s="35"/>
    </row>
    <row r="594" spans="1:10" ht="28.8" x14ac:dyDescent="0.3">
      <c r="A594" s="27" t="s">
        <v>103</v>
      </c>
      <c r="B594" s="34"/>
      <c r="E594" s="36" t="s">
        <v>1541</v>
      </c>
      <c r="J594" s="35"/>
    </row>
    <row r="595" spans="1:10" ht="28.8" x14ac:dyDescent="0.3">
      <c r="A595" s="27" t="s">
        <v>103</v>
      </c>
      <c r="B595" s="34"/>
      <c r="E595" s="36" t="s">
        <v>1542</v>
      </c>
      <c r="J595" s="35"/>
    </row>
    <row r="596" spans="1:10" ht="28.8" x14ac:dyDescent="0.3">
      <c r="A596" s="27" t="s">
        <v>103</v>
      </c>
      <c r="B596" s="34"/>
      <c r="E596" s="36" t="s">
        <v>1543</v>
      </c>
      <c r="J596" s="35"/>
    </row>
    <row r="597" spans="1:10" ht="28.8" x14ac:dyDescent="0.3">
      <c r="A597" s="27" t="s">
        <v>103</v>
      </c>
      <c r="B597" s="34"/>
      <c r="E597" s="36" t="s">
        <v>1544</v>
      </c>
      <c r="J597" s="35"/>
    </row>
    <row r="598" spans="1:10" ht="28.8" x14ac:dyDescent="0.3">
      <c r="A598" s="27" t="s">
        <v>103</v>
      </c>
      <c r="B598" s="34"/>
      <c r="E598" s="36" t="s">
        <v>1545</v>
      </c>
      <c r="J598" s="35"/>
    </row>
    <row r="599" spans="1:10" ht="28.8" x14ac:dyDescent="0.3">
      <c r="A599" s="27" t="s">
        <v>103</v>
      </c>
      <c r="B599" s="34"/>
      <c r="E599" s="36" t="s">
        <v>1546</v>
      </c>
      <c r="J599" s="35"/>
    </row>
    <row r="600" spans="1:10" ht="28.8" x14ac:dyDescent="0.3">
      <c r="A600" s="27" t="s">
        <v>103</v>
      </c>
      <c r="B600" s="34"/>
      <c r="E600" s="36" t="s">
        <v>1547</v>
      </c>
      <c r="J600" s="35"/>
    </row>
    <row r="601" spans="1:10" ht="28.8" x14ac:dyDescent="0.3">
      <c r="A601" s="27" t="s">
        <v>103</v>
      </c>
      <c r="B601" s="34"/>
      <c r="E601" s="36" t="s">
        <v>1548</v>
      </c>
      <c r="J601" s="35"/>
    </row>
    <row r="602" spans="1:10" ht="28.8" x14ac:dyDescent="0.3">
      <c r="A602" s="27" t="s">
        <v>103</v>
      </c>
      <c r="B602" s="34"/>
      <c r="E602" s="36" t="s">
        <v>1549</v>
      </c>
      <c r="J602" s="35"/>
    </row>
    <row r="603" spans="1:10" ht="28.8" x14ac:dyDescent="0.3">
      <c r="A603" s="27" t="s">
        <v>103</v>
      </c>
      <c r="B603" s="34"/>
      <c r="E603" s="36" t="s">
        <v>1550</v>
      </c>
      <c r="J603" s="35"/>
    </row>
    <row r="604" spans="1:10" ht="28.8" x14ac:dyDescent="0.3">
      <c r="A604" s="27" t="s">
        <v>103</v>
      </c>
      <c r="B604" s="34"/>
      <c r="E604" s="36" t="s">
        <v>1551</v>
      </c>
      <c r="J604" s="35"/>
    </row>
    <row r="605" spans="1:10" ht="28.8" x14ac:dyDescent="0.3">
      <c r="A605" s="27" t="s">
        <v>103</v>
      </c>
      <c r="B605" s="34"/>
      <c r="E605" s="36" t="s">
        <v>1552</v>
      </c>
      <c r="J605" s="35"/>
    </row>
    <row r="606" spans="1:10" ht="28.8" x14ac:dyDescent="0.3">
      <c r="A606" s="27" t="s">
        <v>103</v>
      </c>
      <c r="B606" s="34"/>
      <c r="E606" s="36" t="s">
        <v>1553</v>
      </c>
      <c r="J606" s="35"/>
    </row>
    <row r="607" spans="1:10" ht="28.8" x14ac:dyDescent="0.3">
      <c r="A607" s="27" t="s">
        <v>103</v>
      </c>
      <c r="B607" s="34"/>
      <c r="E607" s="36" t="s">
        <v>1554</v>
      </c>
      <c r="J607" s="35"/>
    </row>
    <row r="608" spans="1:10" ht="28.8" x14ac:dyDescent="0.3">
      <c r="A608" s="27" t="s">
        <v>103</v>
      </c>
      <c r="B608" s="34"/>
      <c r="E608" s="36" t="s">
        <v>1555</v>
      </c>
      <c r="J608" s="35"/>
    </row>
    <row r="609" spans="1:10" ht="28.8" x14ac:dyDescent="0.3">
      <c r="A609" s="27" t="s">
        <v>103</v>
      </c>
      <c r="B609" s="34"/>
      <c r="E609" s="36" t="s">
        <v>1556</v>
      </c>
      <c r="J609" s="35"/>
    </row>
    <row r="610" spans="1:10" ht="28.8" x14ac:dyDescent="0.3">
      <c r="A610" s="27" t="s">
        <v>103</v>
      </c>
      <c r="B610" s="34"/>
      <c r="E610" s="36" t="s">
        <v>1557</v>
      </c>
      <c r="J610" s="35"/>
    </row>
    <row r="611" spans="1:10" ht="28.8" x14ac:dyDescent="0.3">
      <c r="A611" s="27" t="s">
        <v>103</v>
      </c>
      <c r="B611" s="34"/>
      <c r="E611" s="36" t="s">
        <v>1558</v>
      </c>
      <c r="J611" s="35"/>
    </row>
    <row r="612" spans="1:10" ht="28.8" x14ac:dyDescent="0.3">
      <c r="A612" s="27" t="s">
        <v>103</v>
      </c>
      <c r="B612" s="34"/>
      <c r="E612" s="36" t="s">
        <v>1559</v>
      </c>
      <c r="J612" s="35"/>
    </row>
    <row r="613" spans="1:10" ht="28.8" x14ac:dyDescent="0.3">
      <c r="A613" s="27" t="s">
        <v>103</v>
      </c>
      <c r="B613" s="34"/>
      <c r="E613" s="36" t="s">
        <v>1560</v>
      </c>
      <c r="J613" s="35"/>
    </row>
    <row r="614" spans="1:10" ht="28.8" x14ac:dyDescent="0.3">
      <c r="A614" s="27" t="s">
        <v>103</v>
      </c>
      <c r="B614" s="34"/>
      <c r="E614" s="36" t="s">
        <v>1561</v>
      </c>
      <c r="J614" s="35"/>
    </row>
    <row r="615" spans="1:10" ht="28.8" x14ac:dyDescent="0.3">
      <c r="A615" s="27" t="s">
        <v>103</v>
      </c>
      <c r="B615" s="34"/>
      <c r="E615" s="36" t="s">
        <v>1562</v>
      </c>
      <c r="J615" s="35"/>
    </row>
    <row r="616" spans="1:10" ht="28.8" x14ac:dyDescent="0.3">
      <c r="A616" s="27" t="s">
        <v>103</v>
      </c>
      <c r="B616" s="34"/>
      <c r="E616" s="36" t="s">
        <v>1563</v>
      </c>
      <c r="J616" s="35"/>
    </row>
    <row r="617" spans="1:10" ht="28.8" x14ac:dyDescent="0.3">
      <c r="A617" s="27" t="s">
        <v>103</v>
      </c>
      <c r="B617" s="34"/>
      <c r="E617" s="36" t="s">
        <v>1564</v>
      </c>
      <c r="J617" s="35"/>
    </row>
    <row r="618" spans="1:10" ht="28.8" x14ac:dyDescent="0.3">
      <c r="A618" s="27" t="s">
        <v>103</v>
      </c>
      <c r="B618" s="34"/>
      <c r="E618" s="36" t="s">
        <v>1565</v>
      </c>
      <c r="J618" s="35"/>
    </row>
    <row r="619" spans="1:10" ht="28.8" x14ac:dyDescent="0.3">
      <c r="A619" s="27" t="s">
        <v>103</v>
      </c>
      <c r="B619" s="34"/>
      <c r="E619" s="36" t="s">
        <v>1566</v>
      </c>
      <c r="J619" s="35"/>
    </row>
    <row r="620" spans="1:10" ht="28.8" x14ac:dyDescent="0.3">
      <c r="A620" s="27" t="s">
        <v>103</v>
      </c>
      <c r="B620" s="34"/>
      <c r="E620" s="36" t="s">
        <v>1567</v>
      </c>
      <c r="J620" s="35"/>
    </row>
    <row r="621" spans="1:10" ht="28.8" x14ac:dyDescent="0.3">
      <c r="A621" s="27" t="s">
        <v>103</v>
      </c>
      <c r="B621" s="34"/>
      <c r="E621" s="36" t="s">
        <v>1568</v>
      </c>
      <c r="J621" s="35"/>
    </row>
    <row r="622" spans="1:10" ht="28.8" x14ac:dyDescent="0.3">
      <c r="A622" s="27" t="s">
        <v>103</v>
      </c>
      <c r="B622" s="34"/>
      <c r="E622" s="36" t="s">
        <v>1569</v>
      </c>
      <c r="J622" s="35"/>
    </row>
    <row r="623" spans="1:10" ht="28.8" x14ac:dyDescent="0.3">
      <c r="A623" s="27" t="s">
        <v>103</v>
      </c>
      <c r="B623" s="34"/>
      <c r="E623" s="36" t="s">
        <v>1570</v>
      </c>
      <c r="J623" s="35"/>
    </row>
    <row r="624" spans="1:10" ht="28.8" x14ac:dyDescent="0.3">
      <c r="A624" s="27" t="s">
        <v>103</v>
      </c>
      <c r="B624" s="34"/>
      <c r="E624" s="36" t="s">
        <v>1571</v>
      </c>
      <c r="J624" s="35"/>
    </row>
    <row r="625" spans="1:10" ht="28.8" x14ac:dyDescent="0.3">
      <c r="A625" s="27" t="s">
        <v>103</v>
      </c>
      <c r="B625" s="34"/>
      <c r="E625" s="36" t="s">
        <v>1572</v>
      </c>
      <c r="J625" s="35"/>
    </row>
    <row r="626" spans="1:10" ht="28.8" x14ac:dyDescent="0.3">
      <c r="A626" s="27" t="s">
        <v>103</v>
      </c>
      <c r="B626" s="34"/>
      <c r="E626" s="36" t="s">
        <v>1573</v>
      </c>
      <c r="J626" s="35"/>
    </row>
    <row r="627" spans="1:10" ht="28.8" x14ac:dyDescent="0.3">
      <c r="A627" s="27" t="s">
        <v>103</v>
      </c>
      <c r="B627" s="34"/>
      <c r="E627" s="36" t="s">
        <v>1574</v>
      </c>
      <c r="J627" s="35"/>
    </row>
    <row r="628" spans="1:10" ht="28.8" x14ac:dyDescent="0.3">
      <c r="A628" s="27" t="s">
        <v>103</v>
      </c>
      <c r="B628" s="34"/>
      <c r="E628" s="36" t="s">
        <v>1575</v>
      </c>
      <c r="J628" s="35"/>
    </row>
    <row r="629" spans="1:10" ht="28.8" x14ac:dyDescent="0.3">
      <c r="A629" s="27" t="s">
        <v>103</v>
      </c>
      <c r="B629" s="34"/>
      <c r="E629" s="36" t="s">
        <v>1576</v>
      </c>
      <c r="J629" s="35"/>
    </row>
    <row r="630" spans="1:10" ht="28.8" x14ac:dyDescent="0.3">
      <c r="A630" s="27" t="s">
        <v>103</v>
      </c>
      <c r="B630" s="34"/>
      <c r="E630" s="36" t="s">
        <v>1577</v>
      </c>
      <c r="J630" s="35"/>
    </row>
    <row r="631" spans="1:10" ht="28.8" x14ac:dyDescent="0.3">
      <c r="A631" s="27" t="s">
        <v>103</v>
      </c>
      <c r="B631" s="34"/>
      <c r="E631" s="36" t="s">
        <v>1578</v>
      </c>
      <c r="J631" s="35"/>
    </row>
    <row r="632" spans="1:10" ht="28.8" x14ac:dyDescent="0.3">
      <c r="A632" s="27" t="s">
        <v>103</v>
      </c>
      <c r="B632" s="34"/>
      <c r="E632" s="36" t="s">
        <v>1579</v>
      </c>
      <c r="J632" s="35"/>
    </row>
    <row r="633" spans="1:10" ht="28.8" x14ac:dyDescent="0.3">
      <c r="A633" s="27" t="s">
        <v>103</v>
      </c>
      <c r="B633" s="34"/>
      <c r="E633" s="36" t="s">
        <v>1580</v>
      </c>
      <c r="J633" s="35"/>
    </row>
    <row r="634" spans="1:10" ht="28.8" x14ac:dyDescent="0.3">
      <c r="A634" s="27" t="s">
        <v>103</v>
      </c>
      <c r="B634" s="34"/>
      <c r="E634" s="36" t="s">
        <v>1581</v>
      </c>
      <c r="J634" s="35"/>
    </row>
    <row r="635" spans="1:10" ht="28.8" x14ac:dyDescent="0.3">
      <c r="A635" s="27" t="s">
        <v>103</v>
      </c>
      <c r="B635" s="34"/>
      <c r="E635" s="36" t="s">
        <v>1582</v>
      </c>
      <c r="J635" s="35"/>
    </row>
    <row r="636" spans="1:10" ht="28.8" x14ac:dyDescent="0.3">
      <c r="A636" s="27" t="s">
        <v>103</v>
      </c>
      <c r="B636" s="34"/>
      <c r="E636" s="36" t="s">
        <v>1583</v>
      </c>
      <c r="J636" s="35"/>
    </row>
    <row r="637" spans="1:10" ht="28.8" x14ac:dyDescent="0.3">
      <c r="A637" s="27" t="s">
        <v>103</v>
      </c>
      <c r="B637" s="34"/>
      <c r="E637" s="36" t="s">
        <v>1584</v>
      </c>
      <c r="J637" s="35"/>
    </row>
    <row r="638" spans="1:10" ht="28.8" x14ac:dyDescent="0.3">
      <c r="A638" s="27" t="s">
        <v>103</v>
      </c>
      <c r="B638" s="34"/>
      <c r="E638" s="36" t="s">
        <v>1585</v>
      </c>
      <c r="J638" s="35"/>
    </row>
    <row r="639" spans="1:10" ht="28.8" x14ac:dyDescent="0.3">
      <c r="A639" s="27" t="s">
        <v>103</v>
      </c>
      <c r="B639" s="34"/>
      <c r="E639" s="36" t="s">
        <v>1586</v>
      </c>
      <c r="J639" s="35"/>
    </row>
    <row r="640" spans="1:10" x14ac:dyDescent="0.3">
      <c r="A640" s="27" t="s">
        <v>103</v>
      </c>
      <c r="B640" s="34"/>
      <c r="E640" s="36" t="s">
        <v>1587</v>
      </c>
      <c r="J640" s="35"/>
    </row>
    <row r="641" spans="1:16" ht="43.2" x14ac:dyDescent="0.3">
      <c r="A641" s="27" t="s">
        <v>105</v>
      </c>
      <c r="B641" s="34"/>
      <c r="E641" s="29" t="s">
        <v>438</v>
      </c>
      <c r="J641" s="35"/>
    </row>
    <row r="642" spans="1:16" x14ac:dyDescent="0.3">
      <c r="A642" s="27" t="s">
        <v>95</v>
      </c>
      <c r="B642" s="27">
        <v>8</v>
      </c>
      <c r="C642" s="28" t="s">
        <v>1635</v>
      </c>
      <c r="D642" s="27" t="s">
        <v>129</v>
      </c>
      <c r="E642" s="29" t="s">
        <v>1636</v>
      </c>
      <c r="F642" s="30" t="s">
        <v>248</v>
      </c>
      <c r="G642" s="31">
        <v>7927.5810000000001</v>
      </c>
      <c r="H642" s="32">
        <v>0</v>
      </c>
      <c r="I642" s="32">
        <f>ROUND(5515.731*H642,P4)+ROUND(85.171*H642,P4)+ROUND(2326.679*H642,P4)</f>
        <v>0</v>
      </c>
      <c r="J642" s="30" t="s">
        <v>118</v>
      </c>
      <c r="O642" s="33">
        <f>I642*0.21</f>
        <v>0</v>
      </c>
      <c r="P642">
        <v>3</v>
      </c>
    </row>
    <row r="643" spans="1:16" ht="172.8" x14ac:dyDescent="0.3">
      <c r="A643" s="27" t="s">
        <v>101</v>
      </c>
      <c r="B643" s="34"/>
      <c r="E643" s="29" t="s">
        <v>1637</v>
      </c>
      <c r="J643" s="35"/>
    </row>
    <row r="644" spans="1:16" ht="28.8" x14ac:dyDescent="0.3">
      <c r="A644" s="27" t="s">
        <v>103</v>
      </c>
      <c r="B644" s="34"/>
      <c r="E644" s="36" t="s">
        <v>1638</v>
      </c>
      <c r="J644" s="35"/>
    </row>
    <row r="645" spans="1:16" ht="28.8" x14ac:dyDescent="0.3">
      <c r="A645" s="27" t="s">
        <v>103</v>
      </c>
      <c r="B645" s="34"/>
      <c r="E645" s="36" t="s">
        <v>1639</v>
      </c>
      <c r="J645" s="35"/>
    </row>
    <row r="646" spans="1:16" ht="28.8" x14ac:dyDescent="0.3">
      <c r="A646" s="27" t="s">
        <v>103</v>
      </c>
      <c r="B646" s="34"/>
      <c r="E646" s="36" t="s">
        <v>1640</v>
      </c>
      <c r="J646" s="35"/>
    </row>
    <row r="647" spans="1:16" x14ac:dyDescent="0.3">
      <c r="A647" s="27" t="s">
        <v>103</v>
      </c>
      <c r="B647" s="34"/>
      <c r="E647" s="36" t="s">
        <v>1641</v>
      </c>
      <c r="J647" s="35"/>
    </row>
    <row r="648" spans="1:16" ht="28.8" x14ac:dyDescent="0.3">
      <c r="A648" s="27" t="s">
        <v>103</v>
      </c>
      <c r="B648" s="34"/>
      <c r="E648" s="36" t="s">
        <v>1642</v>
      </c>
      <c r="J648" s="35"/>
    </row>
    <row r="649" spans="1:16" x14ac:dyDescent="0.3">
      <c r="A649" s="27" t="s">
        <v>103</v>
      </c>
      <c r="B649" s="34"/>
      <c r="E649" s="36" t="s">
        <v>1643</v>
      </c>
      <c r="J649" s="35"/>
    </row>
    <row r="650" spans="1:16" ht="28.8" x14ac:dyDescent="0.3">
      <c r="A650" s="27" t="s">
        <v>103</v>
      </c>
      <c r="B650" s="34"/>
      <c r="E650" s="36" t="s">
        <v>1644</v>
      </c>
      <c r="J650" s="35"/>
    </row>
    <row r="651" spans="1:16" ht="28.8" x14ac:dyDescent="0.3">
      <c r="A651" s="27" t="s">
        <v>103</v>
      </c>
      <c r="B651" s="34"/>
      <c r="E651" s="36" t="s">
        <v>1645</v>
      </c>
      <c r="J651" s="35"/>
    </row>
    <row r="652" spans="1:16" x14ac:dyDescent="0.3">
      <c r="A652" s="27" t="s">
        <v>103</v>
      </c>
      <c r="B652" s="34"/>
      <c r="E652" s="36" t="s">
        <v>1646</v>
      </c>
      <c r="J652" s="35"/>
    </row>
    <row r="653" spans="1:16" ht="28.8" x14ac:dyDescent="0.3">
      <c r="A653" s="27" t="s">
        <v>105</v>
      </c>
      <c r="B653" s="34"/>
      <c r="E653" s="29" t="s">
        <v>1647</v>
      </c>
      <c r="J653" s="35"/>
    </row>
    <row r="654" spans="1:16" x14ac:dyDescent="0.3">
      <c r="A654" s="21" t="s">
        <v>92</v>
      </c>
      <c r="B654" s="22"/>
      <c r="C654" s="23" t="s">
        <v>107</v>
      </c>
      <c r="D654" s="24"/>
      <c r="E654" s="21" t="s">
        <v>618</v>
      </c>
      <c r="F654" s="24"/>
      <c r="G654" s="24"/>
      <c r="H654" s="24"/>
      <c r="I654" s="25">
        <f>SUMIFS(I655:I833,A655:A833,"P")</f>
        <v>0</v>
      </c>
      <c r="J654" s="26"/>
    </row>
    <row r="655" spans="1:16" x14ac:dyDescent="0.3">
      <c r="A655" s="27" t="s">
        <v>95</v>
      </c>
      <c r="B655" s="27">
        <v>9</v>
      </c>
      <c r="C655" s="28" t="s">
        <v>1648</v>
      </c>
      <c r="D655" s="27" t="s">
        <v>1198</v>
      </c>
      <c r="E655" s="29" t="s">
        <v>1649</v>
      </c>
      <c r="F655" s="30" t="s">
        <v>1650</v>
      </c>
      <c r="G655" s="31">
        <v>3235.64</v>
      </c>
      <c r="H655" s="32">
        <v>0</v>
      </c>
      <c r="I655" s="32">
        <f>ROUND(1442.397*H655,P4)+ROUND(1793.243*H655,P4)</f>
        <v>0</v>
      </c>
      <c r="J655" s="30" t="s">
        <v>1200</v>
      </c>
      <c r="O655" s="33">
        <f>I655*0.21</f>
        <v>0</v>
      </c>
      <c r="P655">
        <v>3</v>
      </c>
    </row>
    <row r="656" spans="1:16" ht="158.4" x14ac:dyDescent="0.3">
      <c r="A656" s="27" t="s">
        <v>101</v>
      </c>
      <c r="B656" s="34"/>
      <c r="E656" s="29" t="s">
        <v>1651</v>
      </c>
      <c r="J656" s="35"/>
    </row>
    <row r="657" spans="1:16" ht="28.8" x14ac:dyDescent="0.3">
      <c r="A657" s="27" t="s">
        <v>103</v>
      </c>
      <c r="B657" s="34"/>
      <c r="E657" s="36" t="s">
        <v>1652</v>
      </c>
      <c r="J657" s="35"/>
    </row>
    <row r="658" spans="1:16" ht="28.8" x14ac:dyDescent="0.3">
      <c r="A658" s="27" t="s">
        <v>103</v>
      </c>
      <c r="B658" s="34"/>
      <c r="E658" s="36" t="s">
        <v>1653</v>
      </c>
      <c r="J658" s="35"/>
    </row>
    <row r="659" spans="1:16" x14ac:dyDescent="0.3">
      <c r="A659" s="27" t="s">
        <v>103</v>
      </c>
      <c r="B659" s="34"/>
      <c r="E659" s="36" t="s">
        <v>1654</v>
      </c>
      <c r="J659" s="35"/>
    </row>
    <row r="660" spans="1:16" ht="28.8" x14ac:dyDescent="0.3">
      <c r="A660" s="27" t="s">
        <v>103</v>
      </c>
      <c r="B660" s="34"/>
      <c r="E660" s="36" t="s">
        <v>1655</v>
      </c>
      <c r="J660" s="35"/>
    </row>
    <row r="661" spans="1:16" ht="28.8" x14ac:dyDescent="0.3">
      <c r="A661" s="27" t="s">
        <v>103</v>
      </c>
      <c r="B661" s="34"/>
      <c r="E661" s="36" t="s">
        <v>1656</v>
      </c>
      <c r="J661" s="35"/>
    </row>
    <row r="662" spans="1:16" x14ac:dyDescent="0.3">
      <c r="A662" s="27" t="s">
        <v>103</v>
      </c>
      <c r="B662" s="34"/>
      <c r="E662" s="36" t="s">
        <v>1657</v>
      </c>
      <c r="J662" s="35"/>
    </row>
    <row r="663" spans="1:16" ht="72" x14ac:dyDescent="0.3">
      <c r="A663" s="27" t="s">
        <v>105</v>
      </c>
      <c r="B663" s="34"/>
      <c r="E663" s="29" t="s">
        <v>1658</v>
      </c>
      <c r="J663" s="35"/>
    </row>
    <row r="664" spans="1:16" x14ac:dyDescent="0.3">
      <c r="A664" s="27" t="s">
        <v>95</v>
      </c>
      <c r="B664" s="27">
        <v>10</v>
      </c>
      <c r="C664" s="28" t="s">
        <v>1648</v>
      </c>
      <c r="D664" s="27" t="s">
        <v>1659</v>
      </c>
      <c r="E664" s="29" t="s">
        <v>1660</v>
      </c>
      <c r="F664" s="30" t="s">
        <v>1650</v>
      </c>
      <c r="G664" s="31">
        <v>7006.1670000000004</v>
      </c>
      <c r="H664" s="32">
        <v>0</v>
      </c>
      <c r="I664" s="32">
        <f>ROUND(2913.655*H664,P4)+ROUND(51.716*H664,P4)+ROUND(4040.796*H664,P4)</f>
        <v>0</v>
      </c>
      <c r="J664" s="30" t="s">
        <v>1200</v>
      </c>
      <c r="O664" s="33">
        <f>I664*0.21</f>
        <v>0</v>
      </c>
      <c r="P664">
        <v>3</v>
      </c>
    </row>
    <row r="665" spans="1:16" ht="172.8" x14ac:dyDescent="0.3">
      <c r="A665" s="27" t="s">
        <v>101</v>
      </c>
      <c r="B665" s="34"/>
      <c r="E665" s="29" t="s">
        <v>1327</v>
      </c>
      <c r="J665" s="35"/>
    </row>
    <row r="666" spans="1:16" ht="28.8" x14ac:dyDescent="0.3">
      <c r="A666" s="27" t="s">
        <v>103</v>
      </c>
      <c r="B666" s="34"/>
      <c r="E666" s="36" t="s">
        <v>1328</v>
      </c>
      <c r="J666" s="35"/>
    </row>
    <row r="667" spans="1:16" ht="28.8" x14ac:dyDescent="0.3">
      <c r="A667" s="27" t="s">
        <v>103</v>
      </c>
      <c r="B667" s="34"/>
      <c r="E667" s="36" t="s">
        <v>1661</v>
      </c>
      <c r="J667" s="35"/>
    </row>
    <row r="668" spans="1:16" ht="28.8" x14ac:dyDescent="0.3">
      <c r="A668" s="27" t="s">
        <v>103</v>
      </c>
      <c r="B668" s="34"/>
      <c r="E668" s="36" t="s">
        <v>1662</v>
      </c>
      <c r="J668" s="35"/>
    </row>
    <row r="669" spans="1:16" ht="28.8" x14ac:dyDescent="0.3">
      <c r="A669" s="27" t="s">
        <v>103</v>
      </c>
      <c r="B669" s="34"/>
      <c r="E669" s="36" t="s">
        <v>1663</v>
      </c>
      <c r="J669" s="35"/>
    </row>
    <row r="670" spans="1:16" ht="28.8" x14ac:dyDescent="0.3">
      <c r="A670" s="27" t="s">
        <v>103</v>
      </c>
      <c r="B670" s="34"/>
      <c r="E670" s="36" t="s">
        <v>1664</v>
      </c>
      <c r="J670" s="35"/>
    </row>
    <row r="671" spans="1:16" ht="28.8" x14ac:dyDescent="0.3">
      <c r="A671" s="27" t="s">
        <v>103</v>
      </c>
      <c r="B671" s="34"/>
      <c r="E671" s="36" t="s">
        <v>1665</v>
      </c>
      <c r="J671" s="35"/>
    </row>
    <row r="672" spans="1:16" ht="28.8" x14ac:dyDescent="0.3">
      <c r="A672" s="27" t="s">
        <v>103</v>
      </c>
      <c r="B672" s="34"/>
      <c r="E672" s="36" t="s">
        <v>1666</v>
      </c>
      <c r="J672" s="35"/>
    </row>
    <row r="673" spans="1:10" ht="28.8" x14ac:dyDescent="0.3">
      <c r="A673" s="27" t="s">
        <v>103</v>
      </c>
      <c r="B673" s="34"/>
      <c r="E673" s="36" t="s">
        <v>1667</v>
      </c>
      <c r="J673" s="35"/>
    </row>
    <row r="674" spans="1:10" ht="28.8" x14ac:dyDescent="0.3">
      <c r="A674" s="27" t="s">
        <v>103</v>
      </c>
      <c r="B674" s="34"/>
      <c r="E674" s="36" t="s">
        <v>1668</v>
      </c>
      <c r="J674" s="35"/>
    </row>
    <row r="675" spans="1:10" ht="28.8" x14ac:dyDescent="0.3">
      <c r="A675" s="27" t="s">
        <v>103</v>
      </c>
      <c r="B675" s="34"/>
      <c r="E675" s="36" t="s">
        <v>1669</v>
      </c>
      <c r="J675" s="35"/>
    </row>
    <row r="676" spans="1:10" ht="28.8" x14ac:dyDescent="0.3">
      <c r="A676" s="27" t="s">
        <v>103</v>
      </c>
      <c r="B676" s="34"/>
      <c r="E676" s="36" t="s">
        <v>1670</v>
      </c>
      <c r="J676" s="35"/>
    </row>
    <row r="677" spans="1:10" ht="28.8" x14ac:dyDescent="0.3">
      <c r="A677" s="27" t="s">
        <v>103</v>
      </c>
      <c r="B677" s="34"/>
      <c r="E677" s="36" t="s">
        <v>1671</v>
      </c>
      <c r="J677" s="35"/>
    </row>
    <row r="678" spans="1:10" ht="28.8" x14ac:dyDescent="0.3">
      <c r="A678" s="27" t="s">
        <v>103</v>
      </c>
      <c r="B678" s="34"/>
      <c r="E678" s="36" t="s">
        <v>1672</v>
      </c>
      <c r="J678" s="35"/>
    </row>
    <row r="679" spans="1:10" ht="28.8" x14ac:dyDescent="0.3">
      <c r="A679" s="27" t="s">
        <v>103</v>
      </c>
      <c r="B679" s="34"/>
      <c r="E679" s="36" t="s">
        <v>1673</v>
      </c>
      <c r="J679" s="35"/>
    </row>
    <row r="680" spans="1:10" ht="28.8" x14ac:dyDescent="0.3">
      <c r="A680" s="27" t="s">
        <v>103</v>
      </c>
      <c r="B680" s="34"/>
      <c r="E680" s="36" t="s">
        <v>1674</v>
      </c>
      <c r="J680" s="35"/>
    </row>
    <row r="681" spans="1:10" ht="28.8" x14ac:dyDescent="0.3">
      <c r="A681" s="27" t="s">
        <v>103</v>
      </c>
      <c r="B681" s="34"/>
      <c r="E681" s="36" t="s">
        <v>1675</v>
      </c>
      <c r="J681" s="35"/>
    </row>
    <row r="682" spans="1:10" ht="28.8" x14ac:dyDescent="0.3">
      <c r="A682" s="27" t="s">
        <v>103</v>
      </c>
      <c r="B682" s="34"/>
      <c r="E682" s="36" t="s">
        <v>1676</v>
      </c>
      <c r="J682" s="35"/>
    </row>
    <row r="683" spans="1:10" ht="28.8" x14ac:dyDescent="0.3">
      <c r="A683" s="27" t="s">
        <v>103</v>
      </c>
      <c r="B683" s="34"/>
      <c r="E683" s="36" t="s">
        <v>1677</v>
      </c>
      <c r="J683" s="35"/>
    </row>
    <row r="684" spans="1:10" ht="28.8" x14ac:dyDescent="0.3">
      <c r="A684" s="27" t="s">
        <v>103</v>
      </c>
      <c r="B684" s="34"/>
      <c r="E684" s="36" t="s">
        <v>1678</v>
      </c>
      <c r="J684" s="35"/>
    </row>
    <row r="685" spans="1:10" ht="28.8" x14ac:dyDescent="0.3">
      <c r="A685" s="27" t="s">
        <v>103</v>
      </c>
      <c r="B685" s="34"/>
      <c r="E685" s="36" t="s">
        <v>1679</v>
      </c>
      <c r="J685" s="35"/>
    </row>
    <row r="686" spans="1:10" x14ac:dyDescent="0.3">
      <c r="A686" s="27" t="s">
        <v>103</v>
      </c>
      <c r="B686" s="34"/>
      <c r="E686" s="36" t="s">
        <v>1680</v>
      </c>
      <c r="J686" s="35"/>
    </row>
    <row r="687" spans="1:10" ht="28.8" x14ac:dyDescent="0.3">
      <c r="A687" s="27" t="s">
        <v>103</v>
      </c>
      <c r="B687" s="34"/>
      <c r="E687" s="36" t="s">
        <v>1681</v>
      </c>
      <c r="J687" s="35"/>
    </row>
    <row r="688" spans="1:10" ht="28.8" x14ac:dyDescent="0.3">
      <c r="A688" s="27" t="s">
        <v>103</v>
      </c>
      <c r="B688" s="34"/>
      <c r="E688" s="36" t="s">
        <v>1682</v>
      </c>
      <c r="J688" s="35"/>
    </row>
    <row r="689" spans="1:10" ht="28.8" x14ac:dyDescent="0.3">
      <c r="A689" s="27" t="s">
        <v>103</v>
      </c>
      <c r="B689" s="34"/>
      <c r="E689" s="36" t="s">
        <v>1683</v>
      </c>
      <c r="J689" s="35"/>
    </row>
    <row r="690" spans="1:10" ht="28.8" x14ac:dyDescent="0.3">
      <c r="A690" s="27" t="s">
        <v>103</v>
      </c>
      <c r="B690" s="34"/>
      <c r="E690" s="36" t="s">
        <v>1684</v>
      </c>
      <c r="J690" s="35"/>
    </row>
    <row r="691" spans="1:10" ht="28.8" x14ac:dyDescent="0.3">
      <c r="A691" s="27" t="s">
        <v>103</v>
      </c>
      <c r="B691" s="34"/>
      <c r="E691" s="36" t="s">
        <v>1685</v>
      </c>
      <c r="J691" s="35"/>
    </row>
    <row r="692" spans="1:10" ht="28.8" x14ac:dyDescent="0.3">
      <c r="A692" s="27" t="s">
        <v>103</v>
      </c>
      <c r="B692" s="34"/>
      <c r="E692" s="36" t="s">
        <v>1686</v>
      </c>
      <c r="J692" s="35"/>
    </row>
    <row r="693" spans="1:10" ht="28.8" x14ac:dyDescent="0.3">
      <c r="A693" s="27" t="s">
        <v>103</v>
      </c>
      <c r="B693" s="34"/>
      <c r="E693" s="36" t="s">
        <v>1687</v>
      </c>
      <c r="J693" s="35"/>
    </row>
    <row r="694" spans="1:10" ht="28.8" x14ac:dyDescent="0.3">
      <c r="A694" s="27" t="s">
        <v>103</v>
      </c>
      <c r="B694" s="34"/>
      <c r="E694" s="36" t="s">
        <v>1688</v>
      </c>
      <c r="J694" s="35"/>
    </row>
    <row r="695" spans="1:10" ht="28.8" x14ac:dyDescent="0.3">
      <c r="A695" s="27" t="s">
        <v>103</v>
      </c>
      <c r="B695" s="34"/>
      <c r="E695" s="36" t="s">
        <v>1689</v>
      </c>
      <c r="J695" s="35"/>
    </row>
    <row r="696" spans="1:10" ht="28.8" x14ac:dyDescent="0.3">
      <c r="A696" s="27" t="s">
        <v>103</v>
      </c>
      <c r="B696" s="34"/>
      <c r="E696" s="36" t="s">
        <v>1690</v>
      </c>
      <c r="J696" s="35"/>
    </row>
    <row r="697" spans="1:10" ht="28.8" x14ac:dyDescent="0.3">
      <c r="A697" s="27" t="s">
        <v>103</v>
      </c>
      <c r="B697" s="34"/>
      <c r="E697" s="36" t="s">
        <v>1691</v>
      </c>
      <c r="J697" s="35"/>
    </row>
    <row r="698" spans="1:10" ht="28.8" x14ac:dyDescent="0.3">
      <c r="A698" s="27" t="s">
        <v>103</v>
      </c>
      <c r="B698" s="34"/>
      <c r="E698" s="36" t="s">
        <v>1692</v>
      </c>
      <c r="J698" s="35"/>
    </row>
    <row r="699" spans="1:10" ht="28.8" x14ac:dyDescent="0.3">
      <c r="A699" s="27" t="s">
        <v>103</v>
      </c>
      <c r="B699" s="34"/>
      <c r="E699" s="36" t="s">
        <v>1693</v>
      </c>
      <c r="J699" s="35"/>
    </row>
    <row r="700" spans="1:10" ht="28.8" x14ac:dyDescent="0.3">
      <c r="A700" s="27" t="s">
        <v>103</v>
      </c>
      <c r="B700" s="34"/>
      <c r="E700" s="36" t="s">
        <v>1694</v>
      </c>
      <c r="J700" s="35"/>
    </row>
    <row r="701" spans="1:10" ht="28.8" x14ac:dyDescent="0.3">
      <c r="A701" s="27" t="s">
        <v>103</v>
      </c>
      <c r="B701" s="34"/>
      <c r="E701" s="36" t="s">
        <v>1695</v>
      </c>
      <c r="J701" s="35"/>
    </row>
    <row r="702" spans="1:10" ht="28.8" x14ac:dyDescent="0.3">
      <c r="A702" s="27" t="s">
        <v>103</v>
      </c>
      <c r="B702" s="34"/>
      <c r="E702" s="36" t="s">
        <v>1696</v>
      </c>
      <c r="J702" s="35"/>
    </row>
    <row r="703" spans="1:10" ht="28.8" x14ac:dyDescent="0.3">
      <c r="A703" s="27" t="s">
        <v>103</v>
      </c>
      <c r="B703" s="34"/>
      <c r="E703" s="36" t="s">
        <v>1697</v>
      </c>
      <c r="J703" s="35"/>
    </row>
    <row r="704" spans="1:10" ht="28.8" x14ac:dyDescent="0.3">
      <c r="A704" s="27" t="s">
        <v>103</v>
      </c>
      <c r="B704" s="34"/>
      <c r="E704" s="36" t="s">
        <v>1698</v>
      </c>
      <c r="J704" s="35"/>
    </row>
    <row r="705" spans="1:10" ht="28.8" x14ac:dyDescent="0.3">
      <c r="A705" s="27" t="s">
        <v>103</v>
      </c>
      <c r="B705" s="34"/>
      <c r="E705" s="36" t="s">
        <v>1699</v>
      </c>
      <c r="J705" s="35"/>
    </row>
    <row r="706" spans="1:10" ht="28.8" x14ac:dyDescent="0.3">
      <c r="A706" s="27" t="s">
        <v>103</v>
      </c>
      <c r="B706" s="34"/>
      <c r="E706" s="36" t="s">
        <v>1700</v>
      </c>
      <c r="J706" s="35"/>
    </row>
    <row r="707" spans="1:10" ht="28.8" x14ac:dyDescent="0.3">
      <c r="A707" s="27" t="s">
        <v>103</v>
      </c>
      <c r="B707" s="34"/>
      <c r="E707" s="36" t="s">
        <v>1701</v>
      </c>
      <c r="J707" s="35"/>
    </row>
    <row r="708" spans="1:10" ht="28.8" x14ac:dyDescent="0.3">
      <c r="A708" s="27" t="s">
        <v>103</v>
      </c>
      <c r="B708" s="34"/>
      <c r="E708" s="36" t="s">
        <v>1702</v>
      </c>
      <c r="J708" s="35"/>
    </row>
    <row r="709" spans="1:10" ht="28.8" x14ac:dyDescent="0.3">
      <c r="A709" s="27" t="s">
        <v>103</v>
      </c>
      <c r="B709" s="34"/>
      <c r="E709" s="36" t="s">
        <v>1703</v>
      </c>
      <c r="J709" s="35"/>
    </row>
    <row r="710" spans="1:10" ht="28.8" x14ac:dyDescent="0.3">
      <c r="A710" s="27" t="s">
        <v>103</v>
      </c>
      <c r="B710" s="34"/>
      <c r="E710" s="36" t="s">
        <v>1704</v>
      </c>
      <c r="J710" s="35"/>
    </row>
    <row r="711" spans="1:10" ht="28.8" x14ac:dyDescent="0.3">
      <c r="A711" s="27" t="s">
        <v>103</v>
      </c>
      <c r="B711" s="34"/>
      <c r="E711" s="36" t="s">
        <v>1705</v>
      </c>
      <c r="J711" s="35"/>
    </row>
    <row r="712" spans="1:10" ht="28.8" x14ac:dyDescent="0.3">
      <c r="A712" s="27" t="s">
        <v>103</v>
      </c>
      <c r="B712" s="34"/>
      <c r="E712" s="36" t="s">
        <v>1706</v>
      </c>
      <c r="J712" s="35"/>
    </row>
    <row r="713" spans="1:10" ht="28.8" x14ac:dyDescent="0.3">
      <c r="A713" s="27" t="s">
        <v>103</v>
      </c>
      <c r="B713" s="34"/>
      <c r="E713" s="36" t="s">
        <v>1707</v>
      </c>
      <c r="J713" s="35"/>
    </row>
    <row r="714" spans="1:10" ht="28.8" x14ac:dyDescent="0.3">
      <c r="A714" s="27" t="s">
        <v>103</v>
      </c>
      <c r="B714" s="34"/>
      <c r="E714" s="36" t="s">
        <v>1708</v>
      </c>
      <c r="J714" s="35"/>
    </row>
    <row r="715" spans="1:10" ht="28.8" x14ac:dyDescent="0.3">
      <c r="A715" s="27" t="s">
        <v>103</v>
      </c>
      <c r="B715" s="34"/>
      <c r="E715" s="36" t="s">
        <v>1709</v>
      </c>
      <c r="J715" s="35"/>
    </row>
    <row r="716" spans="1:10" ht="28.8" x14ac:dyDescent="0.3">
      <c r="A716" s="27" t="s">
        <v>103</v>
      </c>
      <c r="B716" s="34"/>
      <c r="E716" s="36" t="s">
        <v>1710</v>
      </c>
      <c r="J716" s="35"/>
    </row>
    <row r="717" spans="1:10" ht="28.8" x14ac:dyDescent="0.3">
      <c r="A717" s="27" t="s">
        <v>103</v>
      </c>
      <c r="B717" s="34"/>
      <c r="E717" s="36" t="s">
        <v>1711</v>
      </c>
      <c r="J717" s="35"/>
    </row>
    <row r="718" spans="1:10" ht="28.8" x14ac:dyDescent="0.3">
      <c r="A718" s="27" t="s">
        <v>103</v>
      </c>
      <c r="B718" s="34"/>
      <c r="E718" s="36" t="s">
        <v>1712</v>
      </c>
      <c r="J718" s="35"/>
    </row>
    <row r="719" spans="1:10" ht="28.8" x14ac:dyDescent="0.3">
      <c r="A719" s="27" t="s">
        <v>103</v>
      </c>
      <c r="B719" s="34"/>
      <c r="E719" s="36" t="s">
        <v>1713</v>
      </c>
      <c r="J719" s="35"/>
    </row>
    <row r="720" spans="1:10" ht="28.8" x14ac:dyDescent="0.3">
      <c r="A720" s="27" t="s">
        <v>103</v>
      </c>
      <c r="B720" s="34"/>
      <c r="E720" s="36" t="s">
        <v>1714</v>
      </c>
      <c r="J720" s="35"/>
    </row>
    <row r="721" spans="1:10" ht="28.8" x14ac:dyDescent="0.3">
      <c r="A721" s="27" t="s">
        <v>103</v>
      </c>
      <c r="B721" s="34"/>
      <c r="E721" s="36" t="s">
        <v>1715</v>
      </c>
      <c r="J721" s="35"/>
    </row>
    <row r="722" spans="1:10" ht="28.8" x14ac:dyDescent="0.3">
      <c r="A722" s="27" t="s">
        <v>103</v>
      </c>
      <c r="B722" s="34"/>
      <c r="E722" s="36" t="s">
        <v>1716</v>
      </c>
      <c r="J722" s="35"/>
    </row>
    <row r="723" spans="1:10" ht="28.8" x14ac:dyDescent="0.3">
      <c r="A723" s="27" t="s">
        <v>103</v>
      </c>
      <c r="B723" s="34"/>
      <c r="E723" s="36" t="s">
        <v>1717</v>
      </c>
      <c r="J723" s="35"/>
    </row>
    <row r="724" spans="1:10" ht="28.8" x14ac:dyDescent="0.3">
      <c r="A724" s="27" t="s">
        <v>103</v>
      </c>
      <c r="B724" s="34"/>
      <c r="E724" s="36" t="s">
        <v>1718</v>
      </c>
      <c r="J724" s="35"/>
    </row>
    <row r="725" spans="1:10" ht="28.8" x14ac:dyDescent="0.3">
      <c r="A725" s="27" t="s">
        <v>103</v>
      </c>
      <c r="B725" s="34"/>
      <c r="E725" s="36" t="s">
        <v>1719</v>
      </c>
      <c r="J725" s="35"/>
    </row>
    <row r="726" spans="1:10" ht="28.8" x14ac:dyDescent="0.3">
      <c r="A726" s="27" t="s">
        <v>103</v>
      </c>
      <c r="B726" s="34"/>
      <c r="E726" s="36" t="s">
        <v>1720</v>
      </c>
      <c r="J726" s="35"/>
    </row>
    <row r="727" spans="1:10" ht="28.8" x14ac:dyDescent="0.3">
      <c r="A727" s="27" t="s">
        <v>103</v>
      </c>
      <c r="B727" s="34"/>
      <c r="E727" s="36" t="s">
        <v>1721</v>
      </c>
      <c r="J727" s="35"/>
    </row>
    <row r="728" spans="1:10" ht="28.8" x14ac:dyDescent="0.3">
      <c r="A728" s="27" t="s">
        <v>103</v>
      </c>
      <c r="B728" s="34"/>
      <c r="E728" s="36" t="s">
        <v>1722</v>
      </c>
      <c r="J728" s="35"/>
    </row>
    <row r="729" spans="1:10" ht="28.8" x14ac:dyDescent="0.3">
      <c r="A729" s="27" t="s">
        <v>103</v>
      </c>
      <c r="B729" s="34"/>
      <c r="E729" s="36" t="s">
        <v>1723</v>
      </c>
      <c r="J729" s="35"/>
    </row>
    <row r="730" spans="1:10" ht="28.8" x14ac:dyDescent="0.3">
      <c r="A730" s="27" t="s">
        <v>103</v>
      </c>
      <c r="B730" s="34"/>
      <c r="E730" s="36" t="s">
        <v>1724</v>
      </c>
      <c r="J730" s="35"/>
    </row>
    <row r="731" spans="1:10" ht="28.8" x14ac:dyDescent="0.3">
      <c r="A731" s="27" t="s">
        <v>103</v>
      </c>
      <c r="B731" s="34"/>
      <c r="E731" s="36" t="s">
        <v>1725</v>
      </c>
      <c r="J731" s="35"/>
    </row>
    <row r="732" spans="1:10" ht="28.8" x14ac:dyDescent="0.3">
      <c r="A732" s="27" t="s">
        <v>103</v>
      </c>
      <c r="B732" s="34"/>
      <c r="E732" s="36" t="s">
        <v>1726</v>
      </c>
      <c r="J732" s="35"/>
    </row>
    <row r="733" spans="1:10" ht="28.8" x14ac:dyDescent="0.3">
      <c r="A733" s="27" t="s">
        <v>103</v>
      </c>
      <c r="B733" s="34"/>
      <c r="E733" s="36" t="s">
        <v>1727</v>
      </c>
      <c r="J733" s="35"/>
    </row>
    <row r="734" spans="1:10" ht="28.8" x14ac:dyDescent="0.3">
      <c r="A734" s="27" t="s">
        <v>103</v>
      </c>
      <c r="B734" s="34"/>
      <c r="E734" s="36" t="s">
        <v>1728</v>
      </c>
      <c r="J734" s="35"/>
    </row>
    <row r="735" spans="1:10" ht="28.8" x14ac:dyDescent="0.3">
      <c r="A735" s="27" t="s">
        <v>103</v>
      </c>
      <c r="B735" s="34"/>
      <c r="E735" s="36" t="s">
        <v>1729</v>
      </c>
      <c r="J735" s="35"/>
    </row>
    <row r="736" spans="1:10" ht="28.8" x14ac:dyDescent="0.3">
      <c r="A736" s="27" t="s">
        <v>103</v>
      </c>
      <c r="B736" s="34"/>
      <c r="E736" s="36" t="s">
        <v>1730</v>
      </c>
      <c r="J736" s="35"/>
    </row>
    <row r="737" spans="1:10" ht="28.8" x14ac:dyDescent="0.3">
      <c r="A737" s="27" t="s">
        <v>103</v>
      </c>
      <c r="B737" s="34"/>
      <c r="E737" s="36" t="s">
        <v>1731</v>
      </c>
      <c r="J737" s="35"/>
    </row>
    <row r="738" spans="1:10" ht="28.8" x14ac:dyDescent="0.3">
      <c r="A738" s="27" t="s">
        <v>103</v>
      </c>
      <c r="B738" s="34"/>
      <c r="E738" s="36" t="s">
        <v>1732</v>
      </c>
      <c r="J738" s="35"/>
    </row>
    <row r="739" spans="1:10" ht="28.8" x14ac:dyDescent="0.3">
      <c r="A739" s="27" t="s">
        <v>103</v>
      </c>
      <c r="B739" s="34"/>
      <c r="E739" s="36" t="s">
        <v>1733</v>
      </c>
      <c r="J739" s="35"/>
    </row>
    <row r="740" spans="1:10" ht="28.8" x14ac:dyDescent="0.3">
      <c r="A740" s="27" t="s">
        <v>103</v>
      </c>
      <c r="B740" s="34"/>
      <c r="E740" s="36" t="s">
        <v>1734</v>
      </c>
      <c r="J740" s="35"/>
    </row>
    <row r="741" spans="1:10" ht="28.8" x14ac:dyDescent="0.3">
      <c r="A741" s="27" t="s">
        <v>103</v>
      </c>
      <c r="B741" s="34"/>
      <c r="E741" s="36" t="s">
        <v>1735</v>
      </c>
      <c r="J741" s="35"/>
    </row>
    <row r="742" spans="1:10" ht="28.8" x14ac:dyDescent="0.3">
      <c r="A742" s="27" t="s">
        <v>103</v>
      </c>
      <c r="B742" s="34"/>
      <c r="E742" s="36" t="s">
        <v>1736</v>
      </c>
      <c r="J742" s="35"/>
    </row>
    <row r="743" spans="1:10" ht="28.8" x14ac:dyDescent="0.3">
      <c r="A743" s="27" t="s">
        <v>103</v>
      </c>
      <c r="B743" s="34"/>
      <c r="E743" s="36" t="s">
        <v>1737</v>
      </c>
      <c r="J743" s="35"/>
    </row>
    <row r="744" spans="1:10" ht="28.8" x14ac:dyDescent="0.3">
      <c r="A744" s="27" t="s">
        <v>103</v>
      </c>
      <c r="B744" s="34"/>
      <c r="E744" s="36" t="s">
        <v>1738</v>
      </c>
      <c r="J744" s="35"/>
    </row>
    <row r="745" spans="1:10" ht="28.8" x14ac:dyDescent="0.3">
      <c r="A745" s="27" t="s">
        <v>103</v>
      </c>
      <c r="B745" s="34"/>
      <c r="E745" s="36" t="s">
        <v>1739</v>
      </c>
      <c r="J745" s="35"/>
    </row>
    <row r="746" spans="1:10" ht="28.8" x14ac:dyDescent="0.3">
      <c r="A746" s="27" t="s">
        <v>103</v>
      </c>
      <c r="B746" s="34"/>
      <c r="E746" s="36" t="s">
        <v>1740</v>
      </c>
      <c r="J746" s="35"/>
    </row>
    <row r="747" spans="1:10" ht="28.8" x14ac:dyDescent="0.3">
      <c r="A747" s="27" t="s">
        <v>103</v>
      </c>
      <c r="B747" s="34"/>
      <c r="E747" s="36" t="s">
        <v>1741</v>
      </c>
      <c r="J747" s="35"/>
    </row>
    <row r="748" spans="1:10" ht="28.8" x14ac:dyDescent="0.3">
      <c r="A748" s="27" t="s">
        <v>103</v>
      </c>
      <c r="B748" s="34"/>
      <c r="E748" s="36" t="s">
        <v>1742</v>
      </c>
      <c r="J748" s="35"/>
    </row>
    <row r="749" spans="1:10" ht="28.8" x14ac:dyDescent="0.3">
      <c r="A749" s="27" t="s">
        <v>103</v>
      </c>
      <c r="B749" s="34"/>
      <c r="E749" s="36" t="s">
        <v>1743</v>
      </c>
      <c r="J749" s="35"/>
    </row>
    <row r="750" spans="1:10" ht="28.8" x14ac:dyDescent="0.3">
      <c r="A750" s="27" t="s">
        <v>103</v>
      </c>
      <c r="B750" s="34"/>
      <c r="E750" s="36" t="s">
        <v>1744</v>
      </c>
      <c r="J750" s="35"/>
    </row>
    <row r="751" spans="1:10" ht="28.8" x14ac:dyDescent="0.3">
      <c r="A751" s="27" t="s">
        <v>103</v>
      </c>
      <c r="B751" s="34"/>
      <c r="E751" s="36" t="s">
        <v>1745</v>
      </c>
      <c r="J751" s="35"/>
    </row>
    <row r="752" spans="1:10" x14ac:dyDescent="0.3">
      <c r="A752" s="27" t="s">
        <v>103</v>
      </c>
      <c r="B752" s="34"/>
      <c r="E752" s="36" t="s">
        <v>1746</v>
      </c>
      <c r="J752" s="35"/>
    </row>
    <row r="753" spans="1:10" ht="28.8" x14ac:dyDescent="0.3">
      <c r="A753" s="27" t="s">
        <v>103</v>
      </c>
      <c r="B753" s="34"/>
      <c r="E753" s="36" t="s">
        <v>1747</v>
      </c>
      <c r="J753" s="35"/>
    </row>
    <row r="754" spans="1:10" ht="28.8" x14ac:dyDescent="0.3">
      <c r="A754" s="27" t="s">
        <v>103</v>
      </c>
      <c r="B754" s="34"/>
      <c r="E754" s="36" t="s">
        <v>1748</v>
      </c>
      <c r="J754" s="35"/>
    </row>
    <row r="755" spans="1:10" ht="28.8" x14ac:dyDescent="0.3">
      <c r="A755" s="27" t="s">
        <v>103</v>
      </c>
      <c r="B755" s="34"/>
      <c r="E755" s="36" t="s">
        <v>1749</v>
      </c>
      <c r="J755" s="35"/>
    </row>
    <row r="756" spans="1:10" ht="28.8" x14ac:dyDescent="0.3">
      <c r="A756" s="27" t="s">
        <v>103</v>
      </c>
      <c r="B756" s="34"/>
      <c r="E756" s="36" t="s">
        <v>1750</v>
      </c>
      <c r="J756" s="35"/>
    </row>
    <row r="757" spans="1:10" x14ac:dyDescent="0.3">
      <c r="A757" s="27" t="s">
        <v>103</v>
      </c>
      <c r="B757" s="34"/>
      <c r="E757" s="36" t="s">
        <v>1751</v>
      </c>
      <c r="J757" s="35"/>
    </row>
    <row r="758" spans="1:10" ht="28.8" x14ac:dyDescent="0.3">
      <c r="A758" s="27" t="s">
        <v>103</v>
      </c>
      <c r="B758" s="34"/>
      <c r="E758" s="36" t="s">
        <v>1418</v>
      </c>
      <c r="J758" s="35"/>
    </row>
    <row r="759" spans="1:10" ht="28.8" x14ac:dyDescent="0.3">
      <c r="A759" s="27" t="s">
        <v>103</v>
      </c>
      <c r="B759" s="34"/>
      <c r="E759" s="36" t="s">
        <v>1419</v>
      </c>
      <c r="J759" s="35"/>
    </row>
    <row r="760" spans="1:10" ht="28.8" x14ac:dyDescent="0.3">
      <c r="A760" s="27" t="s">
        <v>103</v>
      </c>
      <c r="B760" s="34"/>
      <c r="E760" s="36" t="s">
        <v>1420</v>
      </c>
      <c r="J760" s="35"/>
    </row>
    <row r="761" spans="1:10" ht="28.8" x14ac:dyDescent="0.3">
      <c r="A761" s="27" t="s">
        <v>103</v>
      </c>
      <c r="B761" s="34"/>
      <c r="E761" s="36" t="s">
        <v>1421</v>
      </c>
      <c r="J761" s="35"/>
    </row>
    <row r="762" spans="1:10" ht="28.8" x14ac:dyDescent="0.3">
      <c r="A762" s="27" t="s">
        <v>103</v>
      </c>
      <c r="B762" s="34"/>
      <c r="E762" s="36" t="s">
        <v>1422</v>
      </c>
      <c r="J762" s="35"/>
    </row>
    <row r="763" spans="1:10" ht="28.8" x14ac:dyDescent="0.3">
      <c r="A763" s="27" t="s">
        <v>103</v>
      </c>
      <c r="B763" s="34"/>
      <c r="E763" s="36" t="s">
        <v>1423</v>
      </c>
      <c r="J763" s="35"/>
    </row>
    <row r="764" spans="1:10" ht="28.8" x14ac:dyDescent="0.3">
      <c r="A764" s="27" t="s">
        <v>103</v>
      </c>
      <c r="B764" s="34"/>
      <c r="E764" s="36" t="s">
        <v>1424</v>
      </c>
      <c r="J764" s="35"/>
    </row>
    <row r="765" spans="1:10" ht="28.8" x14ac:dyDescent="0.3">
      <c r="A765" s="27" t="s">
        <v>103</v>
      </c>
      <c r="B765" s="34"/>
      <c r="E765" s="36" t="s">
        <v>1425</v>
      </c>
      <c r="J765" s="35"/>
    </row>
    <row r="766" spans="1:10" ht="28.8" x14ac:dyDescent="0.3">
      <c r="A766" s="27" t="s">
        <v>103</v>
      </c>
      <c r="B766" s="34"/>
      <c r="E766" s="36" t="s">
        <v>1426</v>
      </c>
      <c r="J766" s="35"/>
    </row>
    <row r="767" spans="1:10" ht="28.8" x14ac:dyDescent="0.3">
      <c r="A767" s="27" t="s">
        <v>103</v>
      </c>
      <c r="B767" s="34"/>
      <c r="E767" s="36" t="s">
        <v>1427</v>
      </c>
      <c r="J767" s="35"/>
    </row>
    <row r="768" spans="1:10" ht="28.8" x14ac:dyDescent="0.3">
      <c r="A768" s="27" t="s">
        <v>103</v>
      </c>
      <c r="B768" s="34"/>
      <c r="E768" s="36" t="s">
        <v>1428</v>
      </c>
      <c r="J768" s="35"/>
    </row>
    <row r="769" spans="1:10" ht="28.8" x14ac:dyDescent="0.3">
      <c r="A769" s="27" t="s">
        <v>103</v>
      </c>
      <c r="B769" s="34"/>
      <c r="E769" s="36" t="s">
        <v>1429</v>
      </c>
      <c r="J769" s="35"/>
    </row>
    <row r="770" spans="1:10" ht="28.8" x14ac:dyDescent="0.3">
      <c r="A770" s="27" t="s">
        <v>103</v>
      </c>
      <c r="B770" s="34"/>
      <c r="E770" s="36" t="s">
        <v>1430</v>
      </c>
      <c r="J770" s="35"/>
    </row>
    <row r="771" spans="1:10" ht="28.8" x14ac:dyDescent="0.3">
      <c r="A771" s="27" t="s">
        <v>103</v>
      </c>
      <c r="B771" s="34"/>
      <c r="E771" s="36" t="s">
        <v>1431</v>
      </c>
      <c r="J771" s="35"/>
    </row>
    <row r="772" spans="1:10" ht="28.8" x14ac:dyDescent="0.3">
      <c r="A772" s="27" t="s">
        <v>103</v>
      </c>
      <c r="B772" s="34"/>
      <c r="E772" s="36" t="s">
        <v>1432</v>
      </c>
      <c r="J772" s="35"/>
    </row>
    <row r="773" spans="1:10" ht="28.8" x14ac:dyDescent="0.3">
      <c r="A773" s="27" t="s">
        <v>103</v>
      </c>
      <c r="B773" s="34"/>
      <c r="E773" s="36" t="s">
        <v>1433</v>
      </c>
      <c r="J773" s="35"/>
    </row>
    <row r="774" spans="1:10" ht="28.8" x14ac:dyDescent="0.3">
      <c r="A774" s="27" t="s">
        <v>103</v>
      </c>
      <c r="B774" s="34"/>
      <c r="E774" s="36" t="s">
        <v>1434</v>
      </c>
      <c r="J774" s="35"/>
    </row>
    <row r="775" spans="1:10" ht="28.8" x14ac:dyDescent="0.3">
      <c r="A775" s="27" t="s">
        <v>103</v>
      </c>
      <c r="B775" s="34"/>
      <c r="E775" s="36" t="s">
        <v>1435</v>
      </c>
      <c r="J775" s="35"/>
    </row>
    <row r="776" spans="1:10" ht="28.8" x14ac:dyDescent="0.3">
      <c r="A776" s="27" t="s">
        <v>103</v>
      </c>
      <c r="B776" s="34"/>
      <c r="E776" s="36" t="s">
        <v>1436</v>
      </c>
      <c r="J776" s="35"/>
    </row>
    <row r="777" spans="1:10" ht="28.8" x14ac:dyDescent="0.3">
      <c r="A777" s="27" t="s">
        <v>103</v>
      </c>
      <c r="B777" s="34"/>
      <c r="E777" s="36" t="s">
        <v>1437</v>
      </c>
      <c r="J777" s="35"/>
    </row>
    <row r="778" spans="1:10" ht="28.8" x14ac:dyDescent="0.3">
      <c r="A778" s="27" t="s">
        <v>103</v>
      </c>
      <c r="B778" s="34"/>
      <c r="E778" s="36" t="s">
        <v>1438</v>
      </c>
      <c r="J778" s="35"/>
    </row>
    <row r="779" spans="1:10" ht="28.8" x14ac:dyDescent="0.3">
      <c r="A779" s="27" t="s">
        <v>103</v>
      </c>
      <c r="B779" s="34"/>
      <c r="E779" s="36" t="s">
        <v>1439</v>
      </c>
      <c r="J779" s="35"/>
    </row>
    <row r="780" spans="1:10" ht="28.8" x14ac:dyDescent="0.3">
      <c r="A780" s="27" t="s">
        <v>103</v>
      </c>
      <c r="B780" s="34"/>
      <c r="E780" s="36" t="s">
        <v>1440</v>
      </c>
      <c r="J780" s="35"/>
    </row>
    <row r="781" spans="1:10" ht="28.8" x14ac:dyDescent="0.3">
      <c r="A781" s="27" t="s">
        <v>103</v>
      </c>
      <c r="B781" s="34"/>
      <c r="E781" s="36" t="s">
        <v>1441</v>
      </c>
      <c r="J781" s="35"/>
    </row>
    <row r="782" spans="1:10" ht="28.8" x14ac:dyDescent="0.3">
      <c r="A782" s="27" t="s">
        <v>103</v>
      </c>
      <c r="B782" s="34"/>
      <c r="E782" s="36" t="s">
        <v>1442</v>
      </c>
      <c r="J782" s="35"/>
    </row>
    <row r="783" spans="1:10" ht="28.8" x14ac:dyDescent="0.3">
      <c r="A783" s="27" t="s">
        <v>103</v>
      </c>
      <c r="B783" s="34"/>
      <c r="E783" s="36" t="s">
        <v>1443</v>
      </c>
      <c r="J783" s="35"/>
    </row>
    <row r="784" spans="1:10" ht="28.8" x14ac:dyDescent="0.3">
      <c r="A784" s="27" t="s">
        <v>103</v>
      </c>
      <c r="B784" s="34"/>
      <c r="E784" s="36" t="s">
        <v>1444</v>
      </c>
      <c r="J784" s="35"/>
    </row>
    <row r="785" spans="1:10" ht="28.8" x14ac:dyDescent="0.3">
      <c r="A785" s="27" t="s">
        <v>103</v>
      </c>
      <c r="B785" s="34"/>
      <c r="E785" s="36" t="s">
        <v>1445</v>
      </c>
      <c r="J785" s="35"/>
    </row>
    <row r="786" spans="1:10" ht="28.8" x14ac:dyDescent="0.3">
      <c r="A786" s="27" t="s">
        <v>103</v>
      </c>
      <c r="B786" s="34"/>
      <c r="E786" s="36" t="s">
        <v>1446</v>
      </c>
      <c r="J786" s="35"/>
    </row>
    <row r="787" spans="1:10" ht="28.8" x14ac:dyDescent="0.3">
      <c r="A787" s="27" t="s">
        <v>103</v>
      </c>
      <c r="B787" s="34"/>
      <c r="E787" s="36" t="s">
        <v>1447</v>
      </c>
      <c r="J787" s="35"/>
    </row>
    <row r="788" spans="1:10" ht="28.8" x14ac:dyDescent="0.3">
      <c r="A788" s="27" t="s">
        <v>103</v>
      </c>
      <c r="B788" s="34"/>
      <c r="E788" s="36" t="s">
        <v>1448</v>
      </c>
      <c r="J788" s="35"/>
    </row>
    <row r="789" spans="1:10" ht="28.8" x14ac:dyDescent="0.3">
      <c r="A789" s="27" t="s">
        <v>103</v>
      </c>
      <c r="B789" s="34"/>
      <c r="E789" s="36" t="s">
        <v>1449</v>
      </c>
      <c r="J789" s="35"/>
    </row>
    <row r="790" spans="1:10" x14ac:dyDescent="0.3">
      <c r="A790" s="27" t="s">
        <v>103</v>
      </c>
      <c r="B790" s="34"/>
      <c r="E790" s="36" t="s">
        <v>1450</v>
      </c>
      <c r="J790" s="35"/>
    </row>
    <row r="791" spans="1:10" ht="28.8" x14ac:dyDescent="0.3">
      <c r="A791" s="27" t="s">
        <v>103</v>
      </c>
      <c r="B791" s="34"/>
      <c r="E791" s="36" t="s">
        <v>1390</v>
      </c>
      <c r="J791" s="35"/>
    </row>
    <row r="792" spans="1:10" ht="28.8" x14ac:dyDescent="0.3">
      <c r="A792" s="27" t="s">
        <v>103</v>
      </c>
      <c r="B792" s="34"/>
      <c r="E792" s="36" t="s">
        <v>1391</v>
      </c>
      <c r="J792" s="35"/>
    </row>
    <row r="793" spans="1:10" ht="28.8" x14ac:dyDescent="0.3">
      <c r="A793" s="27" t="s">
        <v>103</v>
      </c>
      <c r="B793" s="34"/>
      <c r="E793" s="36" t="s">
        <v>1392</v>
      </c>
      <c r="J793" s="35"/>
    </row>
    <row r="794" spans="1:10" ht="28.8" x14ac:dyDescent="0.3">
      <c r="A794" s="27" t="s">
        <v>103</v>
      </c>
      <c r="B794" s="34"/>
      <c r="E794" s="36" t="s">
        <v>1393</v>
      </c>
      <c r="J794" s="35"/>
    </row>
    <row r="795" spans="1:10" ht="28.8" x14ac:dyDescent="0.3">
      <c r="A795" s="27" t="s">
        <v>103</v>
      </c>
      <c r="B795" s="34"/>
      <c r="E795" s="36" t="s">
        <v>1394</v>
      </c>
      <c r="J795" s="35"/>
    </row>
    <row r="796" spans="1:10" ht="28.8" x14ac:dyDescent="0.3">
      <c r="A796" s="27" t="s">
        <v>103</v>
      </c>
      <c r="B796" s="34"/>
      <c r="E796" s="36" t="s">
        <v>1395</v>
      </c>
      <c r="J796" s="35"/>
    </row>
    <row r="797" spans="1:10" ht="28.8" x14ac:dyDescent="0.3">
      <c r="A797" s="27" t="s">
        <v>103</v>
      </c>
      <c r="B797" s="34"/>
      <c r="E797" s="36" t="s">
        <v>1396</v>
      </c>
      <c r="J797" s="35"/>
    </row>
    <row r="798" spans="1:10" ht="28.8" x14ac:dyDescent="0.3">
      <c r="A798" s="27" t="s">
        <v>103</v>
      </c>
      <c r="B798" s="34"/>
      <c r="E798" s="36" t="s">
        <v>1752</v>
      </c>
      <c r="J798" s="35"/>
    </row>
    <row r="799" spans="1:10" ht="28.8" x14ac:dyDescent="0.3">
      <c r="A799" s="27" t="s">
        <v>103</v>
      </c>
      <c r="B799" s="34"/>
      <c r="E799" s="36" t="s">
        <v>1753</v>
      </c>
      <c r="J799" s="35"/>
    </row>
    <row r="800" spans="1:10" ht="28.8" x14ac:dyDescent="0.3">
      <c r="A800" s="27" t="s">
        <v>103</v>
      </c>
      <c r="B800" s="34"/>
      <c r="E800" s="36" t="s">
        <v>1754</v>
      </c>
      <c r="J800" s="35"/>
    </row>
    <row r="801" spans="1:10" ht="28.8" x14ac:dyDescent="0.3">
      <c r="A801" s="27" t="s">
        <v>103</v>
      </c>
      <c r="B801" s="34"/>
      <c r="E801" s="36" t="s">
        <v>1755</v>
      </c>
      <c r="J801" s="35"/>
    </row>
    <row r="802" spans="1:10" ht="28.8" x14ac:dyDescent="0.3">
      <c r="A802" s="27" t="s">
        <v>103</v>
      </c>
      <c r="B802" s="34"/>
      <c r="E802" s="36" t="s">
        <v>1756</v>
      </c>
      <c r="J802" s="35"/>
    </row>
    <row r="803" spans="1:10" ht="28.8" x14ac:dyDescent="0.3">
      <c r="A803" s="27" t="s">
        <v>103</v>
      </c>
      <c r="B803" s="34"/>
      <c r="E803" s="36" t="s">
        <v>1757</v>
      </c>
      <c r="J803" s="35"/>
    </row>
    <row r="804" spans="1:10" ht="28.8" x14ac:dyDescent="0.3">
      <c r="A804" s="27" t="s">
        <v>103</v>
      </c>
      <c r="B804" s="34"/>
      <c r="E804" s="36" t="s">
        <v>1758</v>
      </c>
      <c r="J804" s="35"/>
    </row>
    <row r="805" spans="1:10" ht="28.8" x14ac:dyDescent="0.3">
      <c r="A805" s="27" t="s">
        <v>103</v>
      </c>
      <c r="B805" s="34"/>
      <c r="E805" s="36" t="s">
        <v>1759</v>
      </c>
      <c r="J805" s="35"/>
    </row>
    <row r="806" spans="1:10" ht="28.8" x14ac:dyDescent="0.3">
      <c r="A806" s="27" t="s">
        <v>103</v>
      </c>
      <c r="B806" s="34"/>
      <c r="E806" s="36" t="s">
        <v>1760</v>
      </c>
      <c r="J806" s="35"/>
    </row>
    <row r="807" spans="1:10" ht="28.8" x14ac:dyDescent="0.3">
      <c r="A807" s="27" t="s">
        <v>103</v>
      </c>
      <c r="B807" s="34"/>
      <c r="E807" s="36" t="s">
        <v>1761</v>
      </c>
      <c r="J807" s="35"/>
    </row>
    <row r="808" spans="1:10" ht="28.8" x14ac:dyDescent="0.3">
      <c r="A808" s="27" t="s">
        <v>103</v>
      </c>
      <c r="B808" s="34"/>
      <c r="E808" s="36" t="s">
        <v>1762</v>
      </c>
      <c r="J808" s="35"/>
    </row>
    <row r="809" spans="1:10" ht="28.8" x14ac:dyDescent="0.3">
      <c r="A809" s="27" t="s">
        <v>103</v>
      </c>
      <c r="B809" s="34"/>
      <c r="E809" s="36" t="s">
        <v>1763</v>
      </c>
      <c r="J809" s="35"/>
    </row>
    <row r="810" spans="1:10" ht="28.8" x14ac:dyDescent="0.3">
      <c r="A810" s="27" t="s">
        <v>103</v>
      </c>
      <c r="B810" s="34"/>
      <c r="E810" s="36" t="s">
        <v>1764</v>
      </c>
      <c r="J810" s="35"/>
    </row>
    <row r="811" spans="1:10" ht="28.8" x14ac:dyDescent="0.3">
      <c r="A811" s="27" t="s">
        <v>103</v>
      </c>
      <c r="B811" s="34"/>
      <c r="E811" s="36" t="s">
        <v>1765</v>
      </c>
      <c r="J811" s="35"/>
    </row>
    <row r="812" spans="1:10" ht="28.8" x14ac:dyDescent="0.3">
      <c r="A812" s="27" t="s">
        <v>103</v>
      </c>
      <c r="B812" s="34"/>
      <c r="E812" s="36" t="s">
        <v>1766</v>
      </c>
      <c r="J812" s="35"/>
    </row>
    <row r="813" spans="1:10" ht="28.8" x14ac:dyDescent="0.3">
      <c r="A813" s="27" t="s">
        <v>103</v>
      </c>
      <c r="B813" s="34"/>
      <c r="E813" s="36" t="s">
        <v>1767</v>
      </c>
      <c r="J813" s="35"/>
    </row>
    <row r="814" spans="1:10" ht="28.8" x14ac:dyDescent="0.3">
      <c r="A814" s="27" t="s">
        <v>103</v>
      </c>
      <c r="B814" s="34"/>
      <c r="E814" s="36" t="s">
        <v>1768</v>
      </c>
      <c r="J814" s="35"/>
    </row>
    <row r="815" spans="1:10" ht="28.8" x14ac:dyDescent="0.3">
      <c r="A815" s="27" t="s">
        <v>103</v>
      </c>
      <c r="B815" s="34"/>
      <c r="E815" s="36" t="s">
        <v>1769</v>
      </c>
      <c r="J815" s="35"/>
    </row>
    <row r="816" spans="1:10" ht="28.8" x14ac:dyDescent="0.3">
      <c r="A816" s="27" t="s">
        <v>103</v>
      </c>
      <c r="B816" s="34"/>
      <c r="E816" s="36" t="s">
        <v>1770</v>
      </c>
      <c r="J816" s="35"/>
    </row>
    <row r="817" spans="1:16" ht="28.8" x14ac:dyDescent="0.3">
      <c r="A817" s="27" t="s">
        <v>103</v>
      </c>
      <c r="B817" s="34"/>
      <c r="E817" s="36" t="s">
        <v>1771</v>
      </c>
      <c r="J817" s="35"/>
    </row>
    <row r="818" spans="1:16" ht="28.8" x14ac:dyDescent="0.3">
      <c r="A818" s="27" t="s">
        <v>103</v>
      </c>
      <c r="B818" s="34"/>
      <c r="E818" s="36" t="s">
        <v>1772</v>
      </c>
      <c r="J818" s="35"/>
    </row>
    <row r="819" spans="1:16" ht="28.8" x14ac:dyDescent="0.3">
      <c r="A819" s="27" t="s">
        <v>103</v>
      </c>
      <c r="B819" s="34"/>
      <c r="E819" s="36" t="s">
        <v>1773</v>
      </c>
      <c r="J819" s="35"/>
    </row>
    <row r="820" spans="1:16" ht="28.8" x14ac:dyDescent="0.3">
      <c r="A820" s="27" t="s">
        <v>103</v>
      </c>
      <c r="B820" s="34"/>
      <c r="E820" s="36" t="s">
        <v>1774</v>
      </c>
      <c r="J820" s="35"/>
    </row>
    <row r="821" spans="1:16" ht="28.8" x14ac:dyDescent="0.3">
      <c r="A821" s="27" t="s">
        <v>103</v>
      </c>
      <c r="B821" s="34"/>
      <c r="E821" s="36" t="s">
        <v>1775</v>
      </c>
      <c r="J821" s="35"/>
    </row>
    <row r="822" spans="1:16" x14ac:dyDescent="0.3">
      <c r="A822" s="27" t="s">
        <v>103</v>
      </c>
      <c r="B822" s="34"/>
      <c r="E822" s="36" t="s">
        <v>1776</v>
      </c>
      <c r="J822" s="35"/>
    </row>
    <row r="823" spans="1:16" ht="72" x14ac:dyDescent="0.3">
      <c r="A823" s="27" t="s">
        <v>105</v>
      </c>
      <c r="B823" s="34"/>
      <c r="E823" s="29" t="s">
        <v>1777</v>
      </c>
      <c r="J823" s="35"/>
    </row>
    <row r="824" spans="1:16" x14ac:dyDescent="0.3">
      <c r="A824" s="27" t="s">
        <v>95</v>
      </c>
      <c r="B824" s="27">
        <v>11</v>
      </c>
      <c r="C824" s="28" t="s">
        <v>1778</v>
      </c>
      <c r="D824" s="27" t="s">
        <v>129</v>
      </c>
      <c r="E824" s="29" t="s">
        <v>1779</v>
      </c>
      <c r="F824" s="30" t="s">
        <v>248</v>
      </c>
      <c r="G824" s="31">
        <v>666.274</v>
      </c>
      <c r="H824" s="32">
        <v>0</v>
      </c>
      <c r="I824" s="32">
        <f>ROUND(164.124*H824,P4)+ROUND(502.15*H824,P4)</f>
        <v>0</v>
      </c>
      <c r="J824" s="30" t="s">
        <v>118</v>
      </c>
      <c r="O824" s="33">
        <f>I824*0.21</f>
        <v>0</v>
      </c>
      <c r="P824">
        <v>3</v>
      </c>
    </row>
    <row r="825" spans="1:16" ht="158.4" x14ac:dyDescent="0.3">
      <c r="A825" s="27" t="s">
        <v>101</v>
      </c>
      <c r="B825" s="34"/>
      <c r="E825" s="29" t="s">
        <v>1780</v>
      </c>
      <c r="J825" s="35"/>
    </row>
    <row r="826" spans="1:16" ht="28.8" x14ac:dyDescent="0.3">
      <c r="A826" s="27" t="s">
        <v>103</v>
      </c>
      <c r="B826" s="34"/>
      <c r="E826" s="36" t="s">
        <v>1781</v>
      </c>
      <c r="J826" s="35"/>
    </row>
    <row r="827" spans="1:16" x14ac:dyDescent="0.3">
      <c r="A827" s="27" t="s">
        <v>103</v>
      </c>
      <c r="B827" s="34"/>
      <c r="E827" s="36" t="s">
        <v>1782</v>
      </c>
      <c r="J827" s="35"/>
    </row>
    <row r="828" spans="1:16" ht="28.8" x14ac:dyDescent="0.3">
      <c r="A828" s="27" t="s">
        <v>103</v>
      </c>
      <c r="B828" s="34"/>
      <c r="E828" s="36" t="s">
        <v>1783</v>
      </c>
      <c r="J828" s="35"/>
    </row>
    <row r="829" spans="1:16" ht="28.8" x14ac:dyDescent="0.3">
      <c r="A829" s="27" t="s">
        <v>103</v>
      </c>
      <c r="B829" s="34"/>
      <c r="E829" s="36" t="s">
        <v>1784</v>
      </c>
      <c r="J829" s="35"/>
    </row>
    <row r="830" spans="1:16" ht="28.8" x14ac:dyDescent="0.3">
      <c r="A830" s="27" t="s">
        <v>103</v>
      </c>
      <c r="B830" s="34"/>
      <c r="E830" s="36" t="s">
        <v>1785</v>
      </c>
      <c r="J830" s="35"/>
    </row>
    <row r="831" spans="1:16" ht="28.8" x14ac:dyDescent="0.3">
      <c r="A831" s="27" t="s">
        <v>103</v>
      </c>
      <c r="B831" s="34"/>
      <c r="E831" s="36" t="s">
        <v>1786</v>
      </c>
      <c r="J831" s="35"/>
    </row>
    <row r="832" spans="1:16" x14ac:dyDescent="0.3">
      <c r="A832" s="27" t="s">
        <v>103</v>
      </c>
      <c r="B832" s="34"/>
      <c r="E832" s="36" t="s">
        <v>1787</v>
      </c>
      <c r="J832" s="35"/>
    </row>
    <row r="833" spans="1:10" ht="115.2" x14ac:dyDescent="0.3">
      <c r="A833" s="27" t="s">
        <v>105</v>
      </c>
      <c r="B833" s="37"/>
      <c r="C833" s="38"/>
      <c r="D833" s="38"/>
      <c r="E833" s="29" t="s">
        <v>1788</v>
      </c>
      <c r="F833" s="38"/>
      <c r="G833" s="38"/>
      <c r="H833" s="38"/>
      <c r="I833" s="38"/>
      <c r="J833"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32"/>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29</v>
      </c>
      <c r="I3" s="16">
        <f>SUMIFS(I9:I432,A9:A432,"SD")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29</v>
      </c>
      <c r="D5" s="44"/>
      <c r="E5" s="14" t="s">
        <v>30</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SUMIFS(I10:I210,A10:A210,"P")</f>
        <v>0</v>
      </c>
      <c r="J9" s="26"/>
    </row>
    <row r="10" spans="1:16" x14ac:dyDescent="0.3">
      <c r="A10" s="27" t="s">
        <v>95</v>
      </c>
      <c r="B10" s="27">
        <v>1</v>
      </c>
      <c r="C10" s="28" t="s">
        <v>452</v>
      </c>
      <c r="D10" s="27" t="s">
        <v>129</v>
      </c>
      <c r="E10" s="29" t="s">
        <v>453</v>
      </c>
      <c r="F10" s="30" t="s">
        <v>229</v>
      </c>
      <c r="G10" s="31">
        <v>487.22</v>
      </c>
      <c r="H10" s="32">
        <v>0</v>
      </c>
      <c r="I10" s="32">
        <f>ROUND(487.22*H10,P4)</f>
        <v>0</v>
      </c>
      <c r="J10" s="30" t="s">
        <v>118</v>
      </c>
      <c r="O10" s="33">
        <f>I10*0.21</f>
        <v>0</v>
      </c>
      <c r="P10">
        <v>3</v>
      </c>
    </row>
    <row r="11" spans="1:16" ht="115.2" x14ac:dyDescent="0.3">
      <c r="A11" s="27" t="s">
        <v>101</v>
      </c>
      <c r="B11" s="34"/>
      <c r="E11" s="29" t="s">
        <v>1299</v>
      </c>
      <c r="J11" s="35"/>
    </row>
    <row r="12" spans="1:16" ht="28.8" x14ac:dyDescent="0.3">
      <c r="A12" s="27" t="s">
        <v>103</v>
      </c>
      <c r="B12" s="34"/>
      <c r="E12" s="36" t="s">
        <v>1789</v>
      </c>
      <c r="J12" s="35"/>
    </row>
    <row r="13" spans="1:16" ht="28.8" x14ac:dyDescent="0.3">
      <c r="A13" s="27" t="s">
        <v>103</v>
      </c>
      <c r="B13" s="34"/>
      <c r="E13" s="36" t="s">
        <v>1790</v>
      </c>
      <c r="J13" s="35"/>
    </row>
    <row r="14" spans="1:16" ht="28.8" x14ac:dyDescent="0.3">
      <c r="A14" s="27" t="s">
        <v>103</v>
      </c>
      <c r="B14" s="34"/>
      <c r="E14" s="36" t="s">
        <v>1791</v>
      </c>
      <c r="J14" s="35"/>
    </row>
    <row r="15" spans="1:16" ht="28.8" x14ac:dyDescent="0.3">
      <c r="A15" s="27" t="s">
        <v>103</v>
      </c>
      <c r="B15" s="34"/>
      <c r="E15" s="36" t="s">
        <v>1792</v>
      </c>
      <c r="J15" s="35"/>
    </row>
    <row r="16" spans="1:16" ht="28.8" x14ac:dyDescent="0.3">
      <c r="A16" s="27" t="s">
        <v>103</v>
      </c>
      <c r="B16" s="34"/>
      <c r="E16" s="36" t="s">
        <v>1793</v>
      </c>
      <c r="J16" s="35"/>
    </row>
    <row r="17" spans="1:16" ht="28.8" x14ac:dyDescent="0.3">
      <c r="A17" s="27" t="s">
        <v>103</v>
      </c>
      <c r="B17" s="34"/>
      <c r="E17" s="36" t="s">
        <v>1794</v>
      </c>
      <c r="J17" s="35"/>
    </row>
    <row r="18" spans="1:16" ht="28.8" x14ac:dyDescent="0.3">
      <c r="A18" s="27" t="s">
        <v>103</v>
      </c>
      <c r="B18" s="34"/>
      <c r="E18" s="36" t="s">
        <v>1795</v>
      </c>
      <c r="J18" s="35"/>
    </row>
    <row r="19" spans="1:16" ht="28.8" x14ac:dyDescent="0.3">
      <c r="A19" s="27" t="s">
        <v>103</v>
      </c>
      <c r="B19" s="34"/>
      <c r="E19" s="36" t="s">
        <v>1796</v>
      </c>
      <c r="J19" s="35"/>
    </row>
    <row r="20" spans="1:16" ht="28.8" x14ac:dyDescent="0.3">
      <c r="A20" s="27" t="s">
        <v>103</v>
      </c>
      <c r="B20" s="34"/>
      <c r="E20" s="36" t="s">
        <v>1797</v>
      </c>
      <c r="J20" s="35"/>
    </row>
    <row r="21" spans="1:16" ht="28.8" x14ac:dyDescent="0.3">
      <c r="A21" s="27" t="s">
        <v>103</v>
      </c>
      <c r="B21" s="34"/>
      <c r="E21" s="36" t="s">
        <v>1798</v>
      </c>
      <c r="J21" s="35"/>
    </row>
    <row r="22" spans="1:16" ht="28.8" x14ac:dyDescent="0.3">
      <c r="A22" s="27" t="s">
        <v>103</v>
      </c>
      <c r="B22" s="34"/>
      <c r="E22" s="36" t="s">
        <v>1799</v>
      </c>
      <c r="J22" s="35"/>
    </row>
    <row r="23" spans="1:16" ht="28.8" x14ac:dyDescent="0.3">
      <c r="A23" s="27" t="s">
        <v>103</v>
      </c>
      <c r="B23" s="34"/>
      <c r="E23" s="36" t="s">
        <v>1800</v>
      </c>
      <c r="J23" s="35"/>
    </row>
    <row r="24" spans="1:16" ht="28.8" x14ac:dyDescent="0.3">
      <c r="A24" s="27" t="s">
        <v>103</v>
      </c>
      <c r="B24" s="34"/>
      <c r="E24" s="36" t="s">
        <v>1801</v>
      </c>
      <c r="J24" s="35"/>
    </row>
    <row r="25" spans="1:16" ht="28.8" x14ac:dyDescent="0.3">
      <c r="A25" s="27" t="s">
        <v>103</v>
      </c>
      <c r="B25" s="34"/>
      <c r="E25" s="36" t="s">
        <v>1802</v>
      </c>
      <c r="J25" s="35"/>
    </row>
    <row r="26" spans="1:16" x14ac:dyDescent="0.3">
      <c r="A26" s="27" t="s">
        <v>103</v>
      </c>
      <c r="B26" s="34"/>
      <c r="E26" s="36" t="s">
        <v>1803</v>
      </c>
      <c r="J26" s="35"/>
    </row>
    <row r="27" spans="1:16" ht="409.6" x14ac:dyDescent="0.3">
      <c r="A27" s="27" t="s">
        <v>105</v>
      </c>
      <c r="B27" s="34"/>
      <c r="E27" s="29" t="s">
        <v>472</v>
      </c>
      <c r="J27" s="35"/>
    </row>
    <row r="28" spans="1:16" x14ac:dyDescent="0.3">
      <c r="A28" s="27" t="s">
        <v>95</v>
      </c>
      <c r="B28" s="27">
        <v>2</v>
      </c>
      <c r="C28" s="28" t="s">
        <v>496</v>
      </c>
      <c r="D28" s="27" t="s">
        <v>129</v>
      </c>
      <c r="E28" s="29" t="s">
        <v>497</v>
      </c>
      <c r="F28" s="30" t="s">
        <v>229</v>
      </c>
      <c r="G28" s="31">
        <v>5.617</v>
      </c>
      <c r="H28" s="32">
        <v>0</v>
      </c>
      <c r="I28" s="32">
        <f>ROUND(5.617*H28,P4)</f>
        <v>0</v>
      </c>
      <c r="J28" s="30" t="s">
        <v>118</v>
      </c>
      <c r="O28" s="33">
        <f>I28*0.21</f>
        <v>0</v>
      </c>
      <c r="P28">
        <v>3</v>
      </c>
    </row>
    <row r="29" spans="1:16" ht="172.8" x14ac:dyDescent="0.3">
      <c r="A29" s="27" t="s">
        <v>101</v>
      </c>
      <c r="B29" s="34"/>
      <c r="E29" s="29" t="s">
        <v>498</v>
      </c>
      <c r="J29" s="35"/>
    </row>
    <row r="30" spans="1:16" ht="28.8" x14ac:dyDescent="0.3">
      <c r="A30" s="27" t="s">
        <v>103</v>
      </c>
      <c r="B30" s="34"/>
      <c r="E30" s="36" t="s">
        <v>1804</v>
      </c>
      <c r="J30" s="35"/>
    </row>
    <row r="31" spans="1:16" ht="28.8" x14ac:dyDescent="0.3">
      <c r="A31" s="27" t="s">
        <v>103</v>
      </c>
      <c r="B31" s="34"/>
      <c r="E31" s="36" t="s">
        <v>1805</v>
      </c>
      <c r="J31" s="35"/>
    </row>
    <row r="32" spans="1:16" ht="28.8" x14ac:dyDescent="0.3">
      <c r="A32" s="27" t="s">
        <v>103</v>
      </c>
      <c r="B32" s="34"/>
      <c r="E32" s="36" t="s">
        <v>1806</v>
      </c>
      <c r="J32" s="35"/>
    </row>
    <row r="33" spans="1:16" ht="28.8" x14ac:dyDescent="0.3">
      <c r="A33" s="27" t="s">
        <v>103</v>
      </c>
      <c r="B33" s="34"/>
      <c r="E33" s="36" t="s">
        <v>1807</v>
      </c>
      <c r="J33" s="35"/>
    </row>
    <row r="34" spans="1:16" ht="28.8" x14ac:dyDescent="0.3">
      <c r="A34" s="27" t="s">
        <v>103</v>
      </c>
      <c r="B34" s="34"/>
      <c r="E34" s="36" t="s">
        <v>1808</v>
      </c>
      <c r="J34" s="35"/>
    </row>
    <row r="35" spans="1:16" ht="28.8" x14ac:dyDescent="0.3">
      <c r="A35" s="27" t="s">
        <v>103</v>
      </c>
      <c r="B35" s="34"/>
      <c r="E35" s="36" t="s">
        <v>1809</v>
      </c>
      <c r="J35" s="35"/>
    </row>
    <row r="36" spans="1:16" ht="28.8" x14ac:dyDescent="0.3">
      <c r="A36" s="27" t="s">
        <v>103</v>
      </c>
      <c r="B36" s="34"/>
      <c r="E36" s="36" t="s">
        <v>1810</v>
      </c>
      <c r="J36" s="35"/>
    </row>
    <row r="37" spans="1:16" ht="28.8" x14ac:dyDescent="0.3">
      <c r="A37" s="27" t="s">
        <v>103</v>
      </c>
      <c r="B37" s="34"/>
      <c r="E37" s="36" t="s">
        <v>1811</v>
      </c>
      <c r="J37" s="35"/>
    </row>
    <row r="38" spans="1:16" ht="28.8" x14ac:dyDescent="0.3">
      <c r="A38" s="27" t="s">
        <v>103</v>
      </c>
      <c r="B38" s="34"/>
      <c r="E38" s="36" t="s">
        <v>1812</v>
      </c>
      <c r="J38" s="35"/>
    </row>
    <row r="39" spans="1:16" ht="28.8" x14ac:dyDescent="0.3">
      <c r="A39" s="27" t="s">
        <v>103</v>
      </c>
      <c r="B39" s="34"/>
      <c r="E39" s="36" t="s">
        <v>1813</v>
      </c>
      <c r="J39" s="35"/>
    </row>
    <row r="40" spans="1:16" ht="28.8" x14ac:dyDescent="0.3">
      <c r="A40" s="27" t="s">
        <v>103</v>
      </c>
      <c r="B40" s="34"/>
      <c r="E40" s="36" t="s">
        <v>1814</v>
      </c>
      <c r="J40" s="35"/>
    </row>
    <row r="41" spans="1:16" ht="28.8" x14ac:dyDescent="0.3">
      <c r="A41" s="27" t="s">
        <v>103</v>
      </c>
      <c r="B41" s="34"/>
      <c r="E41" s="36" t="s">
        <v>1815</v>
      </c>
      <c r="J41" s="35"/>
    </row>
    <row r="42" spans="1:16" ht="28.8" x14ac:dyDescent="0.3">
      <c r="A42" s="27" t="s">
        <v>103</v>
      </c>
      <c r="B42" s="34"/>
      <c r="E42" s="36" t="s">
        <v>1816</v>
      </c>
      <c r="J42" s="35"/>
    </row>
    <row r="43" spans="1:16" ht="28.8" x14ac:dyDescent="0.3">
      <c r="A43" s="27" t="s">
        <v>103</v>
      </c>
      <c r="B43" s="34"/>
      <c r="E43" s="36" t="s">
        <v>1817</v>
      </c>
      <c r="J43" s="35"/>
    </row>
    <row r="44" spans="1:16" ht="28.8" x14ac:dyDescent="0.3">
      <c r="A44" s="27" t="s">
        <v>103</v>
      </c>
      <c r="B44" s="34"/>
      <c r="E44" s="36" t="s">
        <v>1818</v>
      </c>
      <c r="J44" s="35"/>
    </row>
    <row r="45" spans="1:16" ht="28.8" x14ac:dyDescent="0.3">
      <c r="A45" s="27" t="s">
        <v>103</v>
      </c>
      <c r="B45" s="34"/>
      <c r="E45" s="36" t="s">
        <v>1819</v>
      </c>
      <c r="J45" s="35"/>
    </row>
    <row r="46" spans="1:16" x14ac:dyDescent="0.3">
      <c r="A46" s="27" t="s">
        <v>103</v>
      </c>
      <c r="B46" s="34"/>
      <c r="E46" s="36" t="s">
        <v>1820</v>
      </c>
      <c r="J46" s="35"/>
    </row>
    <row r="47" spans="1:16" ht="374.4" x14ac:dyDescent="0.3">
      <c r="A47" s="27" t="s">
        <v>105</v>
      </c>
      <c r="B47" s="34"/>
      <c r="E47" s="29" t="s">
        <v>434</v>
      </c>
      <c r="J47" s="35"/>
    </row>
    <row r="48" spans="1:16" x14ac:dyDescent="0.3">
      <c r="A48" s="27" t="s">
        <v>95</v>
      </c>
      <c r="B48" s="27">
        <v>3</v>
      </c>
      <c r="C48" s="28" t="s">
        <v>426</v>
      </c>
      <c r="D48" s="27" t="s">
        <v>97</v>
      </c>
      <c r="E48" s="29" t="s">
        <v>427</v>
      </c>
      <c r="F48" s="30" t="s">
        <v>229</v>
      </c>
      <c r="G48" s="31">
        <v>172.34700000000001</v>
      </c>
      <c r="H48" s="32">
        <v>0</v>
      </c>
      <c r="I48" s="32">
        <f>ROUND(172.347*H48,P4)</f>
        <v>0</v>
      </c>
      <c r="J48" s="30" t="s">
        <v>118</v>
      </c>
      <c r="O48" s="33">
        <f>I48*0.21</f>
        <v>0</v>
      </c>
      <c r="P48">
        <v>3</v>
      </c>
    </row>
    <row r="49" spans="1:10" ht="158.4" x14ac:dyDescent="0.3">
      <c r="A49" s="27" t="s">
        <v>101</v>
      </c>
      <c r="B49" s="34"/>
      <c r="E49" s="29" t="s">
        <v>1821</v>
      </c>
      <c r="J49" s="35"/>
    </row>
    <row r="50" spans="1:10" ht="28.8" x14ac:dyDescent="0.3">
      <c r="A50" s="27" t="s">
        <v>103</v>
      </c>
      <c r="B50" s="34"/>
      <c r="E50" s="36" t="s">
        <v>1822</v>
      </c>
      <c r="J50" s="35"/>
    </row>
    <row r="51" spans="1:10" ht="28.8" x14ac:dyDescent="0.3">
      <c r="A51" s="27" t="s">
        <v>103</v>
      </c>
      <c r="B51" s="34"/>
      <c r="E51" s="36" t="s">
        <v>1823</v>
      </c>
      <c r="J51" s="35"/>
    </row>
    <row r="52" spans="1:10" ht="28.8" x14ac:dyDescent="0.3">
      <c r="A52" s="27" t="s">
        <v>103</v>
      </c>
      <c r="B52" s="34"/>
      <c r="E52" s="36" t="s">
        <v>1824</v>
      </c>
      <c r="J52" s="35"/>
    </row>
    <row r="53" spans="1:10" ht="28.8" x14ac:dyDescent="0.3">
      <c r="A53" s="27" t="s">
        <v>103</v>
      </c>
      <c r="B53" s="34"/>
      <c r="E53" s="36" t="s">
        <v>1825</v>
      </c>
      <c r="J53" s="35"/>
    </row>
    <row r="54" spans="1:10" ht="28.8" x14ac:dyDescent="0.3">
      <c r="A54" s="27" t="s">
        <v>103</v>
      </c>
      <c r="B54" s="34"/>
      <c r="E54" s="36" t="s">
        <v>1826</v>
      </c>
      <c r="J54" s="35"/>
    </row>
    <row r="55" spans="1:10" ht="28.8" x14ac:dyDescent="0.3">
      <c r="A55" s="27" t="s">
        <v>103</v>
      </c>
      <c r="B55" s="34"/>
      <c r="E55" s="36" t="s">
        <v>1827</v>
      </c>
      <c r="J55" s="35"/>
    </row>
    <row r="56" spans="1:10" ht="28.8" x14ac:dyDescent="0.3">
      <c r="A56" s="27" t="s">
        <v>103</v>
      </c>
      <c r="B56" s="34"/>
      <c r="E56" s="36" t="s">
        <v>1828</v>
      </c>
      <c r="J56" s="35"/>
    </row>
    <row r="57" spans="1:10" ht="28.8" x14ac:dyDescent="0.3">
      <c r="A57" s="27" t="s">
        <v>103</v>
      </c>
      <c r="B57" s="34"/>
      <c r="E57" s="36" t="s">
        <v>1829</v>
      </c>
      <c r="J57" s="35"/>
    </row>
    <row r="58" spans="1:10" ht="28.8" x14ac:dyDescent="0.3">
      <c r="A58" s="27" t="s">
        <v>103</v>
      </c>
      <c r="B58" s="34"/>
      <c r="E58" s="36" t="s">
        <v>1830</v>
      </c>
      <c r="J58" s="35"/>
    </row>
    <row r="59" spans="1:10" ht="28.8" x14ac:dyDescent="0.3">
      <c r="A59" s="27" t="s">
        <v>103</v>
      </c>
      <c r="B59" s="34"/>
      <c r="E59" s="36" t="s">
        <v>1831</v>
      </c>
      <c r="J59" s="35"/>
    </row>
    <row r="60" spans="1:10" ht="28.8" x14ac:dyDescent="0.3">
      <c r="A60" s="27" t="s">
        <v>103</v>
      </c>
      <c r="B60" s="34"/>
      <c r="E60" s="36" t="s">
        <v>1832</v>
      </c>
      <c r="J60" s="35"/>
    </row>
    <row r="61" spans="1:10" ht="28.8" x14ac:dyDescent="0.3">
      <c r="A61" s="27" t="s">
        <v>103</v>
      </c>
      <c r="B61" s="34"/>
      <c r="E61" s="36" t="s">
        <v>1833</v>
      </c>
      <c r="J61" s="35"/>
    </row>
    <row r="62" spans="1:10" ht="28.8" x14ac:dyDescent="0.3">
      <c r="A62" s="27" t="s">
        <v>103</v>
      </c>
      <c r="B62" s="34"/>
      <c r="E62" s="36" t="s">
        <v>1834</v>
      </c>
      <c r="J62" s="35"/>
    </row>
    <row r="63" spans="1:10" ht="28.8" x14ac:dyDescent="0.3">
      <c r="A63" s="27" t="s">
        <v>103</v>
      </c>
      <c r="B63" s="34"/>
      <c r="E63" s="36" t="s">
        <v>1835</v>
      </c>
      <c r="J63" s="35"/>
    </row>
    <row r="64" spans="1:10" ht="28.8" x14ac:dyDescent="0.3">
      <c r="A64" s="27" t="s">
        <v>103</v>
      </c>
      <c r="B64" s="34"/>
      <c r="E64" s="36" t="s">
        <v>1836</v>
      </c>
      <c r="J64" s="35"/>
    </row>
    <row r="65" spans="1:16" ht="28.8" x14ac:dyDescent="0.3">
      <c r="A65" s="27" t="s">
        <v>103</v>
      </c>
      <c r="B65" s="34"/>
      <c r="E65" s="36" t="s">
        <v>1837</v>
      </c>
      <c r="J65" s="35"/>
    </row>
    <row r="66" spans="1:16" ht="28.8" x14ac:dyDescent="0.3">
      <c r="A66" s="27" t="s">
        <v>103</v>
      </c>
      <c r="B66" s="34"/>
      <c r="E66" s="36" t="s">
        <v>1838</v>
      </c>
      <c r="J66" s="35"/>
    </row>
    <row r="67" spans="1:16" ht="28.8" x14ac:dyDescent="0.3">
      <c r="A67" s="27" t="s">
        <v>103</v>
      </c>
      <c r="B67" s="34"/>
      <c r="E67" s="36" t="s">
        <v>1839</v>
      </c>
      <c r="J67" s="35"/>
    </row>
    <row r="68" spans="1:16" ht="28.8" x14ac:dyDescent="0.3">
      <c r="A68" s="27" t="s">
        <v>103</v>
      </c>
      <c r="B68" s="34"/>
      <c r="E68" s="36" t="s">
        <v>1840</v>
      </c>
      <c r="J68" s="35"/>
    </row>
    <row r="69" spans="1:16" ht="28.8" x14ac:dyDescent="0.3">
      <c r="A69" s="27" t="s">
        <v>103</v>
      </c>
      <c r="B69" s="34"/>
      <c r="E69" s="36" t="s">
        <v>1841</v>
      </c>
      <c r="J69" s="35"/>
    </row>
    <row r="70" spans="1:16" ht="28.8" x14ac:dyDescent="0.3">
      <c r="A70" s="27" t="s">
        <v>103</v>
      </c>
      <c r="B70" s="34"/>
      <c r="E70" s="36" t="s">
        <v>1842</v>
      </c>
      <c r="J70" s="35"/>
    </row>
    <row r="71" spans="1:16" ht="28.8" x14ac:dyDescent="0.3">
      <c r="A71" s="27" t="s">
        <v>103</v>
      </c>
      <c r="B71" s="34"/>
      <c r="E71" s="36" t="s">
        <v>1843</v>
      </c>
      <c r="J71" s="35"/>
    </row>
    <row r="72" spans="1:16" x14ac:dyDescent="0.3">
      <c r="A72" s="27" t="s">
        <v>103</v>
      </c>
      <c r="B72" s="34"/>
      <c r="E72" s="36" t="s">
        <v>1844</v>
      </c>
      <c r="J72" s="35"/>
    </row>
    <row r="73" spans="1:16" ht="374.4" x14ac:dyDescent="0.3">
      <c r="A73" s="27" t="s">
        <v>105</v>
      </c>
      <c r="B73" s="34"/>
      <c r="E73" s="29" t="s">
        <v>434</v>
      </c>
      <c r="J73" s="35"/>
    </row>
    <row r="74" spans="1:16" x14ac:dyDescent="0.3">
      <c r="A74" s="27" t="s">
        <v>95</v>
      </c>
      <c r="B74" s="27">
        <v>4</v>
      </c>
      <c r="C74" s="28" t="s">
        <v>426</v>
      </c>
      <c r="D74" s="27" t="s">
        <v>107</v>
      </c>
      <c r="E74" s="29" t="s">
        <v>427</v>
      </c>
      <c r="F74" s="30" t="s">
        <v>229</v>
      </c>
      <c r="G74" s="31">
        <v>14.409000000000001</v>
      </c>
      <c r="H74" s="32">
        <v>0</v>
      </c>
      <c r="I74" s="32">
        <f>ROUND(14.409*H74,P4)</f>
        <v>0</v>
      </c>
      <c r="J74" s="30" t="s">
        <v>118</v>
      </c>
      <c r="O74" s="33">
        <f>I74*0.21</f>
        <v>0</v>
      </c>
      <c r="P74">
        <v>3</v>
      </c>
    </row>
    <row r="75" spans="1:16" ht="172.8" x14ac:dyDescent="0.3">
      <c r="A75" s="27" t="s">
        <v>101</v>
      </c>
      <c r="B75" s="34"/>
      <c r="E75" s="29" t="s">
        <v>1451</v>
      </c>
      <c r="J75" s="35"/>
    </row>
    <row r="76" spans="1:16" ht="28.8" x14ac:dyDescent="0.3">
      <c r="A76" s="27" t="s">
        <v>103</v>
      </c>
      <c r="B76" s="34"/>
      <c r="E76" s="36" t="s">
        <v>1845</v>
      </c>
      <c r="J76" s="35"/>
    </row>
    <row r="77" spans="1:16" ht="28.8" x14ac:dyDescent="0.3">
      <c r="A77" s="27" t="s">
        <v>103</v>
      </c>
      <c r="B77" s="34"/>
      <c r="E77" s="36" t="s">
        <v>1846</v>
      </c>
      <c r="J77" s="35"/>
    </row>
    <row r="78" spans="1:16" ht="28.8" x14ac:dyDescent="0.3">
      <c r="A78" s="27" t="s">
        <v>103</v>
      </c>
      <c r="B78" s="34"/>
      <c r="E78" s="36" t="s">
        <v>1847</v>
      </c>
      <c r="J78" s="35"/>
    </row>
    <row r="79" spans="1:16" ht="28.8" x14ac:dyDescent="0.3">
      <c r="A79" s="27" t="s">
        <v>103</v>
      </c>
      <c r="B79" s="34"/>
      <c r="E79" s="36" t="s">
        <v>1848</v>
      </c>
      <c r="J79" s="35"/>
    </row>
    <row r="80" spans="1:16" ht="28.8" x14ac:dyDescent="0.3">
      <c r="A80" s="27" t="s">
        <v>103</v>
      </c>
      <c r="B80" s="34"/>
      <c r="E80" s="36" t="s">
        <v>1849</v>
      </c>
      <c r="J80" s="35"/>
    </row>
    <row r="81" spans="1:16" ht="28.8" x14ac:dyDescent="0.3">
      <c r="A81" s="27" t="s">
        <v>103</v>
      </c>
      <c r="B81" s="34"/>
      <c r="E81" s="36" t="s">
        <v>1850</v>
      </c>
      <c r="J81" s="35"/>
    </row>
    <row r="82" spans="1:16" ht="28.8" x14ac:dyDescent="0.3">
      <c r="A82" s="27" t="s">
        <v>103</v>
      </c>
      <c r="B82" s="34"/>
      <c r="E82" s="36" t="s">
        <v>1851</v>
      </c>
      <c r="J82" s="35"/>
    </row>
    <row r="83" spans="1:16" ht="28.8" x14ac:dyDescent="0.3">
      <c r="A83" s="27" t="s">
        <v>103</v>
      </c>
      <c r="B83" s="34"/>
      <c r="E83" s="36" t="s">
        <v>1852</v>
      </c>
      <c r="J83" s="35"/>
    </row>
    <row r="84" spans="1:16" ht="28.8" x14ac:dyDescent="0.3">
      <c r="A84" s="27" t="s">
        <v>103</v>
      </c>
      <c r="B84" s="34"/>
      <c r="E84" s="36" t="s">
        <v>1853</v>
      </c>
      <c r="J84" s="35"/>
    </row>
    <row r="85" spans="1:16" ht="28.8" x14ac:dyDescent="0.3">
      <c r="A85" s="27" t="s">
        <v>103</v>
      </c>
      <c r="B85" s="34"/>
      <c r="E85" s="36" t="s">
        <v>1854</v>
      </c>
      <c r="J85" s="35"/>
    </row>
    <row r="86" spans="1:16" ht="28.8" x14ac:dyDescent="0.3">
      <c r="A86" s="27" t="s">
        <v>103</v>
      </c>
      <c r="B86" s="34"/>
      <c r="E86" s="36" t="s">
        <v>1855</v>
      </c>
      <c r="J86" s="35"/>
    </row>
    <row r="87" spans="1:16" ht="28.8" x14ac:dyDescent="0.3">
      <c r="A87" s="27" t="s">
        <v>103</v>
      </c>
      <c r="B87" s="34"/>
      <c r="E87" s="36" t="s">
        <v>1856</v>
      </c>
      <c r="J87" s="35"/>
    </row>
    <row r="88" spans="1:16" ht="28.8" x14ac:dyDescent="0.3">
      <c r="A88" s="27" t="s">
        <v>103</v>
      </c>
      <c r="B88" s="34"/>
      <c r="E88" s="36" t="s">
        <v>1857</v>
      </c>
      <c r="J88" s="35"/>
    </row>
    <row r="89" spans="1:16" ht="28.8" x14ac:dyDescent="0.3">
      <c r="A89" s="27" t="s">
        <v>103</v>
      </c>
      <c r="B89" s="34"/>
      <c r="E89" s="36" t="s">
        <v>1858</v>
      </c>
      <c r="J89" s="35"/>
    </row>
    <row r="90" spans="1:16" x14ac:dyDescent="0.3">
      <c r="A90" s="27" t="s">
        <v>103</v>
      </c>
      <c r="B90" s="34"/>
      <c r="E90" s="36" t="s">
        <v>1859</v>
      </c>
      <c r="J90" s="35"/>
    </row>
    <row r="91" spans="1:16" ht="388.8" x14ac:dyDescent="0.3">
      <c r="A91" s="27" t="s">
        <v>105</v>
      </c>
      <c r="B91" s="34"/>
      <c r="E91" s="29" t="s">
        <v>1588</v>
      </c>
      <c r="J91" s="35"/>
    </row>
    <row r="92" spans="1:16" x14ac:dyDescent="0.3">
      <c r="A92" s="27" t="s">
        <v>95</v>
      </c>
      <c r="B92" s="27">
        <v>5</v>
      </c>
      <c r="C92" s="28" t="s">
        <v>1589</v>
      </c>
      <c r="D92" s="27" t="s">
        <v>129</v>
      </c>
      <c r="E92" s="29" t="s">
        <v>1590</v>
      </c>
      <c r="F92" s="30" t="s">
        <v>229</v>
      </c>
      <c r="G92" s="31">
        <v>172.34700000000001</v>
      </c>
      <c r="H92" s="32">
        <v>0</v>
      </c>
      <c r="I92" s="32">
        <f>ROUND(172.347*H92,P4)</f>
        <v>0</v>
      </c>
      <c r="J92" s="30" t="s">
        <v>118</v>
      </c>
      <c r="O92" s="33">
        <f>I92*0.21</f>
        <v>0</v>
      </c>
      <c r="P92">
        <v>3</v>
      </c>
    </row>
    <row r="93" spans="1:16" ht="158.4" x14ac:dyDescent="0.3">
      <c r="A93" s="27" t="s">
        <v>101</v>
      </c>
      <c r="B93" s="34"/>
      <c r="E93" s="29" t="s">
        <v>1821</v>
      </c>
      <c r="J93" s="35"/>
    </row>
    <row r="94" spans="1:16" ht="28.8" x14ac:dyDescent="0.3">
      <c r="A94" s="27" t="s">
        <v>103</v>
      </c>
      <c r="B94" s="34"/>
      <c r="E94" s="36" t="s">
        <v>1822</v>
      </c>
      <c r="J94" s="35"/>
    </row>
    <row r="95" spans="1:16" ht="28.8" x14ac:dyDescent="0.3">
      <c r="A95" s="27" t="s">
        <v>103</v>
      </c>
      <c r="B95" s="34"/>
      <c r="E95" s="36" t="s">
        <v>1823</v>
      </c>
      <c r="J95" s="35"/>
    </row>
    <row r="96" spans="1:16" ht="28.8" x14ac:dyDescent="0.3">
      <c r="A96" s="27" t="s">
        <v>103</v>
      </c>
      <c r="B96" s="34"/>
      <c r="E96" s="36" t="s">
        <v>1824</v>
      </c>
      <c r="J96" s="35"/>
    </row>
    <row r="97" spans="1:10" ht="28.8" x14ac:dyDescent="0.3">
      <c r="A97" s="27" t="s">
        <v>103</v>
      </c>
      <c r="B97" s="34"/>
      <c r="E97" s="36" t="s">
        <v>1825</v>
      </c>
      <c r="J97" s="35"/>
    </row>
    <row r="98" spans="1:10" ht="28.8" x14ac:dyDescent="0.3">
      <c r="A98" s="27" t="s">
        <v>103</v>
      </c>
      <c r="B98" s="34"/>
      <c r="E98" s="36" t="s">
        <v>1826</v>
      </c>
      <c r="J98" s="35"/>
    </row>
    <row r="99" spans="1:10" ht="28.8" x14ac:dyDescent="0.3">
      <c r="A99" s="27" t="s">
        <v>103</v>
      </c>
      <c r="B99" s="34"/>
      <c r="E99" s="36" t="s">
        <v>1827</v>
      </c>
      <c r="J99" s="35"/>
    </row>
    <row r="100" spans="1:10" ht="28.8" x14ac:dyDescent="0.3">
      <c r="A100" s="27" t="s">
        <v>103</v>
      </c>
      <c r="B100" s="34"/>
      <c r="E100" s="36" t="s">
        <v>1828</v>
      </c>
      <c r="J100" s="35"/>
    </row>
    <row r="101" spans="1:10" ht="28.8" x14ac:dyDescent="0.3">
      <c r="A101" s="27" t="s">
        <v>103</v>
      </c>
      <c r="B101" s="34"/>
      <c r="E101" s="36" t="s">
        <v>1829</v>
      </c>
      <c r="J101" s="35"/>
    </row>
    <row r="102" spans="1:10" ht="28.8" x14ac:dyDescent="0.3">
      <c r="A102" s="27" t="s">
        <v>103</v>
      </c>
      <c r="B102" s="34"/>
      <c r="E102" s="36" t="s">
        <v>1830</v>
      </c>
      <c r="J102" s="35"/>
    </row>
    <row r="103" spans="1:10" ht="28.8" x14ac:dyDescent="0.3">
      <c r="A103" s="27" t="s">
        <v>103</v>
      </c>
      <c r="B103" s="34"/>
      <c r="E103" s="36" t="s">
        <v>1831</v>
      </c>
      <c r="J103" s="35"/>
    </row>
    <row r="104" spans="1:10" ht="28.8" x14ac:dyDescent="0.3">
      <c r="A104" s="27" t="s">
        <v>103</v>
      </c>
      <c r="B104" s="34"/>
      <c r="E104" s="36" t="s">
        <v>1832</v>
      </c>
      <c r="J104" s="35"/>
    </row>
    <row r="105" spans="1:10" ht="28.8" x14ac:dyDescent="0.3">
      <c r="A105" s="27" t="s">
        <v>103</v>
      </c>
      <c r="B105" s="34"/>
      <c r="E105" s="36" t="s">
        <v>1833</v>
      </c>
      <c r="J105" s="35"/>
    </row>
    <row r="106" spans="1:10" ht="28.8" x14ac:dyDescent="0.3">
      <c r="A106" s="27" t="s">
        <v>103</v>
      </c>
      <c r="B106" s="34"/>
      <c r="E106" s="36" t="s">
        <v>1834</v>
      </c>
      <c r="J106" s="35"/>
    </row>
    <row r="107" spans="1:10" ht="28.8" x14ac:dyDescent="0.3">
      <c r="A107" s="27" t="s">
        <v>103</v>
      </c>
      <c r="B107" s="34"/>
      <c r="E107" s="36" t="s">
        <v>1835</v>
      </c>
      <c r="J107" s="35"/>
    </row>
    <row r="108" spans="1:10" ht="28.8" x14ac:dyDescent="0.3">
      <c r="A108" s="27" t="s">
        <v>103</v>
      </c>
      <c r="B108" s="34"/>
      <c r="E108" s="36" t="s">
        <v>1836</v>
      </c>
      <c r="J108" s="35"/>
    </row>
    <row r="109" spans="1:10" ht="28.8" x14ac:dyDescent="0.3">
      <c r="A109" s="27" t="s">
        <v>103</v>
      </c>
      <c r="B109" s="34"/>
      <c r="E109" s="36" t="s">
        <v>1837</v>
      </c>
      <c r="J109" s="35"/>
    </row>
    <row r="110" spans="1:10" ht="28.8" x14ac:dyDescent="0.3">
      <c r="A110" s="27" t="s">
        <v>103</v>
      </c>
      <c r="B110" s="34"/>
      <c r="E110" s="36" t="s">
        <v>1838</v>
      </c>
      <c r="J110" s="35"/>
    </row>
    <row r="111" spans="1:10" ht="28.8" x14ac:dyDescent="0.3">
      <c r="A111" s="27" t="s">
        <v>103</v>
      </c>
      <c r="B111" s="34"/>
      <c r="E111" s="36" t="s">
        <v>1839</v>
      </c>
      <c r="J111" s="35"/>
    </row>
    <row r="112" spans="1:10" ht="28.8" x14ac:dyDescent="0.3">
      <c r="A112" s="27" t="s">
        <v>103</v>
      </c>
      <c r="B112" s="34"/>
      <c r="E112" s="36" t="s">
        <v>1840</v>
      </c>
      <c r="J112" s="35"/>
    </row>
    <row r="113" spans="1:16" ht="28.8" x14ac:dyDescent="0.3">
      <c r="A113" s="27" t="s">
        <v>103</v>
      </c>
      <c r="B113" s="34"/>
      <c r="E113" s="36" t="s">
        <v>1841</v>
      </c>
      <c r="J113" s="35"/>
    </row>
    <row r="114" spans="1:16" ht="28.8" x14ac:dyDescent="0.3">
      <c r="A114" s="27" t="s">
        <v>103</v>
      </c>
      <c r="B114" s="34"/>
      <c r="E114" s="36" t="s">
        <v>1842</v>
      </c>
      <c r="J114" s="35"/>
    </row>
    <row r="115" spans="1:16" ht="28.8" x14ac:dyDescent="0.3">
      <c r="A115" s="27" t="s">
        <v>103</v>
      </c>
      <c r="B115" s="34"/>
      <c r="E115" s="36" t="s">
        <v>1843</v>
      </c>
      <c r="J115" s="35"/>
    </row>
    <row r="116" spans="1:16" x14ac:dyDescent="0.3">
      <c r="A116" s="27" t="s">
        <v>103</v>
      </c>
      <c r="B116" s="34"/>
      <c r="E116" s="36" t="s">
        <v>1844</v>
      </c>
      <c r="J116" s="35"/>
    </row>
    <row r="117" spans="1:16" ht="316.8" x14ac:dyDescent="0.3">
      <c r="A117" s="27" t="s">
        <v>105</v>
      </c>
      <c r="B117" s="34"/>
      <c r="E117" s="29" t="s">
        <v>1591</v>
      </c>
      <c r="J117" s="35"/>
    </row>
    <row r="118" spans="1:16" x14ac:dyDescent="0.3">
      <c r="A118" s="27" t="s">
        <v>95</v>
      </c>
      <c r="B118" s="27">
        <v>6</v>
      </c>
      <c r="C118" s="28" t="s">
        <v>1592</v>
      </c>
      <c r="D118" s="27" t="s">
        <v>129</v>
      </c>
      <c r="E118" s="29" t="s">
        <v>1593</v>
      </c>
      <c r="F118" s="30" t="s">
        <v>229</v>
      </c>
      <c r="G118" s="31">
        <v>562.77099999999996</v>
      </c>
      <c r="H118" s="32">
        <v>0</v>
      </c>
      <c r="I118" s="32">
        <f>ROUND(562.771*H118,P4)</f>
        <v>0</v>
      </c>
      <c r="J118" s="30" t="s">
        <v>118</v>
      </c>
      <c r="O118" s="33">
        <f>I118*0.21</f>
        <v>0</v>
      </c>
      <c r="P118">
        <v>3</v>
      </c>
    </row>
    <row r="119" spans="1:16" ht="172.8" x14ac:dyDescent="0.3">
      <c r="A119" s="27" t="s">
        <v>101</v>
      </c>
      <c r="B119" s="34"/>
      <c r="E119" s="29" t="s">
        <v>1860</v>
      </c>
      <c r="J119" s="35"/>
    </row>
    <row r="120" spans="1:16" ht="28.8" x14ac:dyDescent="0.3">
      <c r="A120" s="27" t="s">
        <v>103</v>
      </c>
      <c r="B120" s="34"/>
      <c r="E120" s="36" t="s">
        <v>1861</v>
      </c>
      <c r="J120" s="35"/>
    </row>
    <row r="121" spans="1:16" ht="28.8" x14ac:dyDescent="0.3">
      <c r="A121" s="27" t="s">
        <v>103</v>
      </c>
      <c r="B121" s="34"/>
      <c r="E121" s="36" t="s">
        <v>1862</v>
      </c>
      <c r="J121" s="35"/>
    </row>
    <row r="122" spans="1:16" ht="28.8" x14ac:dyDescent="0.3">
      <c r="A122" s="27" t="s">
        <v>103</v>
      </c>
      <c r="B122" s="34"/>
      <c r="E122" s="36" t="s">
        <v>1863</v>
      </c>
      <c r="J122" s="35"/>
    </row>
    <row r="123" spans="1:16" ht="28.8" x14ac:dyDescent="0.3">
      <c r="A123" s="27" t="s">
        <v>103</v>
      </c>
      <c r="B123" s="34"/>
      <c r="E123" s="36" t="s">
        <v>1864</v>
      </c>
      <c r="J123" s="35"/>
    </row>
    <row r="124" spans="1:16" ht="28.8" x14ac:dyDescent="0.3">
      <c r="A124" s="27" t="s">
        <v>103</v>
      </c>
      <c r="B124" s="34"/>
      <c r="E124" s="36" t="s">
        <v>1865</v>
      </c>
      <c r="J124" s="35"/>
    </row>
    <row r="125" spans="1:16" ht="28.8" x14ac:dyDescent="0.3">
      <c r="A125" s="27" t="s">
        <v>103</v>
      </c>
      <c r="B125" s="34"/>
      <c r="E125" s="36" t="s">
        <v>1866</v>
      </c>
      <c r="J125" s="35"/>
    </row>
    <row r="126" spans="1:16" ht="28.8" x14ac:dyDescent="0.3">
      <c r="A126" s="27" t="s">
        <v>103</v>
      </c>
      <c r="B126" s="34"/>
      <c r="E126" s="36" t="s">
        <v>1867</v>
      </c>
      <c r="J126" s="35"/>
    </row>
    <row r="127" spans="1:16" ht="28.8" x14ac:dyDescent="0.3">
      <c r="A127" s="27" t="s">
        <v>103</v>
      </c>
      <c r="B127" s="34"/>
      <c r="E127" s="36" t="s">
        <v>1868</v>
      </c>
      <c r="J127" s="35"/>
    </row>
    <row r="128" spans="1:16" ht="28.8" x14ac:dyDescent="0.3">
      <c r="A128" s="27" t="s">
        <v>103</v>
      </c>
      <c r="B128" s="34"/>
      <c r="E128" s="36" t="s">
        <v>1869</v>
      </c>
      <c r="J128" s="35"/>
    </row>
    <row r="129" spans="1:16" ht="28.8" x14ac:dyDescent="0.3">
      <c r="A129" s="27" t="s">
        <v>103</v>
      </c>
      <c r="B129" s="34"/>
      <c r="E129" s="36" t="s">
        <v>1870</v>
      </c>
      <c r="J129" s="35"/>
    </row>
    <row r="130" spans="1:16" x14ac:dyDescent="0.3">
      <c r="A130" s="27" t="s">
        <v>103</v>
      </c>
      <c r="B130" s="34"/>
      <c r="E130" s="36" t="s">
        <v>1871</v>
      </c>
      <c r="J130" s="35"/>
    </row>
    <row r="131" spans="1:16" ht="316.8" x14ac:dyDescent="0.3">
      <c r="A131" s="27" t="s">
        <v>105</v>
      </c>
      <c r="B131" s="34"/>
      <c r="E131" s="29" t="s">
        <v>1591</v>
      </c>
      <c r="J131" s="35"/>
    </row>
    <row r="132" spans="1:16" x14ac:dyDescent="0.3">
      <c r="A132" s="27" t="s">
        <v>95</v>
      </c>
      <c r="B132" s="27">
        <v>7</v>
      </c>
      <c r="C132" s="28" t="s">
        <v>476</v>
      </c>
      <c r="D132" s="27" t="s">
        <v>129</v>
      </c>
      <c r="E132" s="29" t="s">
        <v>477</v>
      </c>
      <c r="F132" s="30" t="s">
        <v>229</v>
      </c>
      <c r="G132" s="31">
        <v>487.22</v>
      </c>
      <c r="H132" s="32">
        <v>0</v>
      </c>
      <c r="I132" s="32">
        <f>ROUND(487.22*H132,P4)</f>
        <v>0</v>
      </c>
      <c r="J132" s="30" t="s">
        <v>118</v>
      </c>
      <c r="O132" s="33">
        <f>I132*0.21</f>
        <v>0</v>
      </c>
      <c r="P132">
        <v>3</v>
      </c>
    </row>
    <row r="133" spans="1:16" ht="115.2" x14ac:dyDescent="0.3">
      <c r="A133" s="27" t="s">
        <v>101</v>
      </c>
      <c r="B133" s="34"/>
      <c r="E133" s="29" t="s">
        <v>1299</v>
      </c>
      <c r="J133" s="35"/>
    </row>
    <row r="134" spans="1:16" ht="28.8" x14ac:dyDescent="0.3">
      <c r="A134" s="27" t="s">
        <v>103</v>
      </c>
      <c r="B134" s="34"/>
      <c r="E134" s="36" t="s">
        <v>1789</v>
      </c>
      <c r="J134" s="35"/>
    </row>
    <row r="135" spans="1:16" ht="28.8" x14ac:dyDescent="0.3">
      <c r="A135" s="27" t="s">
        <v>103</v>
      </c>
      <c r="B135" s="34"/>
      <c r="E135" s="36" t="s">
        <v>1790</v>
      </c>
      <c r="J135" s="35"/>
    </row>
    <row r="136" spans="1:16" ht="28.8" x14ac:dyDescent="0.3">
      <c r="A136" s="27" t="s">
        <v>103</v>
      </c>
      <c r="B136" s="34"/>
      <c r="E136" s="36" t="s">
        <v>1791</v>
      </c>
      <c r="J136" s="35"/>
    </row>
    <row r="137" spans="1:16" ht="28.8" x14ac:dyDescent="0.3">
      <c r="A137" s="27" t="s">
        <v>103</v>
      </c>
      <c r="B137" s="34"/>
      <c r="E137" s="36" t="s">
        <v>1792</v>
      </c>
      <c r="J137" s="35"/>
    </row>
    <row r="138" spans="1:16" ht="28.8" x14ac:dyDescent="0.3">
      <c r="A138" s="27" t="s">
        <v>103</v>
      </c>
      <c r="B138" s="34"/>
      <c r="E138" s="36" t="s">
        <v>1793</v>
      </c>
      <c r="J138" s="35"/>
    </row>
    <row r="139" spans="1:16" ht="28.8" x14ac:dyDescent="0.3">
      <c r="A139" s="27" t="s">
        <v>103</v>
      </c>
      <c r="B139" s="34"/>
      <c r="E139" s="36" t="s">
        <v>1794</v>
      </c>
      <c r="J139" s="35"/>
    </row>
    <row r="140" spans="1:16" ht="28.8" x14ac:dyDescent="0.3">
      <c r="A140" s="27" t="s">
        <v>103</v>
      </c>
      <c r="B140" s="34"/>
      <c r="E140" s="36" t="s">
        <v>1795</v>
      </c>
      <c r="J140" s="35"/>
    </row>
    <row r="141" spans="1:16" ht="28.8" x14ac:dyDescent="0.3">
      <c r="A141" s="27" t="s">
        <v>103</v>
      </c>
      <c r="B141" s="34"/>
      <c r="E141" s="36" t="s">
        <v>1796</v>
      </c>
      <c r="J141" s="35"/>
    </row>
    <row r="142" spans="1:16" ht="28.8" x14ac:dyDescent="0.3">
      <c r="A142" s="27" t="s">
        <v>103</v>
      </c>
      <c r="B142" s="34"/>
      <c r="E142" s="36" t="s">
        <v>1797</v>
      </c>
      <c r="J142" s="35"/>
    </row>
    <row r="143" spans="1:16" ht="28.8" x14ac:dyDescent="0.3">
      <c r="A143" s="27" t="s">
        <v>103</v>
      </c>
      <c r="B143" s="34"/>
      <c r="E143" s="36" t="s">
        <v>1798</v>
      </c>
      <c r="J143" s="35"/>
    </row>
    <row r="144" spans="1:16" ht="28.8" x14ac:dyDescent="0.3">
      <c r="A144" s="27" t="s">
        <v>103</v>
      </c>
      <c r="B144" s="34"/>
      <c r="E144" s="36" t="s">
        <v>1799</v>
      </c>
      <c r="J144" s="35"/>
    </row>
    <row r="145" spans="1:16" ht="28.8" x14ac:dyDescent="0.3">
      <c r="A145" s="27" t="s">
        <v>103</v>
      </c>
      <c r="B145" s="34"/>
      <c r="E145" s="36" t="s">
        <v>1800</v>
      </c>
      <c r="J145" s="35"/>
    </row>
    <row r="146" spans="1:16" ht="28.8" x14ac:dyDescent="0.3">
      <c r="A146" s="27" t="s">
        <v>103</v>
      </c>
      <c r="B146" s="34"/>
      <c r="E146" s="36" t="s">
        <v>1801</v>
      </c>
      <c r="J146" s="35"/>
    </row>
    <row r="147" spans="1:16" ht="28.8" x14ac:dyDescent="0.3">
      <c r="A147" s="27" t="s">
        <v>103</v>
      </c>
      <c r="B147" s="34"/>
      <c r="E147" s="36" t="s">
        <v>1802</v>
      </c>
      <c r="J147" s="35"/>
    </row>
    <row r="148" spans="1:16" x14ac:dyDescent="0.3">
      <c r="A148" s="27" t="s">
        <v>103</v>
      </c>
      <c r="B148" s="34"/>
      <c r="E148" s="36" t="s">
        <v>1803</v>
      </c>
      <c r="J148" s="35"/>
    </row>
    <row r="149" spans="1:16" ht="216" x14ac:dyDescent="0.3">
      <c r="A149" s="27" t="s">
        <v>105</v>
      </c>
      <c r="B149" s="34"/>
      <c r="E149" s="29" t="s">
        <v>481</v>
      </c>
      <c r="J149" s="35"/>
    </row>
    <row r="150" spans="1:16" x14ac:dyDescent="0.3">
      <c r="A150" s="27" t="s">
        <v>95</v>
      </c>
      <c r="B150" s="27">
        <v>8</v>
      </c>
      <c r="C150" s="28" t="s">
        <v>591</v>
      </c>
      <c r="D150" s="27" t="s">
        <v>129</v>
      </c>
      <c r="E150" s="29" t="s">
        <v>592</v>
      </c>
      <c r="F150" s="30" t="s">
        <v>229</v>
      </c>
      <c r="G150" s="31">
        <v>5.617</v>
      </c>
      <c r="H150" s="32">
        <v>0</v>
      </c>
      <c r="I150" s="32">
        <f>ROUND(5.617*H150,P4)</f>
        <v>0</v>
      </c>
      <c r="J150" s="30" t="s">
        <v>118</v>
      </c>
      <c r="O150" s="33">
        <f>I150*0.21</f>
        <v>0</v>
      </c>
      <c r="P150">
        <v>3</v>
      </c>
    </row>
    <row r="151" spans="1:16" ht="172.8" x14ac:dyDescent="0.3">
      <c r="A151" s="27" t="s">
        <v>101</v>
      </c>
      <c r="B151" s="34"/>
      <c r="E151" s="29" t="s">
        <v>498</v>
      </c>
      <c r="J151" s="35"/>
    </row>
    <row r="152" spans="1:16" ht="28.8" x14ac:dyDescent="0.3">
      <c r="A152" s="27" t="s">
        <v>103</v>
      </c>
      <c r="B152" s="34"/>
      <c r="E152" s="36" t="s">
        <v>1804</v>
      </c>
      <c r="J152" s="35"/>
    </row>
    <row r="153" spans="1:16" ht="28.8" x14ac:dyDescent="0.3">
      <c r="A153" s="27" t="s">
        <v>103</v>
      </c>
      <c r="B153" s="34"/>
      <c r="E153" s="36" t="s">
        <v>1805</v>
      </c>
      <c r="J153" s="35"/>
    </row>
    <row r="154" spans="1:16" ht="28.8" x14ac:dyDescent="0.3">
      <c r="A154" s="27" t="s">
        <v>103</v>
      </c>
      <c r="B154" s="34"/>
      <c r="E154" s="36" t="s">
        <v>1806</v>
      </c>
      <c r="J154" s="35"/>
    </row>
    <row r="155" spans="1:16" ht="28.8" x14ac:dyDescent="0.3">
      <c r="A155" s="27" t="s">
        <v>103</v>
      </c>
      <c r="B155" s="34"/>
      <c r="E155" s="36" t="s">
        <v>1807</v>
      </c>
      <c r="J155" s="35"/>
    </row>
    <row r="156" spans="1:16" ht="28.8" x14ac:dyDescent="0.3">
      <c r="A156" s="27" t="s">
        <v>103</v>
      </c>
      <c r="B156" s="34"/>
      <c r="E156" s="36" t="s">
        <v>1808</v>
      </c>
      <c r="J156" s="35"/>
    </row>
    <row r="157" spans="1:16" ht="28.8" x14ac:dyDescent="0.3">
      <c r="A157" s="27" t="s">
        <v>103</v>
      </c>
      <c r="B157" s="34"/>
      <c r="E157" s="36" t="s">
        <v>1809</v>
      </c>
      <c r="J157" s="35"/>
    </row>
    <row r="158" spans="1:16" ht="28.8" x14ac:dyDescent="0.3">
      <c r="A158" s="27" t="s">
        <v>103</v>
      </c>
      <c r="B158" s="34"/>
      <c r="E158" s="36" t="s">
        <v>1810</v>
      </c>
      <c r="J158" s="35"/>
    </row>
    <row r="159" spans="1:16" ht="28.8" x14ac:dyDescent="0.3">
      <c r="A159" s="27" t="s">
        <v>103</v>
      </c>
      <c r="B159" s="34"/>
      <c r="E159" s="36" t="s">
        <v>1811</v>
      </c>
      <c r="J159" s="35"/>
    </row>
    <row r="160" spans="1:16" ht="28.8" x14ac:dyDescent="0.3">
      <c r="A160" s="27" t="s">
        <v>103</v>
      </c>
      <c r="B160" s="34"/>
      <c r="E160" s="36" t="s">
        <v>1812</v>
      </c>
      <c r="J160" s="35"/>
    </row>
    <row r="161" spans="1:16" ht="28.8" x14ac:dyDescent="0.3">
      <c r="A161" s="27" t="s">
        <v>103</v>
      </c>
      <c r="B161" s="34"/>
      <c r="E161" s="36" t="s">
        <v>1813</v>
      </c>
      <c r="J161" s="35"/>
    </row>
    <row r="162" spans="1:16" ht="28.8" x14ac:dyDescent="0.3">
      <c r="A162" s="27" t="s">
        <v>103</v>
      </c>
      <c r="B162" s="34"/>
      <c r="E162" s="36" t="s">
        <v>1814</v>
      </c>
      <c r="J162" s="35"/>
    </row>
    <row r="163" spans="1:16" ht="28.8" x14ac:dyDescent="0.3">
      <c r="A163" s="27" t="s">
        <v>103</v>
      </c>
      <c r="B163" s="34"/>
      <c r="E163" s="36" t="s">
        <v>1815</v>
      </c>
      <c r="J163" s="35"/>
    </row>
    <row r="164" spans="1:16" ht="28.8" x14ac:dyDescent="0.3">
      <c r="A164" s="27" t="s">
        <v>103</v>
      </c>
      <c r="B164" s="34"/>
      <c r="E164" s="36" t="s">
        <v>1816</v>
      </c>
      <c r="J164" s="35"/>
    </row>
    <row r="165" spans="1:16" ht="28.8" x14ac:dyDescent="0.3">
      <c r="A165" s="27" t="s">
        <v>103</v>
      </c>
      <c r="B165" s="34"/>
      <c r="E165" s="36" t="s">
        <v>1817</v>
      </c>
      <c r="J165" s="35"/>
    </row>
    <row r="166" spans="1:16" ht="28.8" x14ac:dyDescent="0.3">
      <c r="A166" s="27" t="s">
        <v>103</v>
      </c>
      <c r="B166" s="34"/>
      <c r="E166" s="36" t="s">
        <v>1818</v>
      </c>
      <c r="J166" s="35"/>
    </row>
    <row r="167" spans="1:16" ht="28.8" x14ac:dyDescent="0.3">
      <c r="A167" s="27" t="s">
        <v>103</v>
      </c>
      <c r="B167" s="34"/>
      <c r="E167" s="36" t="s">
        <v>1819</v>
      </c>
      <c r="J167" s="35"/>
    </row>
    <row r="168" spans="1:16" x14ac:dyDescent="0.3">
      <c r="A168" s="27" t="s">
        <v>103</v>
      </c>
      <c r="B168" s="34"/>
      <c r="E168" s="36" t="s">
        <v>1820</v>
      </c>
      <c r="J168" s="35"/>
    </row>
    <row r="169" spans="1:16" ht="288" x14ac:dyDescent="0.3">
      <c r="A169" s="27" t="s">
        <v>105</v>
      </c>
      <c r="B169" s="34"/>
      <c r="E169" s="29" t="s">
        <v>593</v>
      </c>
      <c r="J169" s="35"/>
    </row>
    <row r="170" spans="1:16" x14ac:dyDescent="0.3">
      <c r="A170" s="27" t="s">
        <v>95</v>
      </c>
      <c r="B170" s="27">
        <v>9</v>
      </c>
      <c r="C170" s="28" t="s">
        <v>610</v>
      </c>
      <c r="D170" s="27" t="s">
        <v>129</v>
      </c>
      <c r="E170" s="29" t="s">
        <v>611</v>
      </c>
      <c r="F170" s="30" t="s">
        <v>248</v>
      </c>
      <c r="G170" s="31">
        <v>852.85199999999998</v>
      </c>
      <c r="H170" s="32">
        <v>0</v>
      </c>
      <c r="I170" s="32">
        <f>ROUND(852.852*H170,P4)</f>
        <v>0</v>
      </c>
      <c r="J170" s="30" t="s">
        <v>118</v>
      </c>
      <c r="O170" s="33">
        <f>I170*0.21</f>
        <v>0</v>
      </c>
      <c r="P170">
        <v>3</v>
      </c>
    </row>
    <row r="171" spans="1:16" ht="187.2" x14ac:dyDescent="0.3">
      <c r="A171" s="27" t="s">
        <v>101</v>
      </c>
      <c r="B171" s="34"/>
      <c r="E171" s="29" t="s">
        <v>1872</v>
      </c>
      <c r="J171" s="35"/>
    </row>
    <row r="172" spans="1:16" ht="28.8" x14ac:dyDescent="0.3">
      <c r="A172" s="27" t="s">
        <v>103</v>
      </c>
      <c r="B172" s="34"/>
      <c r="E172" s="36" t="s">
        <v>1873</v>
      </c>
      <c r="J172" s="35"/>
    </row>
    <row r="173" spans="1:16" ht="28.8" x14ac:dyDescent="0.3">
      <c r="A173" s="27" t="s">
        <v>103</v>
      </c>
      <c r="B173" s="34"/>
      <c r="E173" s="36" t="s">
        <v>1874</v>
      </c>
      <c r="J173" s="35"/>
    </row>
    <row r="174" spans="1:16" ht="28.8" x14ac:dyDescent="0.3">
      <c r="A174" s="27" t="s">
        <v>103</v>
      </c>
      <c r="B174" s="34"/>
      <c r="E174" s="36" t="s">
        <v>1875</v>
      </c>
      <c r="J174" s="35"/>
    </row>
    <row r="175" spans="1:16" ht="28.8" x14ac:dyDescent="0.3">
      <c r="A175" s="27" t="s">
        <v>103</v>
      </c>
      <c r="B175" s="34"/>
      <c r="E175" s="36" t="s">
        <v>1876</v>
      </c>
      <c r="J175" s="35"/>
    </row>
    <row r="176" spans="1:16" ht="28.8" x14ac:dyDescent="0.3">
      <c r="A176" s="27" t="s">
        <v>103</v>
      </c>
      <c r="B176" s="34"/>
      <c r="E176" s="36" t="s">
        <v>1877</v>
      </c>
      <c r="J176" s="35"/>
    </row>
    <row r="177" spans="1:16" ht="28.8" x14ac:dyDescent="0.3">
      <c r="A177" s="27" t="s">
        <v>103</v>
      </c>
      <c r="B177" s="34"/>
      <c r="E177" s="36" t="s">
        <v>1878</v>
      </c>
      <c r="J177" s="35"/>
    </row>
    <row r="178" spans="1:16" x14ac:dyDescent="0.3">
      <c r="A178" s="27" t="s">
        <v>103</v>
      </c>
      <c r="B178" s="34"/>
      <c r="E178" s="36" t="s">
        <v>1879</v>
      </c>
      <c r="J178" s="35"/>
    </row>
    <row r="179" spans="1:16" ht="28.8" x14ac:dyDescent="0.3">
      <c r="A179" s="27" t="s">
        <v>105</v>
      </c>
      <c r="B179" s="34"/>
      <c r="E179" s="29" t="s">
        <v>617</v>
      </c>
      <c r="J179" s="35"/>
    </row>
    <row r="180" spans="1:16" x14ac:dyDescent="0.3">
      <c r="A180" s="27" t="s">
        <v>95</v>
      </c>
      <c r="B180" s="27">
        <v>10</v>
      </c>
      <c r="C180" s="28" t="s">
        <v>435</v>
      </c>
      <c r="D180" s="27" t="s">
        <v>129</v>
      </c>
      <c r="E180" s="29" t="s">
        <v>436</v>
      </c>
      <c r="F180" s="30" t="s">
        <v>229</v>
      </c>
      <c r="G180" s="31">
        <v>14.409000000000001</v>
      </c>
      <c r="H180" s="32">
        <v>0</v>
      </c>
      <c r="I180" s="32">
        <f>ROUND(14.409*H180,P4)</f>
        <v>0</v>
      </c>
      <c r="J180" s="30" t="s">
        <v>118</v>
      </c>
      <c r="O180" s="33">
        <f>I180*0.21</f>
        <v>0</v>
      </c>
      <c r="P180">
        <v>3</v>
      </c>
    </row>
    <row r="181" spans="1:16" ht="187.2" x14ac:dyDescent="0.3">
      <c r="A181" s="27" t="s">
        <v>101</v>
      </c>
      <c r="B181" s="34"/>
      <c r="E181" s="29" t="s">
        <v>1880</v>
      </c>
      <c r="J181" s="35"/>
    </row>
    <row r="182" spans="1:16" ht="28.8" x14ac:dyDescent="0.3">
      <c r="A182" s="27" t="s">
        <v>103</v>
      </c>
      <c r="B182" s="34"/>
      <c r="E182" s="36" t="s">
        <v>1845</v>
      </c>
      <c r="J182" s="35"/>
    </row>
    <row r="183" spans="1:16" ht="28.8" x14ac:dyDescent="0.3">
      <c r="A183" s="27" t="s">
        <v>103</v>
      </c>
      <c r="B183" s="34"/>
      <c r="E183" s="36" t="s">
        <v>1846</v>
      </c>
      <c r="J183" s="35"/>
    </row>
    <row r="184" spans="1:16" ht="28.8" x14ac:dyDescent="0.3">
      <c r="A184" s="27" t="s">
        <v>103</v>
      </c>
      <c r="B184" s="34"/>
      <c r="E184" s="36" t="s">
        <v>1847</v>
      </c>
      <c r="J184" s="35"/>
    </row>
    <row r="185" spans="1:16" ht="28.8" x14ac:dyDescent="0.3">
      <c r="A185" s="27" t="s">
        <v>103</v>
      </c>
      <c r="B185" s="34"/>
      <c r="E185" s="36" t="s">
        <v>1848</v>
      </c>
      <c r="J185" s="35"/>
    </row>
    <row r="186" spans="1:16" ht="28.8" x14ac:dyDescent="0.3">
      <c r="A186" s="27" t="s">
        <v>103</v>
      </c>
      <c r="B186" s="34"/>
      <c r="E186" s="36" t="s">
        <v>1849</v>
      </c>
      <c r="J186" s="35"/>
    </row>
    <row r="187" spans="1:16" ht="28.8" x14ac:dyDescent="0.3">
      <c r="A187" s="27" t="s">
        <v>103</v>
      </c>
      <c r="B187" s="34"/>
      <c r="E187" s="36" t="s">
        <v>1850</v>
      </c>
      <c r="J187" s="35"/>
    </row>
    <row r="188" spans="1:16" ht="28.8" x14ac:dyDescent="0.3">
      <c r="A188" s="27" t="s">
        <v>103</v>
      </c>
      <c r="B188" s="34"/>
      <c r="E188" s="36" t="s">
        <v>1851</v>
      </c>
      <c r="J188" s="35"/>
    </row>
    <row r="189" spans="1:16" ht="28.8" x14ac:dyDescent="0.3">
      <c r="A189" s="27" t="s">
        <v>103</v>
      </c>
      <c r="B189" s="34"/>
      <c r="E189" s="36" t="s">
        <v>1852</v>
      </c>
      <c r="J189" s="35"/>
    </row>
    <row r="190" spans="1:16" ht="28.8" x14ac:dyDescent="0.3">
      <c r="A190" s="27" t="s">
        <v>103</v>
      </c>
      <c r="B190" s="34"/>
      <c r="E190" s="36" t="s">
        <v>1853</v>
      </c>
      <c r="J190" s="35"/>
    </row>
    <row r="191" spans="1:16" ht="28.8" x14ac:dyDescent="0.3">
      <c r="A191" s="27" t="s">
        <v>103</v>
      </c>
      <c r="B191" s="34"/>
      <c r="E191" s="36" t="s">
        <v>1854</v>
      </c>
      <c r="J191" s="35"/>
    </row>
    <row r="192" spans="1:16" ht="28.8" x14ac:dyDescent="0.3">
      <c r="A192" s="27" t="s">
        <v>103</v>
      </c>
      <c r="B192" s="34"/>
      <c r="E192" s="36" t="s">
        <v>1855</v>
      </c>
      <c r="J192" s="35"/>
    </row>
    <row r="193" spans="1:16" ht="28.8" x14ac:dyDescent="0.3">
      <c r="A193" s="27" t="s">
        <v>103</v>
      </c>
      <c r="B193" s="34"/>
      <c r="E193" s="36" t="s">
        <v>1856</v>
      </c>
      <c r="J193" s="35"/>
    </row>
    <row r="194" spans="1:16" ht="28.8" x14ac:dyDescent="0.3">
      <c r="A194" s="27" t="s">
        <v>103</v>
      </c>
      <c r="B194" s="34"/>
      <c r="E194" s="36" t="s">
        <v>1857</v>
      </c>
      <c r="J194" s="35"/>
    </row>
    <row r="195" spans="1:16" ht="28.8" x14ac:dyDescent="0.3">
      <c r="A195" s="27" t="s">
        <v>103</v>
      </c>
      <c r="B195" s="34"/>
      <c r="E195" s="36" t="s">
        <v>1858</v>
      </c>
      <c r="J195" s="35"/>
    </row>
    <row r="196" spans="1:16" x14ac:dyDescent="0.3">
      <c r="A196" s="27" t="s">
        <v>103</v>
      </c>
      <c r="B196" s="34"/>
      <c r="E196" s="36" t="s">
        <v>1859</v>
      </c>
      <c r="J196" s="35"/>
    </row>
    <row r="197" spans="1:16" ht="43.2" x14ac:dyDescent="0.3">
      <c r="A197" s="27" t="s">
        <v>105</v>
      </c>
      <c r="B197" s="34"/>
      <c r="E197" s="29" t="s">
        <v>438</v>
      </c>
      <c r="J197" s="35"/>
    </row>
    <row r="198" spans="1:16" x14ac:dyDescent="0.3">
      <c r="A198" s="27" t="s">
        <v>95</v>
      </c>
      <c r="B198" s="27">
        <v>11</v>
      </c>
      <c r="C198" s="28" t="s">
        <v>1635</v>
      </c>
      <c r="D198" s="27" t="s">
        <v>129</v>
      </c>
      <c r="E198" s="29" t="s">
        <v>1636</v>
      </c>
      <c r="F198" s="30" t="s">
        <v>248</v>
      </c>
      <c r="G198" s="31">
        <v>203.315</v>
      </c>
      <c r="H198" s="32">
        <v>0</v>
      </c>
      <c r="I198" s="32">
        <f>ROUND(203.315*H198,P4)</f>
        <v>0</v>
      </c>
      <c r="J198" s="30" t="s">
        <v>118</v>
      </c>
      <c r="O198" s="33">
        <f>I198*0.21</f>
        <v>0</v>
      </c>
      <c r="P198">
        <v>3</v>
      </c>
    </row>
    <row r="199" spans="1:16" ht="172.8" x14ac:dyDescent="0.3">
      <c r="A199" s="27" t="s">
        <v>101</v>
      </c>
      <c r="B199" s="34"/>
      <c r="E199" s="29" t="s">
        <v>1637</v>
      </c>
      <c r="J199" s="35"/>
    </row>
    <row r="200" spans="1:16" ht="28.8" x14ac:dyDescent="0.3">
      <c r="A200" s="27" t="s">
        <v>103</v>
      </c>
      <c r="B200" s="34"/>
      <c r="E200" s="36" t="s">
        <v>1881</v>
      </c>
      <c r="J200" s="35"/>
    </row>
    <row r="201" spans="1:16" ht="28.8" x14ac:dyDescent="0.3">
      <c r="A201" s="27" t="s">
        <v>103</v>
      </c>
      <c r="B201" s="34"/>
      <c r="E201" s="36" t="s">
        <v>1882</v>
      </c>
      <c r="J201" s="35"/>
    </row>
    <row r="202" spans="1:16" ht="28.8" x14ac:dyDescent="0.3">
      <c r="A202" s="27" t="s">
        <v>103</v>
      </c>
      <c r="B202" s="34"/>
      <c r="E202" s="36" t="s">
        <v>1883</v>
      </c>
      <c r="J202" s="35"/>
    </row>
    <row r="203" spans="1:16" ht="28.8" x14ac:dyDescent="0.3">
      <c r="A203" s="27" t="s">
        <v>103</v>
      </c>
      <c r="B203" s="34"/>
      <c r="E203" s="36" t="s">
        <v>1884</v>
      </c>
      <c r="J203" s="35"/>
    </row>
    <row r="204" spans="1:16" ht="28.8" x14ac:dyDescent="0.3">
      <c r="A204" s="27" t="s">
        <v>103</v>
      </c>
      <c r="B204" s="34"/>
      <c r="E204" s="36" t="s">
        <v>1885</v>
      </c>
      <c r="J204" s="35"/>
    </row>
    <row r="205" spans="1:16" ht="28.8" x14ac:dyDescent="0.3">
      <c r="A205" s="27" t="s">
        <v>103</v>
      </c>
      <c r="B205" s="34"/>
      <c r="E205" s="36" t="s">
        <v>1886</v>
      </c>
      <c r="J205" s="35"/>
    </row>
    <row r="206" spans="1:16" ht="28.8" x14ac:dyDescent="0.3">
      <c r="A206" s="27" t="s">
        <v>103</v>
      </c>
      <c r="B206" s="34"/>
      <c r="E206" s="36" t="s">
        <v>1887</v>
      </c>
      <c r="J206" s="35"/>
    </row>
    <row r="207" spans="1:16" ht="28.8" x14ac:dyDescent="0.3">
      <c r="A207" s="27" t="s">
        <v>103</v>
      </c>
      <c r="B207" s="34"/>
      <c r="E207" s="36" t="s">
        <v>1888</v>
      </c>
      <c r="J207" s="35"/>
    </row>
    <row r="208" spans="1:16" ht="28.8" x14ac:dyDescent="0.3">
      <c r="A208" s="27" t="s">
        <v>103</v>
      </c>
      <c r="B208" s="34"/>
      <c r="E208" s="36" t="s">
        <v>1889</v>
      </c>
      <c r="J208" s="35"/>
    </row>
    <row r="209" spans="1:16" x14ac:dyDescent="0.3">
      <c r="A209" s="27" t="s">
        <v>103</v>
      </c>
      <c r="B209" s="34"/>
      <c r="E209" s="36" t="s">
        <v>1890</v>
      </c>
      <c r="J209" s="35"/>
    </row>
    <row r="210" spans="1:16" ht="28.8" x14ac:dyDescent="0.3">
      <c r="A210" s="27" t="s">
        <v>105</v>
      </c>
      <c r="B210" s="34"/>
      <c r="E210" s="29" t="s">
        <v>1647</v>
      </c>
      <c r="J210" s="35"/>
    </row>
    <row r="211" spans="1:16" x14ac:dyDescent="0.3">
      <c r="A211" s="21" t="s">
        <v>92</v>
      </c>
      <c r="B211" s="22"/>
      <c r="C211" s="23" t="s">
        <v>107</v>
      </c>
      <c r="D211" s="24"/>
      <c r="E211" s="21" t="s">
        <v>618</v>
      </c>
      <c r="F211" s="24"/>
      <c r="G211" s="24"/>
      <c r="H211" s="24"/>
      <c r="I211" s="25">
        <f>SUMIFS(I212:I240,A212:A240,"P")</f>
        <v>0</v>
      </c>
      <c r="J211" s="26"/>
    </row>
    <row r="212" spans="1:16" x14ac:dyDescent="0.3">
      <c r="A212" s="27" t="s">
        <v>95</v>
      </c>
      <c r="B212" s="27">
        <v>12</v>
      </c>
      <c r="C212" s="28" t="s">
        <v>1648</v>
      </c>
      <c r="D212" s="27" t="s">
        <v>1659</v>
      </c>
      <c r="E212" s="29" t="s">
        <v>1660</v>
      </c>
      <c r="F212" s="30" t="s">
        <v>1650</v>
      </c>
      <c r="G212" s="31">
        <v>216.93199999999999</v>
      </c>
      <c r="H212" s="32">
        <v>0</v>
      </c>
      <c r="I212" s="32">
        <f>ROUND(216.932*H212,P4)</f>
        <v>0</v>
      </c>
      <c r="J212" s="30" t="s">
        <v>1200</v>
      </c>
      <c r="O212" s="33">
        <f>I212*0.21</f>
        <v>0</v>
      </c>
      <c r="P212">
        <v>3</v>
      </c>
    </row>
    <row r="213" spans="1:16" ht="158.4" x14ac:dyDescent="0.3">
      <c r="A213" s="27" t="s">
        <v>101</v>
      </c>
      <c r="B213" s="34"/>
      <c r="E213" s="29" t="s">
        <v>1821</v>
      </c>
      <c r="J213" s="35"/>
    </row>
    <row r="214" spans="1:16" ht="28.8" x14ac:dyDescent="0.3">
      <c r="A214" s="27" t="s">
        <v>103</v>
      </c>
      <c r="B214" s="34"/>
      <c r="E214" s="36" t="s">
        <v>1822</v>
      </c>
      <c r="J214" s="35"/>
    </row>
    <row r="215" spans="1:16" ht="28.8" x14ac:dyDescent="0.3">
      <c r="A215" s="27" t="s">
        <v>103</v>
      </c>
      <c r="B215" s="34"/>
      <c r="E215" s="36" t="s">
        <v>1823</v>
      </c>
      <c r="J215" s="35"/>
    </row>
    <row r="216" spans="1:16" ht="28.8" x14ac:dyDescent="0.3">
      <c r="A216" s="27" t="s">
        <v>103</v>
      </c>
      <c r="B216" s="34"/>
      <c r="E216" s="36" t="s">
        <v>1824</v>
      </c>
      <c r="J216" s="35"/>
    </row>
    <row r="217" spans="1:16" ht="28.8" x14ac:dyDescent="0.3">
      <c r="A217" s="27" t="s">
        <v>103</v>
      </c>
      <c r="B217" s="34"/>
      <c r="E217" s="36" t="s">
        <v>1825</v>
      </c>
      <c r="J217" s="35"/>
    </row>
    <row r="218" spans="1:16" ht="28.8" x14ac:dyDescent="0.3">
      <c r="A218" s="27" t="s">
        <v>103</v>
      </c>
      <c r="B218" s="34"/>
      <c r="E218" s="36" t="s">
        <v>1826</v>
      </c>
      <c r="J218" s="35"/>
    </row>
    <row r="219" spans="1:16" ht="28.8" x14ac:dyDescent="0.3">
      <c r="A219" s="27" t="s">
        <v>103</v>
      </c>
      <c r="B219" s="34"/>
      <c r="E219" s="36" t="s">
        <v>1827</v>
      </c>
      <c r="J219" s="35"/>
    </row>
    <row r="220" spans="1:16" ht="28.8" x14ac:dyDescent="0.3">
      <c r="A220" s="27" t="s">
        <v>103</v>
      </c>
      <c r="B220" s="34"/>
      <c r="E220" s="36" t="s">
        <v>1828</v>
      </c>
      <c r="J220" s="35"/>
    </row>
    <row r="221" spans="1:16" ht="28.8" x14ac:dyDescent="0.3">
      <c r="A221" s="27" t="s">
        <v>103</v>
      </c>
      <c r="B221" s="34"/>
      <c r="E221" s="36" t="s">
        <v>1829</v>
      </c>
      <c r="J221" s="35"/>
    </row>
    <row r="222" spans="1:16" ht="28.8" x14ac:dyDescent="0.3">
      <c r="A222" s="27" t="s">
        <v>103</v>
      </c>
      <c r="B222" s="34"/>
      <c r="E222" s="36" t="s">
        <v>1830</v>
      </c>
      <c r="J222" s="35"/>
    </row>
    <row r="223" spans="1:16" ht="28.8" x14ac:dyDescent="0.3">
      <c r="A223" s="27" t="s">
        <v>103</v>
      </c>
      <c r="B223" s="34"/>
      <c r="E223" s="36" t="s">
        <v>1891</v>
      </c>
      <c r="J223" s="35"/>
    </row>
    <row r="224" spans="1:16" ht="28.8" x14ac:dyDescent="0.3">
      <c r="A224" s="27" t="s">
        <v>103</v>
      </c>
      <c r="B224" s="34"/>
      <c r="E224" s="36" t="s">
        <v>1892</v>
      </c>
      <c r="J224" s="35"/>
    </row>
    <row r="225" spans="1:10" ht="28.8" x14ac:dyDescent="0.3">
      <c r="A225" s="27" t="s">
        <v>103</v>
      </c>
      <c r="B225" s="34"/>
      <c r="E225" s="36" t="s">
        <v>1893</v>
      </c>
      <c r="J225" s="35"/>
    </row>
    <row r="226" spans="1:10" ht="28.8" x14ac:dyDescent="0.3">
      <c r="A226" s="27" t="s">
        <v>103</v>
      </c>
      <c r="B226" s="34"/>
      <c r="E226" s="36" t="s">
        <v>1894</v>
      </c>
      <c r="J226" s="35"/>
    </row>
    <row r="227" spans="1:10" ht="28.8" x14ac:dyDescent="0.3">
      <c r="A227" s="27" t="s">
        <v>103</v>
      </c>
      <c r="B227" s="34"/>
      <c r="E227" s="36" t="s">
        <v>1895</v>
      </c>
      <c r="J227" s="35"/>
    </row>
    <row r="228" spans="1:10" ht="28.8" x14ac:dyDescent="0.3">
      <c r="A228" s="27" t="s">
        <v>103</v>
      </c>
      <c r="B228" s="34"/>
      <c r="E228" s="36" t="s">
        <v>1896</v>
      </c>
      <c r="J228" s="35"/>
    </row>
    <row r="229" spans="1:10" ht="28.8" x14ac:dyDescent="0.3">
      <c r="A229" s="27" t="s">
        <v>103</v>
      </c>
      <c r="B229" s="34"/>
      <c r="E229" s="36" t="s">
        <v>1897</v>
      </c>
      <c r="J229" s="35"/>
    </row>
    <row r="230" spans="1:10" ht="28.8" x14ac:dyDescent="0.3">
      <c r="A230" s="27" t="s">
        <v>103</v>
      </c>
      <c r="B230" s="34"/>
      <c r="E230" s="36" t="s">
        <v>1898</v>
      </c>
      <c r="J230" s="35"/>
    </row>
    <row r="231" spans="1:10" ht="28.8" x14ac:dyDescent="0.3">
      <c r="A231" s="27" t="s">
        <v>103</v>
      </c>
      <c r="B231" s="34"/>
      <c r="E231" s="36" t="s">
        <v>1899</v>
      </c>
      <c r="J231" s="35"/>
    </row>
    <row r="232" spans="1:10" ht="28.8" x14ac:dyDescent="0.3">
      <c r="A232" s="27" t="s">
        <v>103</v>
      </c>
      <c r="B232" s="34"/>
      <c r="E232" s="36" t="s">
        <v>1900</v>
      </c>
      <c r="J232" s="35"/>
    </row>
    <row r="233" spans="1:10" ht="28.8" x14ac:dyDescent="0.3">
      <c r="A233" s="27" t="s">
        <v>103</v>
      </c>
      <c r="B233" s="34"/>
      <c r="E233" s="36" t="s">
        <v>1901</v>
      </c>
      <c r="J233" s="35"/>
    </row>
    <row r="234" spans="1:10" ht="28.8" x14ac:dyDescent="0.3">
      <c r="A234" s="27" t="s">
        <v>103</v>
      </c>
      <c r="B234" s="34"/>
      <c r="E234" s="36" t="s">
        <v>1902</v>
      </c>
      <c r="J234" s="35"/>
    </row>
    <row r="235" spans="1:10" ht="28.8" x14ac:dyDescent="0.3">
      <c r="A235" s="27" t="s">
        <v>103</v>
      </c>
      <c r="B235" s="34"/>
      <c r="E235" s="36" t="s">
        <v>1903</v>
      </c>
      <c r="J235" s="35"/>
    </row>
    <row r="236" spans="1:10" ht="28.8" x14ac:dyDescent="0.3">
      <c r="A236" s="27" t="s">
        <v>103</v>
      </c>
      <c r="B236" s="34"/>
      <c r="E236" s="36" t="s">
        <v>1904</v>
      </c>
      <c r="J236" s="35"/>
    </row>
    <row r="237" spans="1:10" ht="28.8" x14ac:dyDescent="0.3">
      <c r="A237" s="27" t="s">
        <v>103</v>
      </c>
      <c r="B237" s="34"/>
      <c r="E237" s="36" t="s">
        <v>1905</v>
      </c>
      <c r="J237" s="35"/>
    </row>
    <row r="238" spans="1:10" ht="28.8" x14ac:dyDescent="0.3">
      <c r="A238" s="27" t="s">
        <v>103</v>
      </c>
      <c r="B238" s="34"/>
      <c r="E238" s="36" t="s">
        <v>1906</v>
      </c>
      <c r="J238" s="35"/>
    </row>
    <row r="239" spans="1:10" x14ac:dyDescent="0.3">
      <c r="A239" s="27" t="s">
        <v>103</v>
      </c>
      <c r="B239" s="34"/>
      <c r="E239" s="36" t="s">
        <v>1907</v>
      </c>
      <c r="J239" s="35"/>
    </row>
    <row r="240" spans="1:10" ht="72" x14ac:dyDescent="0.3">
      <c r="A240" s="27" t="s">
        <v>105</v>
      </c>
      <c r="B240" s="34"/>
      <c r="E240" s="29" t="s">
        <v>1777</v>
      </c>
      <c r="J240" s="35"/>
    </row>
    <row r="241" spans="1:16" x14ac:dyDescent="0.3">
      <c r="A241" s="21" t="s">
        <v>92</v>
      </c>
      <c r="B241" s="22"/>
      <c r="C241" s="23" t="s">
        <v>124</v>
      </c>
      <c r="D241" s="24"/>
      <c r="E241" s="21" t="s">
        <v>226</v>
      </c>
      <c r="F241" s="24"/>
      <c r="G241" s="24"/>
      <c r="H241" s="24"/>
      <c r="I241" s="25">
        <f>SUMIFS(I242:I419,A242:A419,"P")</f>
        <v>0</v>
      </c>
      <c r="J241" s="26"/>
    </row>
    <row r="242" spans="1:16" x14ac:dyDescent="0.3">
      <c r="A242" s="27" t="s">
        <v>95</v>
      </c>
      <c r="B242" s="27">
        <v>13</v>
      </c>
      <c r="C242" s="28" t="s">
        <v>697</v>
      </c>
      <c r="D242" s="27" t="s">
        <v>97</v>
      </c>
      <c r="E242" s="29" t="s">
        <v>698</v>
      </c>
      <c r="F242" s="30" t="s">
        <v>229</v>
      </c>
      <c r="G242" s="31">
        <v>8.9879999999999995</v>
      </c>
      <c r="H242" s="32">
        <v>0</v>
      </c>
      <c r="I242" s="32">
        <f>ROUND(8.988*H242,P4)</f>
        <v>0</v>
      </c>
      <c r="J242" s="30" t="s">
        <v>118</v>
      </c>
      <c r="O242" s="33">
        <f>I242*0.21</f>
        <v>0</v>
      </c>
      <c r="P242">
        <v>3</v>
      </c>
    </row>
    <row r="243" spans="1:16" ht="158.4" x14ac:dyDescent="0.3">
      <c r="A243" s="27" t="s">
        <v>101</v>
      </c>
      <c r="B243" s="34"/>
      <c r="E243" s="29" t="s">
        <v>1908</v>
      </c>
      <c r="J243" s="35"/>
    </row>
    <row r="244" spans="1:16" ht="28.8" x14ac:dyDescent="0.3">
      <c r="A244" s="27" t="s">
        <v>103</v>
      </c>
      <c r="B244" s="34"/>
      <c r="E244" s="36" t="s">
        <v>1909</v>
      </c>
      <c r="J244" s="35"/>
    </row>
    <row r="245" spans="1:16" x14ac:dyDescent="0.3">
      <c r="A245" s="27" t="s">
        <v>103</v>
      </c>
      <c r="B245" s="34"/>
      <c r="E245" s="36" t="s">
        <v>1910</v>
      </c>
      <c r="J245" s="35"/>
    </row>
    <row r="246" spans="1:16" ht="57.6" x14ac:dyDescent="0.3">
      <c r="A246" s="27" t="s">
        <v>105</v>
      </c>
      <c r="B246" s="34"/>
      <c r="E246" s="29" t="s">
        <v>765</v>
      </c>
      <c r="J246" s="35"/>
    </row>
    <row r="247" spans="1:16" x14ac:dyDescent="0.3">
      <c r="A247" s="27" t="s">
        <v>95</v>
      </c>
      <c r="B247" s="27">
        <v>14</v>
      </c>
      <c r="C247" s="28" t="s">
        <v>697</v>
      </c>
      <c r="D247" s="27" t="s">
        <v>107</v>
      </c>
      <c r="E247" s="29" t="s">
        <v>698</v>
      </c>
      <c r="F247" s="30" t="s">
        <v>229</v>
      </c>
      <c r="G247" s="31">
        <v>206.416</v>
      </c>
      <c r="H247" s="32">
        <v>0</v>
      </c>
      <c r="I247" s="32">
        <f>ROUND(206.416*H247,P4)</f>
        <v>0</v>
      </c>
      <c r="J247" s="30" t="s">
        <v>118</v>
      </c>
      <c r="O247" s="33">
        <f>I247*0.21</f>
        <v>0</v>
      </c>
      <c r="P247">
        <v>3</v>
      </c>
    </row>
    <row r="248" spans="1:16" ht="158.4" x14ac:dyDescent="0.3">
      <c r="A248" s="27" t="s">
        <v>101</v>
      </c>
      <c r="B248" s="34"/>
      <c r="E248" s="29" t="s">
        <v>1911</v>
      </c>
      <c r="J248" s="35"/>
    </row>
    <row r="249" spans="1:16" ht="28.8" x14ac:dyDescent="0.3">
      <c r="A249" s="27" t="s">
        <v>103</v>
      </c>
      <c r="B249" s="34"/>
      <c r="E249" s="36" t="s">
        <v>1912</v>
      </c>
      <c r="J249" s="35"/>
    </row>
    <row r="250" spans="1:16" ht="28.8" x14ac:dyDescent="0.3">
      <c r="A250" s="27" t="s">
        <v>103</v>
      </c>
      <c r="B250" s="34"/>
      <c r="E250" s="36" t="s">
        <v>1913</v>
      </c>
      <c r="J250" s="35"/>
    </row>
    <row r="251" spans="1:16" ht="28.8" x14ac:dyDescent="0.3">
      <c r="A251" s="27" t="s">
        <v>103</v>
      </c>
      <c r="B251" s="34"/>
      <c r="E251" s="36" t="s">
        <v>1914</v>
      </c>
      <c r="J251" s="35"/>
    </row>
    <row r="252" spans="1:16" ht="28.8" x14ac:dyDescent="0.3">
      <c r="A252" s="27" t="s">
        <v>103</v>
      </c>
      <c r="B252" s="34"/>
      <c r="E252" s="36" t="s">
        <v>1915</v>
      </c>
      <c r="J252" s="35"/>
    </row>
    <row r="253" spans="1:16" ht="28.8" x14ac:dyDescent="0.3">
      <c r="A253" s="27" t="s">
        <v>103</v>
      </c>
      <c r="B253" s="34"/>
      <c r="E253" s="36" t="s">
        <v>1916</v>
      </c>
      <c r="J253" s="35"/>
    </row>
    <row r="254" spans="1:16" ht="28.8" x14ac:dyDescent="0.3">
      <c r="A254" s="27" t="s">
        <v>103</v>
      </c>
      <c r="B254" s="34"/>
      <c r="E254" s="36" t="s">
        <v>1917</v>
      </c>
      <c r="J254" s="35"/>
    </row>
    <row r="255" spans="1:16" ht="28.8" x14ac:dyDescent="0.3">
      <c r="A255" s="27" t="s">
        <v>103</v>
      </c>
      <c r="B255" s="34"/>
      <c r="E255" s="36" t="s">
        <v>1918</v>
      </c>
      <c r="J255" s="35"/>
    </row>
    <row r="256" spans="1:16" ht="28.8" x14ac:dyDescent="0.3">
      <c r="A256" s="27" t="s">
        <v>103</v>
      </c>
      <c r="B256" s="34"/>
      <c r="E256" s="36" t="s">
        <v>1919</v>
      </c>
      <c r="J256" s="35"/>
    </row>
    <row r="257" spans="1:10" ht="28.8" x14ac:dyDescent="0.3">
      <c r="A257" s="27" t="s">
        <v>103</v>
      </c>
      <c r="B257" s="34"/>
      <c r="E257" s="36" t="s">
        <v>1920</v>
      </c>
      <c r="J257" s="35"/>
    </row>
    <row r="258" spans="1:10" ht="28.8" x14ac:dyDescent="0.3">
      <c r="A258" s="27" t="s">
        <v>103</v>
      </c>
      <c r="B258" s="34"/>
      <c r="E258" s="36" t="s">
        <v>1921</v>
      </c>
      <c r="J258" s="35"/>
    </row>
    <row r="259" spans="1:10" x14ac:dyDescent="0.3">
      <c r="A259" s="27" t="s">
        <v>103</v>
      </c>
      <c r="B259" s="34"/>
      <c r="E259" s="36" t="s">
        <v>1922</v>
      </c>
      <c r="J259" s="35"/>
    </row>
    <row r="260" spans="1:10" ht="28.8" x14ac:dyDescent="0.3">
      <c r="A260" s="27" t="s">
        <v>103</v>
      </c>
      <c r="B260" s="34"/>
      <c r="E260" s="36" t="s">
        <v>1923</v>
      </c>
      <c r="J260" s="35"/>
    </row>
    <row r="261" spans="1:10" ht="28.8" x14ac:dyDescent="0.3">
      <c r="A261" s="27" t="s">
        <v>103</v>
      </c>
      <c r="B261" s="34"/>
      <c r="E261" s="36" t="s">
        <v>1924</v>
      </c>
      <c r="J261" s="35"/>
    </row>
    <row r="262" spans="1:10" ht="28.8" x14ac:dyDescent="0.3">
      <c r="A262" s="27" t="s">
        <v>103</v>
      </c>
      <c r="B262" s="34"/>
      <c r="E262" s="36" t="s">
        <v>1925</v>
      </c>
      <c r="J262" s="35"/>
    </row>
    <row r="263" spans="1:10" ht="28.8" x14ac:dyDescent="0.3">
      <c r="A263" s="27" t="s">
        <v>103</v>
      </c>
      <c r="B263" s="34"/>
      <c r="E263" s="36" t="s">
        <v>1926</v>
      </c>
      <c r="J263" s="35"/>
    </row>
    <row r="264" spans="1:10" ht="28.8" x14ac:dyDescent="0.3">
      <c r="A264" s="27" t="s">
        <v>103</v>
      </c>
      <c r="B264" s="34"/>
      <c r="E264" s="36" t="s">
        <v>1927</v>
      </c>
      <c r="J264" s="35"/>
    </row>
    <row r="265" spans="1:10" ht="28.8" x14ac:dyDescent="0.3">
      <c r="A265" s="27" t="s">
        <v>103</v>
      </c>
      <c r="B265" s="34"/>
      <c r="E265" s="36" t="s">
        <v>1928</v>
      </c>
      <c r="J265" s="35"/>
    </row>
    <row r="266" spans="1:10" ht="28.8" x14ac:dyDescent="0.3">
      <c r="A266" s="27" t="s">
        <v>103</v>
      </c>
      <c r="B266" s="34"/>
      <c r="E266" s="36" t="s">
        <v>1929</v>
      </c>
      <c r="J266" s="35"/>
    </row>
    <row r="267" spans="1:10" ht="28.8" x14ac:dyDescent="0.3">
      <c r="A267" s="27" t="s">
        <v>103</v>
      </c>
      <c r="B267" s="34"/>
      <c r="E267" s="36" t="s">
        <v>1930</v>
      </c>
      <c r="J267" s="35"/>
    </row>
    <row r="268" spans="1:10" ht="28.8" x14ac:dyDescent="0.3">
      <c r="A268" s="27" t="s">
        <v>103</v>
      </c>
      <c r="B268" s="34"/>
      <c r="E268" s="36" t="s">
        <v>1931</v>
      </c>
      <c r="J268" s="35"/>
    </row>
    <row r="269" spans="1:10" ht="28.8" x14ac:dyDescent="0.3">
      <c r="A269" s="27" t="s">
        <v>103</v>
      </c>
      <c r="B269" s="34"/>
      <c r="E269" s="36" t="s">
        <v>1932</v>
      </c>
      <c r="J269" s="35"/>
    </row>
    <row r="270" spans="1:10" ht="28.8" x14ac:dyDescent="0.3">
      <c r="A270" s="27" t="s">
        <v>103</v>
      </c>
      <c r="B270" s="34"/>
      <c r="E270" s="36" t="s">
        <v>1933</v>
      </c>
      <c r="J270" s="35"/>
    </row>
    <row r="271" spans="1:10" ht="28.8" x14ac:dyDescent="0.3">
      <c r="A271" s="27" t="s">
        <v>103</v>
      </c>
      <c r="B271" s="34"/>
      <c r="E271" s="36" t="s">
        <v>1934</v>
      </c>
      <c r="J271" s="35"/>
    </row>
    <row r="272" spans="1:10" ht="28.8" x14ac:dyDescent="0.3">
      <c r="A272" s="27" t="s">
        <v>103</v>
      </c>
      <c r="B272" s="34"/>
      <c r="E272" s="36" t="s">
        <v>1935</v>
      </c>
      <c r="J272" s="35"/>
    </row>
    <row r="273" spans="1:10" ht="28.8" x14ac:dyDescent="0.3">
      <c r="A273" s="27" t="s">
        <v>103</v>
      </c>
      <c r="B273" s="34"/>
      <c r="E273" s="36" t="s">
        <v>1936</v>
      </c>
      <c r="J273" s="35"/>
    </row>
    <row r="274" spans="1:10" ht="28.8" x14ac:dyDescent="0.3">
      <c r="A274" s="27" t="s">
        <v>103</v>
      </c>
      <c r="B274" s="34"/>
      <c r="E274" s="36" t="s">
        <v>1937</v>
      </c>
      <c r="J274" s="35"/>
    </row>
    <row r="275" spans="1:10" ht="28.8" x14ac:dyDescent="0.3">
      <c r="A275" s="27" t="s">
        <v>103</v>
      </c>
      <c r="B275" s="34"/>
      <c r="E275" s="36" t="s">
        <v>1938</v>
      </c>
      <c r="J275" s="35"/>
    </row>
    <row r="276" spans="1:10" ht="28.8" x14ac:dyDescent="0.3">
      <c r="A276" s="27" t="s">
        <v>103</v>
      </c>
      <c r="B276" s="34"/>
      <c r="E276" s="36" t="s">
        <v>1939</v>
      </c>
      <c r="J276" s="35"/>
    </row>
    <row r="277" spans="1:10" ht="28.8" x14ac:dyDescent="0.3">
      <c r="A277" s="27" t="s">
        <v>103</v>
      </c>
      <c r="B277" s="34"/>
      <c r="E277" s="36" t="s">
        <v>1940</v>
      </c>
      <c r="J277" s="35"/>
    </row>
    <row r="278" spans="1:10" ht="28.8" x14ac:dyDescent="0.3">
      <c r="A278" s="27" t="s">
        <v>103</v>
      </c>
      <c r="B278" s="34"/>
      <c r="E278" s="36" t="s">
        <v>1941</v>
      </c>
      <c r="J278" s="35"/>
    </row>
    <row r="279" spans="1:10" ht="28.8" x14ac:dyDescent="0.3">
      <c r="A279" s="27" t="s">
        <v>103</v>
      </c>
      <c r="B279" s="34"/>
      <c r="E279" s="36" t="s">
        <v>1942</v>
      </c>
      <c r="J279" s="35"/>
    </row>
    <row r="280" spans="1:10" ht="28.8" x14ac:dyDescent="0.3">
      <c r="A280" s="27" t="s">
        <v>103</v>
      </c>
      <c r="B280" s="34"/>
      <c r="E280" s="36" t="s">
        <v>1943</v>
      </c>
      <c r="J280" s="35"/>
    </row>
    <row r="281" spans="1:10" ht="28.8" x14ac:dyDescent="0.3">
      <c r="A281" s="27" t="s">
        <v>103</v>
      </c>
      <c r="B281" s="34"/>
      <c r="E281" s="36" t="s">
        <v>1944</v>
      </c>
      <c r="J281" s="35"/>
    </row>
    <row r="282" spans="1:10" ht="28.8" x14ac:dyDescent="0.3">
      <c r="A282" s="27" t="s">
        <v>103</v>
      </c>
      <c r="B282" s="34"/>
      <c r="E282" s="36" t="s">
        <v>1945</v>
      </c>
      <c r="J282" s="35"/>
    </row>
    <row r="283" spans="1:10" ht="28.8" x14ac:dyDescent="0.3">
      <c r="A283" s="27" t="s">
        <v>103</v>
      </c>
      <c r="B283" s="34"/>
      <c r="E283" s="36" t="s">
        <v>1946</v>
      </c>
      <c r="J283" s="35"/>
    </row>
    <row r="284" spans="1:10" ht="28.8" x14ac:dyDescent="0.3">
      <c r="A284" s="27" t="s">
        <v>103</v>
      </c>
      <c r="B284" s="34"/>
      <c r="E284" s="36" t="s">
        <v>1947</v>
      </c>
      <c r="J284" s="35"/>
    </row>
    <row r="285" spans="1:10" ht="28.8" x14ac:dyDescent="0.3">
      <c r="A285" s="27" t="s">
        <v>103</v>
      </c>
      <c r="B285" s="34"/>
      <c r="E285" s="36" t="s">
        <v>1948</v>
      </c>
      <c r="J285" s="35"/>
    </row>
    <row r="286" spans="1:10" ht="28.8" x14ac:dyDescent="0.3">
      <c r="A286" s="27" t="s">
        <v>103</v>
      </c>
      <c r="B286" s="34"/>
      <c r="E286" s="36" t="s">
        <v>1949</v>
      </c>
      <c r="J286" s="35"/>
    </row>
    <row r="287" spans="1:10" ht="28.8" x14ac:dyDescent="0.3">
      <c r="A287" s="27" t="s">
        <v>103</v>
      </c>
      <c r="B287" s="34"/>
      <c r="E287" s="36" t="s">
        <v>1950</v>
      </c>
      <c r="J287" s="35"/>
    </row>
    <row r="288" spans="1:10" ht="28.8" x14ac:dyDescent="0.3">
      <c r="A288" s="27" t="s">
        <v>103</v>
      </c>
      <c r="B288" s="34"/>
      <c r="E288" s="36" t="s">
        <v>1951</v>
      </c>
      <c r="J288" s="35"/>
    </row>
    <row r="289" spans="1:16" ht="28.8" x14ac:dyDescent="0.3">
      <c r="A289" s="27" t="s">
        <v>103</v>
      </c>
      <c r="B289" s="34"/>
      <c r="E289" s="36" t="s">
        <v>1952</v>
      </c>
      <c r="J289" s="35"/>
    </row>
    <row r="290" spans="1:16" ht="28.8" x14ac:dyDescent="0.3">
      <c r="A290" s="27" t="s">
        <v>103</v>
      </c>
      <c r="B290" s="34"/>
      <c r="E290" s="36" t="s">
        <v>1953</v>
      </c>
      <c r="J290" s="35"/>
    </row>
    <row r="291" spans="1:16" ht="28.8" x14ac:dyDescent="0.3">
      <c r="A291" s="27" t="s">
        <v>103</v>
      </c>
      <c r="B291" s="34"/>
      <c r="E291" s="36" t="s">
        <v>1954</v>
      </c>
      <c r="J291" s="35"/>
    </row>
    <row r="292" spans="1:16" x14ac:dyDescent="0.3">
      <c r="A292" s="27" t="s">
        <v>103</v>
      </c>
      <c r="B292" s="34"/>
      <c r="E292" s="36" t="s">
        <v>1955</v>
      </c>
      <c r="J292" s="35"/>
    </row>
    <row r="293" spans="1:16" ht="57.6" x14ac:dyDescent="0.3">
      <c r="A293" s="27" t="s">
        <v>105</v>
      </c>
      <c r="B293" s="34"/>
      <c r="E293" s="29" t="s">
        <v>765</v>
      </c>
      <c r="J293" s="35"/>
    </row>
    <row r="294" spans="1:16" x14ac:dyDescent="0.3">
      <c r="A294" s="27" t="s">
        <v>95</v>
      </c>
      <c r="B294" s="27">
        <v>15</v>
      </c>
      <c r="C294" s="28" t="s">
        <v>1956</v>
      </c>
      <c r="D294" s="27" t="s">
        <v>97</v>
      </c>
      <c r="E294" s="29" t="s">
        <v>1957</v>
      </c>
      <c r="F294" s="30" t="s">
        <v>229</v>
      </c>
      <c r="G294" s="31">
        <v>3.2050000000000001</v>
      </c>
      <c r="H294" s="32">
        <v>0</v>
      </c>
      <c r="I294" s="32">
        <f>ROUND(3.205*H294,P4)</f>
        <v>0</v>
      </c>
      <c r="J294" s="30" t="s">
        <v>118</v>
      </c>
      <c r="O294" s="33">
        <f>I294*0.21</f>
        <v>0</v>
      </c>
      <c r="P294">
        <v>3</v>
      </c>
    </row>
    <row r="295" spans="1:16" ht="158.4" x14ac:dyDescent="0.3">
      <c r="A295" s="27" t="s">
        <v>101</v>
      </c>
      <c r="B295" s="34"/>
      <c r="E295" s="29" t="s">
        <v>1958</v>
      </c>
      <c r="J295" s="35"/>
    </row>
    <row r="296" spans="1:16" ht="28.8" x14ac:dyDescent="0.3">
      <c r="A296" s="27" t="s">
        <v>103</v>
      </c>
      <c r="B296" s="34"/>
      <c r="E296" s="36" t="s">
        <v>1959</v>
      </c>
      <c r="J296" s="35"/>
    </row>
    <row r="297" spans="1:16" x14ac:dyDescent="0.3">
      <c r="A297" s="27" t="s">
        <v>103</v>
      </c>
      <c r="B297" s="34"/>
      <c r="E297" s="36" t="s">
        <v>1960</v>
      </c>
      <c r="J297" s="35"/>
    </row>
    <row r="298" spans="1:16" ht="115.2" x14ac:dyDescent="0.3">
      <c r="A298" s="27" t="s">
        <v>105</v>
      </c>
      <c r="B298" s="34"/>
      <c r="E298" s="29" t="s">
        <v>989</v>
      </c>
      <c r="J298" s="35"/>
    </row>
    <row r="299" spans="1:16" x14ac:dyDescent="0.3">
      <c r="A299" s="27" t="s">
        <v>95</v>
      </c>
      <c r="B299" s="27">
        <v>16</v>
      </c>
      <c r="C299" s="28" t="s">
        <v>1956</v>
      </c>
      <c r="D299" s="27" t="s">
        <v>107</v>
      </c>
      <c r="E299" s="29" t="s">
        <v>1957</v>
      </c>
      <c r="F299" s="30" t="s">
        <v>229</v>
      </c>
      <c r="G299" s="31">
        <v>32.935000000000002</v>
      </c>
      <c r="H299" s="32">
        <v>0</v>
      </c>
      <c r="I299" s="32">
        <f>ROUND(32.935*H299,P4)</f>
        <v>0</v>
      </c>
      <c r="J299" s="30" t="s">
        <v>118</v>
      </c>
      <c r="O299" s="33">
        <f>I299*0.21</f>
        <v>0</v>
      </c>
      <c r="P299">
        <v>3</v>
      </c>
    </row>
    <row r="300" spans="1:16" ht="158.4" x14ac:dyDescent="0.3">
      <c r="A300" s="27" t="s">
        <v>101</v>
      </c>
      <c r="B300" s="34"/>
      <c r="E300" s="29" t="s">
        <v>1961</v>
      </c>
      <c r="J300" s="35"/>
    </row>
    <row r="301" spans="1:16" ht="28.8" x14ac:dyDescent="0.3">
      <c r="A301" s="27" t="s">
        <v>103</v>
      </c>
      <c r="B301" s="34"/>
      <c r="E301" s="36" t="s">
        <v>1962</v>
      </c>
      <c r="J301" s="35"/>
    </row>
    <row r="302" spans="1:16" ht="28.8" x14ac:dyDescent="0.3">
      <c r="A302" s="27" t="s">
        <v>103</v>
      </c>
      <c r="B302" s="34"/>
      <c r="E302" s="36" t="s">
        <v>1963</v>
      </c>
      <c r="J302" s="35"/>
    </row>
    <row r="303" spans="1:16" ht="28.8" x14ac:dyDescent="0.3">
      <c r="A303" s="27" t="s">
        <v>103</v>
      </c>
      <c r="B303" s="34"/>
      <c r="E303" s="36" t="s">
        <v>1964</v>
      </c>
      <c r="J303" s="35"/>
    </row>
    <row r="304" spans="1:16" ht="28.8" x14ac:dyDescent="0.3">
      <c r="A304" s="27" t="s">
        <v>103</v>
      </c>
      <c r="B304" s="34"/>
      <c r="E304" s="36" t="s">
        <v>1965</v>
      </c>
      <c r="J304" s="35"/>
    </row>
    <row r="305" spans="1:10" ht="28.8" x14ac:dyDescent="0.3">
      <c r="A305" s="27" t="s">
        <v>103</v>
      </c>
      <c r="B305" s="34"/>
      <c r="E305" s="36" t="s">
        <v>1966</v>
      </c>
      <c r="J305" s="35"/>
    </row>
    <row r="306" spans="1:10" ht="28.8" x14ac:dyDescent="0.3">
      <c r="A306" s="27" t="s">
        <v>103</v>
      </c>
      <c r="B306" s="34"/>
      <c r="E306" s="36" t="s">
        <v>1967</v>
      </c>
      <c r="J306" s="35"/>
    </row>
    <row r="307" spans="1:10" ht="28.8" x14ac:dyDescent="0.3">
      <c r="A307" s="27" t="s">
        <v>103</v>
      </c>
      <c r="B307" s="34"/>
      <c r="E307" s="36" t="s">
        <v>1968</v>
      </c>
      <c r="J307" s="35"/>
    </row>
    <row r="308" spans="1:10" ht="28.8" x14ac:dyDescent="0.3">
      <c r="A308" s="27" t="s">
        <v>103</v>
      </c>
      <c r="B308" s="34"/>
      <c r="E308" s="36" t="s">
        <v>1969</v>
      </c>
      <c r="J308" s="35"/>
    </row>
    <row r="309" spans="1:10" ht="28.8" x14ac:dyDescent="0.3">
      <c r="A309" s="27" t="s">
        <v>103</v>
      </c>
      <c r="B309" s="34"/>
      <c r="E309" s="36" t="s">
        <v>1970</v>
      </c>
      <c r="J309" s="35"/>
    </row>
    <row r="310" spans="1:10" ht="28.8" x14ac:dyDescent="0.3">
      <c r="A310" s="27" t="s">
        <v>103</v>
      </c>
      <c r="B310" s="34"/>
      <c r="E310" s="36" t="s">
        <v>1971</v>
      </c>
      <c r="J310" s="35"/>
    </row>
    <row r="311" spans="1:10" ht="28.8" x14ac:dyDescent="0.3">
      <c r="A311" s="27" t="s">
        <v>103</v>
      </c>
      <c r="B311" s="34"/>
      <c r="E311" s="36" t="s">
        <v>1972</v>
      </c>
      <c r="J311" s="35"/>
    </row>
    <row r="312" spans="1:10" ht="28.8" x14ac:dyDescent="0.3">
      <c r="A312" s="27" t="s">
        <v>103</v>
      </c>
      <c r="B312" s="34"/>
      <c r="E312" s="36" t="s">
        <v>1973</v>
      </c>
      <c r="J312" s="35"/>
    </row>
    <row r="313" spans="1:10" ht="28.8" x14ac:dyDescent="0.3">
      <c r="A313" s="27" t="s">
        <v>103</v>
      </c>
      <c r="B313" s="34"/>
      <c r="E313" s="36" t="s">
        <v>1974</v>
      </c>
      <c r="J313" s="35"/>
    </row>
    <row r="314" spans="1:10" ht="28.8" x14ac:dyDescent="0.3">
      <c r="A314" s="27" t="s">
        <v>103</v>
      </c>
      <c r="B314" s="34"/>
      <c r="E314" s="36" t="s">
        <v>1975</v>
      </c>
      <c r="J314" s="35"/>
    </row>
    <row r="315" spans="1:10" ht="28.8" x14ac:dyDescent="0.3">
      <c r="A315" s="27" t="s">
        <v>103</v>
      </c>
      <c r="B315" s="34"/>
      <c r="E315" s="36" t="s">
        <v>1976</v>
      </c>
      <c r="J315" s="35"/>
    </row>
    <row r="316" spans="1:10" ht="28.8" x14ac:dyDescent="0.3">
      <c r="A316" s="27" t="s">
        <v>103</v>
      </c>
      <c r="B316" s="34"/>
      <c r="E316" s="36" t="s">
        <v>1977</v>
      </c>
      <c r="J316" s="35"/>
    </row>
    <row r="317" spans="1:10" ht="28.8" x14ac:dyDescent="0.3">
      <c r="A317" s="27" t="s">
        <v>103</v>
      </c>
      <c r="B317" s="34"/>
      <c r="E317" s="36" t="s">
        <v>1978</v>
      </c>
      <c r="J317" s="35"/>
    </row>
    <row r="318" spans="1:10" ht="28.8" x14ac:dyDescent="0.3">
      <c r="A318" s="27" t="s">
        <v>103</v>
      </c>
      <c r="B318" s="34"/>
      <c r="E318" s="36" t="s">
        <v>1979</v>
      </c>
      <c r="J318" s="35"/>
    </row>
    <row r="319" spans="1:10" ht="28.8" x14ac:dyDescent="0.3">
      <c r="A319" s="27" t="s">
        <v>103</v>
      </c>
      <c r="B319" s="34"/>
      <c r="E319" s="36" t="s">
        <v>1980</v>
      </c>
      <c r="J319" s="35"/>
    </row>
    <row r="320" spans="1:10" ht="28.8" x14ac:dyDescent="0.3">
      <c r="A320" s="27" t="s">
        <v>103</v>
      </c>
      <c r="B320" s="34"/>
      <c r="E320" s="36" t="s">
        <v>1981</v>
      </c>
      <c r="J320" s="35"/>
    </row>
    <row r="321" spans="1:10" ht="28.8" x14ac:dyDescent="0.3">
      <c r="A321" s="27" t="s">
        <v>103</v>
      </c>
      <c r="B321" s="34"/>
      <c r="E321" s="36" t="s">
        <v>1982</v>
      </c>
      <c r="J321" s="35"/>
    </row>
    <row r="322" spans="1:10" ht="28.8" x14ac:dyDescent="0.3">
      <c r="A322" s="27" t="s">
        <v>103</v>
      </c>
      <c r="B322" s="34"/>
      <c r="E322" s="36" t="s">
        <v>1983</v>
      </c>
      <c r="J322" s="35"/>
    </row>
    <row r="323" spans="1:10" ht="28.8" x14ac:dyDescent="0.3">
      <c r="A323" s="27" t="s">
        <v>103</v>
      </c>
      <c r="B323" s="34"/>
      <c r="E323" s="36" t="s">
        <v>1984</v>
      </c>
      <c r="J323" s="35"/>
    </row>
    <row r="324" spans="1:10" ht="28.8" x14ac:dyDescent="0.3">
      <c r="A324" s="27" t="s">
        <v>103</v>
      </c>
      <c r="B324" s="34"/>
      <c r="E324" s="36" t="s">
        <v>1985</v>
      </c>
      <c r="J324" s="35"/>
    </row>
    <row r="325" spans="1:10" ht="28.8" x14ac:dyDescent="0.3">
      <c r="A325" s="27" t="s">
        <v>103</v>
      </c>
      <c r="B325" s="34"/>
      <c r="E325" s="36" t="s">
        <v>1986</v>
      </c>
      <c r="J325" s="35"/>
    </row>
    <row r="326" spans="1:10" ht="28.8" x14ac:dyDescent="0.3">
      <c r="A326" s="27" t="s">
        <v>103</v>
      </c>
      <c r="B326" s="34"/>
      <c r="E326" s="36" t="s">
        <v>1987</v>
      </c>
      <c r="J326" s="35"/>
    </row>
    <row r="327" spans="1:10" ht="28.8" x14ac:dyDescent="0.3">
      <c r="A327" s="27" t="s">
        <v>103</v>
      </c>
      <c r="B327" s="34"/>
      <c r="E327" s="36" t="s">
        <v>1988</v>
      </c>
      <c r="J327" s="35"/>
    </row>
    <row r="328" spans="1:10" ht="28.8" x14ac:dyDescent="0.3">
      <c r="A328" s="27" t="s">
        <v>103</v>
      </c>
      <c r="B328" s="34"/>
      <c r="E328" s="36" t="s">
        <v>1989</v>
      </c>
      <c r="J328" s="35"/>
    </row>
    <row r="329" spans="1:10" ht="28.8" x14ac:dyDescent="0.3">
      <c r="A329" s="27" t="s">
        <v>103</v>
      </c>
      <c r="B329" s="34"/>
      <c r="E329" s="36" t="s">
        <v>1990</v>
      </c>
      <c r="J329" s="35"/>
    </row>
    <row r="330" spans="1:10" ht="28.8" x14ac:dyDescent="0.3">
      <c r="A330" s="27" t="s">
        <v>103</v>
      </c>
      <c r="B330" s="34"/>
      <c r="E330" s="36" t="s">
        <v>1991</v>
      </c>
      <c r="J330" s="35"/>
    </row>
    <row r="331" spans="1:10" ht="28.8" x14ac:dyDescent="0.3">
      <c r="A331" s="27" t="s">
        <v>103</v>
      </c>
      <c r="B331" s="34"/>
      <c r="E331" s="36" t="s">
        <v>1992</v>
      </c>
      <c r="J331" s="35"/>
    </row>
    <row r="332" spans="1:10" ht="28.8" x14ac:dyDescent="0.3">
      <c r="A332" s="27" t="s">
        <v>103</v>
      </c>
      <c r="B332" s="34"/>
      <c r="E332" s="36" t="s">
        <v>1993</v>
      </c>
      <c r="J332" s="35"/>
    </row>
    <row r="333" spans="1:10" ht="28.8" x14ac:dyDescent="0.3">
      <c r="A333" s="27" t="s">
        <v>103</v>
      </c>
      <c r="B333" s="34"/>
      <c r="E333" s="36" t="s">
        <v>1994</v>
      </c>
      <c r="J333" s="35"/>
    </row>
    <row r="334" spans="1:10" ht="28.8" x14ac:dyDescent="0.3">
      <c r="A334" s="27" t="s">
        <v>103</v>
      </c>
      <c r="B334" s="34"/>
      <c r="E334" s="36" t="s">
        <v>1995</v>
      </c>
      <c r="J334" s="35"/>
    </row>
    <row r="335" spans="1:10" ht="28.8" x14ac:dyDescent="0.3">
      <c r="A335" s="27" t="s">
        <v>103</v>
      </c>
      <c r="B335" s="34"/>
      <c r="E335" s="36" t="s">
        <v>1996</v>
      </c>
      <c r="J335" s="35"/>
    </row>
    <row r="336" spans="1:10" ht="28.8" x14ac:dyDescent="0.3">
      <c r="A336" s="27" t="s">
        <v>103</v>
      </c>
      <c r="B336" s="34"/>
      <c r="E336" s="36" t="s">
        <v>1997</v>
      </c>
      <c r="J336" s="35"/>
    </row>
    <row r="337" spans="1:16" ht="28.8" x14ac:dyDescent="0.3">
      <c r="A337" s="27" t="s">
        <v>103</v>
      </c>
      <c r="B337" s="34"/>
      <c r="E337" s="36" t="s">
        <v>1998</v>
      </c>
      <c r="J337" s="35"/>
    </row>
    <row r="338" spans="1:16" ht="28.8" x14ac:dyDescent="0.3">
      <c r="A338" s="27" t="s">
        <v>103</v>
      </c>
      <c r="B338" s="34"/>
      <c r="E338" s="36" t="s">
        <v>1999</v>
      </c>
      <c r="J338" s="35"/>
    </row>
    <row r="339" spans="1:16" ht="28.8" x14ac:dyDescent="0.3">
      <c r="A339" s="27" t="s">
        <v>103</v>
      </c>
      <c r="B339" s="34"/>
      <c r="E339" s="36" t="s">
        <v>2000</v>
      </c>
      <c r="J339" s="35"/>
    </row>
    <row r="340" spans="1:16" ht="28.8" x14ac:dyDescent="0.3">
      <c r="A340" s="27" t="s">
        <v>103</v>
      </c>
      <c r="B340" s="34"/>
      <c r="E340" s="36" t="s">
        <v>2001</v>
      </c>
      <c r="J340" s="35"/>
    </row>
    <row r="341" spans="1:16" ht="28.8" x14ac:dyDescent="0.3">
      <c r="A341" s="27" t="s">
        <v>103</v>
      </c>
      <c r="B341" s="34"/>
      <c r="E341" s="36" t="s">
        <v>2002</v>
      </c>
      <c r="J341" s="35"/>
    </row>
    <row r="342" spans="1:16" ht="28.8" x14ac:dyDescent="0.3">
      <c r="A342" s="27" t="s">
        <v>103</v>
      </c>
      <c r="B342" s="34"/>
      <c r="E342" s="36" t="s">
        <v>2003</v>
      </c>
      <c r="J342" s="35"/>
    </row>
    <row r="343" spans="1:16" ht="28.8" x14ac:dyDescent="0.3">
      <c r="A343" s="27" t="s">
        <v>103</v>
      </c>
      <c r="B343" s="34"/>
      <c r="E343" s="36" t="s">
        <v>2004</v>
      </c>
      <c r="J343" s="35"/>
    </row>
    <row r="344" spans="1:16" ht="28.8" x14ac:dyDescent="0.3">
      <c r="A344" s="27" t="s">
        <v>103</v>
      </c>
      <c r="B344" s="34"/>
      <c r="E344" s="36" t="s">
        <v>2005</v>
      </c>
      <c r="J344" s="35"/>
    </row>
    <row r="345" spans="1:16" ht="28.8" x14ac:dyDescent="0.3">
      <c r="A345" s="27" t="s">
        <v>103</v>
      </c>
      <c r="B345" s="34"/>
      <c r="E345" s="36" t="s">
        <v>2006</v>
      </c>
      <c r="J345" s="35"/>
    </row>
    <row r="346" spans="1:16" x14ac:dyDescent="0.3">
      <c r="A346" s="27" t="s">
        <v>103</v>
      </c>
      <c r="B346" s="34"/>
      <c r="E346" s="36" t="s">
        <v>2007</v>
      </c>
      <c r="J346" s="35"/>
    </row>
    <row r="347" spans="1:16" ht="115.2" x14ac:dyDescent="0.3">
      <c r="A347" s="27" t="s">
        <v>105</v>
      </c>
      <c r="B347" s="34"/>
      <c r="E347" s="29" t="s">
        <v>989</v>
      </c>
      <c r="J347" s="35"/>
    </row>
    <row r="348" spans="1:16" x14ac:dyDescent="0.3">
      <c r="A348" s="27" t="s">
        <v>95</v>
      </c>
      <c r="B348" s="27">
        <v>17</v>
      </c>
      <c r="C348" s="28" t="s">
        <v>916</v>
      </c>
      <c r="D348" s="27" t="s">
        <v>129</v>
      </c>
      <c r="E348" s="29" t="s">
        <v>917</v>
      </c>
      <c r="F348" s="30" t="s">
        <v>229</v>
      </c>
      <c r="G348" s="31">
        <v>9.4250000000000007</v>
      </c>
      <c r="H348" s="32">
        <v>0</v>
      </c>
      <c r="I348" s="32">
        <f>ROUND(9.425*H348,P4)</f>
        <v>0</v>
      </c>
      <c r="J348" s="30" t="s">
        <v>118</v>
      </c>
      <c r="O348" s="33">
        <f>I348*0.21</f>
        <v>0</v>
      </c>
      <c r="P348">
        <v>3</v>
      </c>
    </row>
    <row r="349" spans="1:16" ht="172.8" x14ac:dyDescent="0.3">
      <c r="A349" s="27" t="s">
        <v>101</v>
      </c>
      <c r="B349" s="34"/>
      <c r="E349" s="29" t="s">
        <v>918</v>
      </c>
      <c r="J349" s="35"/>
    </row>
    <row r="350" spans="1:16" ht="28.8" x14ac:dyDescent="0.3">
      <c r="A350" s="27" t="s">
        <v>103</v>
      </c>
      <c r="B350" s="34"/>
      <c r="E350" s="36" t="s">
        <v>2008</v>
      </c>
      <c r="J350" s="35"/>
    </row>
    <row r="351" spans="1:16" ht="28.8" x14ac:dyDescent="0.3">
      <c r="A351" s="27" t="s">
        <v>103</v>
      </c>
      <c r="B351" s="34"/>
      <c r="E351" s="36" t="s">
        <v>2009</v>
      </c>
      <c r="J351" s="35"/>
    </row>
    <row r="352" spans="1:16" ht="28.8" x14ac:dyDescent="0.3">
      <c r="A352" s="27" t="s">
        <v>103</v>
      </c>
      <c r="B352" s="34"/>
      <c r="E352" s="36" t="s">
        <v>2010</v>
      </c>
      <c r="J352" s="35"/>
    </row>
    <row r="353" spans="1:10" ht="28.8" x14ac:dyDescent="0.3">
      <c r="A353" s="27" t="s">
        <v>103</v>
      </c>
      <c r="B353" s="34"/>
      <c r="E353" s="36" t="s">
        <v>2011</v>
      </c>
      <c r="J353" s="35"/>
    </row>
    <row r="354" spans="1:10" ht="28.8" x14ac:dyDescent="0.3">
      <c r="A354" s="27" t="s">
        <v>103</v>
      </c>
      <c r="B354" s="34"/>
      <c r="E354" s="36" t="s">
        <v>2012</v>
      </c>
      <c r="J354" s="35"/>
    </row>
    <row r="355" spans="1:10" ht="28.8" x14ac:dyDescent="0.3">
      <c r="A355" s="27" t="s">
        <v>103</v>
      </c>
      <c r="B355" s="34"/>
      <c r="E355" s="36" t="s">
        <v>2013</v>
      </c>
      <c r="J355" s="35"/>
    </row>
    <row r="356" spans="1:10" ht="28.8" x14ac:dyDescent="0.3">
      <c r="A356" s="27" t="s">
        <v>103</v>
      </c>
      <c r="B356" s="34"/>
      <c r="E356" s="36" t="s">
        <v>2014</v>
      </c>
      <c r="J356" s="35"/>
    </row>
    <row r="357" spans="1:10" ht="28.8" x14ac:dyDescent="0.3">
      <c r="A357" s="27" t="s">
        <v>103</v>
      </c>
      <c r="B357" s="34"/>
      <c r="E357" s="36" t="s">
        <v>2015</v>
      </c>
      <c r="J357" s="35"/>
    </row>
    <row r="358" spans="1:10" ht="28.8" x14ac:dyDescent="0.3">
      <c r="A358" s="27" t="s">
        <v>103</v>
      </c>
      <c r="B358" s="34"/>
      <c r="E358" s="36" t="s">
        <v>2016</v>
      </c>
      <c r="J358" s="35"/>
    </row>
    <row r="359" spans="1:10" ht="28.8" x14ac:dyDescent="0.3">
      <c r="A359" s="27" t="s">
        <v>103</v>
      </c>
      <c r="B359" s="34"/>
      <c r="E359" s="36" t="s">
        <v>2017</v>
      </c>
      <c r="J359" s="35"/>
    </row>
    <row r="360" spans="1:10" ht="28.8" x14ac:dyDescent="0.3">
      <c r="A360" s="27" t="s">
        <v>103</v>
      </c>
      <c r="B360" s="34"/>
      <c r="E360" s="36" t="s">
        <v>2018</v>
      </c>
      <c r="J360" s="35"/>
    </row>
    <row r="361" spans="1:10" ht="28.8" x14ac:dyDescent="0.3">
      <c r="A361" s="27" t="s">
        <v>103</v>
      </c>
      <c r="B361" s="34"/>
      <c r="E361" s="36" t="s">
        <v>2019</v>
      </c>
      <c r="J361" s="35"/>
    </row>
    <row r="362" spans="1:10" ht="28.8" x14ac:dyDescent="0.3">
      <c r="A362" s="27" t="s">
        <v>103</v>
      </c>
      <c r="B362" s="34"/>
      <c r="E362" s="36" t="s">
        <v>2020</v>
      </c>
      <c r="J362" s="35"/>
    </row>
    <row r="363" spans="1:10" ht="28.8" x14ac:dyDescent="0.3">
      <c r="A363" s="27" t="s">
        <v>103</v>
      </c>
      <c r="B363" s="34"/>
      <c r="E363" s="36" t="s">
        <v>2021</v>
      </c>
      <c r="J363" s="35"/>
    </row>
    <row r="364" spans="1:10" ht="28.8" x14ac:dyDescent="0.3">
      <c r="A364" s="27" t="s">
        <v>103</v>
      </c>
      <c r="B364" s="34"/>
      <c r="E364" s="36" t="s">
        <v>2022</v>
      </c>
      <c r="J364" s="35"/>
    </row>
    <row r="365" spans="1:10" ht="28.8" x14ac:dyDescent="0.3">
      <c r="A365" s="27" t="s">
        <v>103</v>
      </c>
      <c r="B365" s="34"/>
      <c r="E365" s="36" t="s">
        <v>2023</v>
      </c>
      <c r="J365" s="35"/>
    </row>
    <row r="366" spans="1:10" ht="28.8" x14ac:dyDescent="0.3">
      <c r="A366" s="27" t="s">
        <v>103</v>
      </c>
      <c r="B366" s="34"/>
      <c r="E366" s="36" t="s">
        <v>2024</v>
      </c>
      <c r="J366" s="35"/>
    </row>
    <row r="367" spans="1:10" ht="28.8" x14ac:dyDescent="0.3">
      <c r="A367" s="27" t="s">
        <v>103</v>
      </c>
      <c r="B367" s="34"/>
      <c r="E367" s="36" t="s">
        <v>2025</v>
      </c>
      <c r="J367" s="35"/>
    </row>
    <row r="368" spans="1:10" ht="28.8" x14ac:dyDescent="0.3">
      <c r="A368" s="27" t="s">
        <v>103</v>
      </c>
      <c r="B368" s="34"/>
      <c r="E368" s="36" t="s">
        <v>2026</v>
      </c>
      <c r="J368" s="35"/>
    </row>
    <row r="369" spans="1:16" ht="28.8" x14ac:dyDescent="0.3">
      <c r="A369" s="27" t="s">
        <v>103</v>
      </c>
      <c r="B369" s="34"/>
      <c r="E369" s="36" t="s">
        <v>2027</v>
      </c>
      <c r="J369" s="35"/>
    </row>
    <row r="370" spans="1:16" ht="28.8" x14ac:dyDescent="0.3">
      <c r="A370" s="27" t="s">
        <v>103</v>
      </c>
      <c r="B370" s="34"/>
      <c r="E370" s="36" t="s">
        <v>2028</v>
      </c>
      <c r="J370" s="35"/>
    </row>
    <row r="371" spans="1:16" ht="28.8" x14ac:dyDescent="0.3">
      <c r="A371" s="27" t="s">
        <v>103</v>
      </c>
      <c r="B371" s="34"/>
      <c r="E371" s="36" t="s">
        <v>2029</v>
      </c>
      <c r="J371" s="35"/>
    </row>
    <row r="372" spans="1:16" ht="28.8" x14ac:dyDescent="0.3">
      <c r="A372" s="27" t="s">
        <v>103</v>
      </c>
      <c r="B372" s="34"/>
      <c r="E372" s="36" t="s">
        <v>2030</v>
      </c>
      <c r="J372" s="35"/>
    </row>
    <row r="373" spans="1:16" ht="28.8" x14ac:dyDescent="0.3">
      <c r="A373" s="27" t="s">
        <v>103</v>
      </c>
      <c r="B373" s="34"/>
      <c r="E373" s="36" t="s">
        <v>2031</v>
      </c>
      <c r="J373" s="35"/>
    </row>
    <row r="374" spans="1:16" ht="28.8" x14ac:dyDescent="0.3">
      <c r="A374" s="27" t="s">
        <v>103</v>
      </c>
      <c r="B374" s="34"/>
      <c r="E374" s="36" t="s">
        <v>2032</v>
      </c>
      <c r="J374" s="35"/>
    </row>
    <row r="375" spans="1:16" ht="28.8" x14ac:dyDescent="0.3">
      <c r="A375" s="27" t="s">
        <v>103</v>
      </c>
      <c r="B375" s="34"/>
      <c r="E375" s="36" t="s">
        <v>2033</v>
      </c>
      <c r="J375" s="35"/>
    </row>
    <row r="376" spans="1:16" ht="28.8" x14ac:dyDescent="0.3">
      <c r="A376" s="27" t="s">
        <v>103</v>
      </c>
      <c r="B376" s="34"/>
      <c r="E376" s="36" t="s">
        <v>2034</v>
      </c>
      <c r="J376" s="35"/>
    </row>
    <row r="377" spans="1:16" x14ac:dyDescent="0.3">
      <c r="A377" s="27" t="s">
        <v>103</v>
      </c>
      <c r="B377" s="34"/>
      <c r="E377" s="36" t="s">
        <v>2035</v>
      </c>
      <c r="J377" s="35"/>
    </row>
    <row r="378" spans="1:16" ht="115.2" x14ac:dyDescent="0.3">
      <c r="A378" s="27" t="s">
        <v>105</v>
      </c>
      <c r="B378" s="34"/>
      <c r="E378" s="29" t="s">
        <v>989</v>
      </c>
      <c r="J378" s="35"/>
    </row>
    <row r="379" spans="1:16" x14ac:dyDescent="0.3">
      <c r="A379" s="27" t="s">
        <v>95</v>
      </c>
      <c r="B379" s="27">
        <v>18</v>
      </c>
      <c r="C379" s="28" t="s">
        <v>990</v>
      </c>
      <c r="D379" s="27" t="s">
        <v>129</v>
      </c>
      <c r="E379" s="29" t="s">
        <v>991</v>
      </c>
      <c r="F379" s="30" t="s">
        <v>248</v>
      </c>
      <c r="G379" s="31">
        <v>670.71600000000001</v>
      </c>
      <c r="H379" s="32">
        <v>0</v>
      </c>
      <c r="I379" s="32">
        <f>ROUND(670.716*H379,P4)</f>
        <v>0</v>
      </c>
      <c r="J379" s="30" t="s">
        <v>118</v>
      </c>
      <c r="O379" s="33">
        <f>I379*0.21</f>
        <v>0</v>
      </c>
      <c r="P379">
        <v>3</v>
      </c>
    </row>
    <row r="380" spans="1:16" ht="158.4" x14ac:dyDescent="0.3">
      <c r="A380" s="27" t="s">
        <v>101</v>
      </c>
      <c r="B380" s="34"/>
      <c r="E380" s="29" t="s">
        <v>992</v>
      </c>
      <c r="J380" s="35"/>
    </row>
    <row r="381" spans="1:16" ht="28.8" x14ac:dyDescent="0.3">
      <c r="A381" s="27" t="s">
        <v>103</v>
      </c>
      <c r="B381" s="34"/>
      <c r="E381" s="36" t="s">
        <v>2036</v>
      </c>
      <c r="J381" s="35"/>
    </row>
    <row r="382" spans="1:16" ht="28.8" x14ac:dyDescent="0.3">
      <c r="A382" s="27" t="s">
        <v>103</v>
      </c>
      <c r="B382" s="34"/>
      <c r="E382" s="36" t="s">
        <v>2037</v>
      </c>
      <c r="J382" s="35"/>
    </row>
    <row r="383" spans="1:16" ht="28.8" x14ac:dyDescent="0.3">
      <c r="A383" s="27" t="s">
        <v>103</v>
      </c>
      <c r="B383" s="34"/>
      <c r="E383" s="36" t="s">
        <v>2038</v>
      </c>
      <c r="J383" s="35"/>
    </row>
    <row r="384" spans="1:16" ht="28.8" x14ac:dyDescent="0.3">
      <c r="A384" s="27" t="s">
        <v>103</v>
      </c>
      <c r="B384" s="34"/>
      <c r="E384" s="36" t="s">
        <v>2039</v>
      </c>
      <c r="J384" s="35"/>
    </row>
    <row r="385" spans="1:16" ht="28.8" x14ac:dyDescent="0.3">
      <c r="A385" s="27" t="s">
        <v>103</v>
      </c>
      <c r="B385" s="34"/>
      <c r="E385" s="36" t="s">
        <v>2040</v>
      </c>
      <c r="J385" s="35"/>
    </row>
    <row r="386" spans="1:16" x14ac:dyDescent="0.3">
      <c r="A386" s="27" t="s">
        <v>103</v>
      </c>
      <c r="B386" s="34"/>
      <c r="E386" s="36" t="s">
        <v>2041</v>
      </c>
      <c r="J386" s="35"/>
    </row>
    <row r="387" spans="1:16" ht="72" x14ac:dyDescent="0.3">
      <c r="A387" s="27" t="s">
        <v>105</v>
      </c>
      <c r="B387" s="34"/>
      <c r="E387" s="29" t="s">
        <v>997</v>
      </c>
      <c r="J387" s="35"/>
    </row>
    <row r="388" spans="1:16" x14ac:dyDescent="0.3">
      <c r="A388" s="27" t="s">
        <v>95</v>
      </c>
      <c r="B388" s="27">
        <v>19</v>
      </c>
      <c r="C388" s="28" t="s">
        <v>1012</v>
      </c>
      <c r="D388" s="27" t="s">
        <v>129</v>
      </c>
      <c r="E388" s="29" t="s">
        <v>1013</v>
      </c>
      <c r="F388" s="30" t="s">
        <v>229</v>
      </c>
      <c r="G388" s="31">
        <v>32.838999999999999</v>
      </c>
      <c r="H388" s="32">
        <v>0</v>
      </c>
      <c r="I388" s="32">
        <f>ROUND(32.839*H388,P4)</f>
        <v>0</v>
      </c>
      <c r="J388" s="30" t="s">
        <v>100</v>
      </c>
      <c r="O388" s="33">
        <f>I388*0.21</f>
        <v>0</v>
      </c>
      <c r="P388">
        <v>3</v>
      </c>
    </row>
    <row r="389" spans="1:16" ht="158.4" x14ac:dyDescent="0.3">
      <c r="A389" s="27" t="s">
        <v>101</v>
      </c>
      <c r="B389" s="34"/>
      <c r="E389" s="29" t="s">
        <v>2042</v>
      </c>
      <c r="J389" s="35"/>
    </row>
    <row r="390" spans="1:16" ht="28.8" x14ac:dyDescent="0.3">
      <c r="A390" s="27" t="s">
        <v>103</v>
      </c>
      <c r="B390" s="34"/>
      <c r="E390" s="36" t="s">
        <v>2043</v>
      </c>
      <c r="J390" s="35"/>
    </row>
    <row r="391" spans="1:16" ht="28.8" x14ac:dyDescent="0.3">
      <c r="A391" s="27" t="s">
        <v>103</v>
      </c>
      <c r="B391" s="34"/>
      <c r="E391" s="36" t="s">
        <v>2044</v>
      </c>
      <c r="J391" s="35"/>
    </row>
    <row r="392" spans="1:16" ht="28.8" x14ac:dyDescent="0.3">
      <c r="A392" s="27" t="s">
        <v>103</v>
      </c>
      <c r="B392" s="34"/>
      <c r="E392" s="36" t="s">
        <v>2045</v>
      </c>
      <c r="J392" s="35"/>
    </row>
    <row r="393" spans="1:16" ht="28.8" x14ac:dyDescent="0.3">
      <c r="A393" s="27" t="s">
        <v>103</v>
      </c>
      <c r="B393" s="34"/>
      <c r="E393" s="36" t="s">
        <v>2046</v>
      </c>
      <c r="J393" s="35"/>
    </row>
    <row r="394" spans="1:16" ht="28.8" x14ac:dyDescent="0.3">
      <c r="A394" s="27" t="s">
        <v>103</v>
      </c>
      <c r="B394" s="34"/>
      <c r="E394" s="36" t="s">
        <v>2047</v>
      </c>
      <c r="J394" s="35"/>
    </row>
    <row r="395" spans="1:16" ht="28.8" x14ac:dyDescent="0.3">
      <c r="A395" s="27" t="s">
        <v>103</v>
      </c>
      <c r="B395" s="34"/>
      <c r="E395" s="36" t="s">
        <v>2048</v>
      </c>
      <c r="J395" s="35"/>
    </row>
    <row r="396" spans="1:16" ht="28.8" x14ac:dyDescent="0.3">
      <c r="A396" s="27" t="s">
        <v>103</v>
      </c>
      <c r="B396" s="34"/>
      <c r="E396" s="36" t="s">
        <v>2049</v>
      </c>
      <c r="J396" s="35"/>
    </row>
    <row r="397" spans="1:16" ht="28.8" x14ac:dyDescent="0.3">
      <c r="A397" s="27" t="s">
        <v>103</v>
      </c>
      <c r="B397" s="34"/>
      <c r="E397" s="36" t="s">
        <v>2050</v>
      </c>
      <c r="J397" s="35"/>
    </row>
    <row r="398" spans="1:16" ht="28.8" x14ac:dyDescent="0.3">
      <c r="A398" s="27" t="s">
        <v>103</v>
      </c>
      <c r="B398" s="34"/>
      <c r="E398" s="36" t="s">
        <v>2051</v>
      </c>
      <c r="J398" s="35"/>
    </row>
    <row r="399" spans="1:16" ht="28.8" x14ac:dyDescent="0.3">
      <c r="A399" s="27" t="s">
        <v>103</v>
      </c>
      <c r="B399" s="34"/>
      <c r="E399" s="36" t="s">
        <v>2052</v>
      </c>
      <c r="J399" s="35"/>
    </row>
    <row r="400" spans="1:16" ht="28.8" x14ac:dyDescent="0.3">
      <c r="A400" s="27" t="s">
        <v>103</v>
      </c>
      <c r="B400" s="34"/>
      <c r="E400" s="36" t="s">
        <v>2053</v>
      </c>
      <c r="J400" s="35"/>
    </row>
    <row r="401" spans="1:10" ht="28.8" x14ac:dyDescent="0.3">
      <c r="A401" s="27" t="s">
        <v>103</v>
      </c>
      <c r="B401" s="34"/>
      <c r="E401" s="36" t="s">
        <v>2054</v>
      </c>
      <c r="J401" s="35"/>
    </row>
    <row r="402" spans="1:10" ht="28.8" x14ac:dyDescent="0.3">
      <c r="A402" s="27" t="s">
        <v>103</v>
      </c>
      <c r="B402" s="34"/>
      <c r="E402" s="36" t="s">
        <v>2055</v>
      </c>
      <c r="J402" s="35"/>
    </row>
    <row r="403" spans="1:10" ht="28.8" x14ac:dyDescent="0.3">
      <c r="A403" s="27" t="s">
        <v>103</v>
      </c>
      <c r="B403" s="34"/>
      <c r="E403" s="36" t="s">
        <v>2056</v>
      </c>
      <c r="J403" s="35"/>
    </row>
    <row r="404" spans="1:10" ht="28.8" x14ac:dyDescent="0.3">
      <c r="A404" s="27" t="s">
        <v>103</v>
      </c>
      <c r="B404" s="34"/>
      <c r="E404" s="36" t="s">
        <v>2057</v>
      </c>
      <c r="J404" s="35"/>
    </row>
    <row r="405" spans="1:10" ht="28.8" x14ac:dyDescent="0.3">
      <c r="A405" s="27" t="s">
        <v>103</v>
      </c>
      <c r="B405" s="34"/>
      <c r="E405" s="36" t="s">
        <v>2058</v>
      </c>
      <c r="J405" s="35"/>
    </row>
    <row r="406" spans="1:10" ht="28.8" x14ac:dyDescent="0.3">
      <c r="A406" s="27" t="s">
        <v>103</v>
      </c>
      <c r="B406" s="34"/>
      <c r="E406" s="36" t="s">
        <v>2059</v>
      </c>
      <c r="J406" s="35"/>
    </row>
    <row r="407" spans="1:10" ht="28.8" x14ac:dyDescent="0.3">
      <c r="A407" s="27" t="s">
        <v>103</v>
      </c>
      <c r="B407" s="34"/>
      <c r="E407" s="36" t="s">
        <v>2060</v>
      </c>
      <c r="J407" s="35"/>
    </row>
    <row r="408" spans="1:10" ht="28.8" x14ac:dyDescent="0.3">
      <c r="A408" s="27" t="s">
        <v>103</v>
      </c>
      <c r="B408" s="34"/>
      <c r="E408" s="36" t="s">
        <v>2061</v>
      </c>
      <c r="J408" s="35"/>
    </row>
    <row r="409" spans="1:10" ht="28.8" x14ac:dyDescent="0.3">
      <c r="A409" s="27" t="s">
        <v>103</v>
      </c>
      <c r="B409" s="34"/>
      <c r="E409" s="36" t="s">
        <v>2062</v>
      </c>
      <c r="J409" s="35"/>
    </row>
    <row r="410" spans="1:10" ht="28.8" x14ac:dyDescent="0.3">
      <c r="A410" s="27" t="s">
        <v>103</v>
      </c>
      <c r="B410" s="34"/>
      <c r="E410" s="36" t="s">
        <v>2063</v>
      </c>
      <c r="J410" s="35"/>
    </row>
    <row r="411" spans="1:10" ht="28.8" x14ac:dyDescent="0.3">
      <c r="A411" s="27" t="s">
        <v>103</v>
      </c>
      <c r="B411" s="34"/>
      <c r="E411" s="36" t="s">
        <v>2064</v>
      </c>
      <c r="J411" s="35"/>
    </row>
    <row r="412" spans="1:10" ht="28.8" x14ac:dyDescent="0.3">
      <c r="A412" s="27" t="s">
        <v>103</v>
      </c>
      <c r="B412" s="34"/>
      <c r="E412" s="36" t="s">
        <v>2065</v>
      </c>
      <c r="J412" s="35"/>
    </row>
    <row r="413" spans="1:10" ht="28.8" x14ac:dyDescent="0.3">
      <c r="A413" s="27" t="s">
        <v>103</v>
      </c>
      <c r="B413" s="34"/>
      <c r="E413" s="36" t="s">
        <v>2066</v>
      </c>
      <c r="J413" s="35"/>
    </row>
    <row r="414" spans="1:10" ht="28.8" x14ac:dyDescent="0.3">
      <c r="A414" s="27" t="s">
        <v>103</v>
      </c>
      <c r="B414" s="34"/>
      <c r="E414" s="36" t="s">
        <v>2067</v>
      </c>
      <c r="J414" s="35"/>
    </row>
    <row r="415" spans="1:10" ht="28.8" x14ac:dyDescent="0.3">
      <c r="A415" s="27" t="s">
        <v>103</v>
      </c>
      <c r="B415" s="34"/>
      <c r="E415" s="36" t="s">
        <v>2068</v>
      </c>
      <c r="J415" s="35"/>
    </row>
    <row r="416" spans="1:10" ht="28.8" x14ac:dyDescent="0.3">
      <c r="A416" s="27" t="s">
        <v>103</v>
      </c>
      <c r="B416" s="34"/>
      <c r="E416" s="36" t="s">
        <v>2069</v>
      </c>
      <c r="J416" s="35"/>
    </row>
    <row r="417" spans="1:16" ht="28.8" x14ac:dyDescent="0.3">
      <c r="A417" s="27" t="s">
        <v>103</v>
      </c>
      <c r="B417" s="34"/>
      <c r="E417" s="36" t="s">
        <v>2070</v>
      </c>
      <c r="J417" s="35"/>
    </row>
    <row r="418" spans="1:16" x14ac:dyDescent="0.3">
      <c r="A418" s="27" t="s">
        <v>103</v>
      </c>
      <c r="B418" s="34"/>
      <c r="E418" s="36" t="s">
        <v>2071</v>
      </c>
      <c r="J418" s="35"/>
    </row>
    <row r="419" spans="1:16" ht="187.2" x14ac:dyDescent="0.3">
      <c r="A419" s="27" t="s">
        <v>105</v>
      </c>
      <c r="B419" s="34"/>
      <c r="E419" s="29" t="s">
        <v>1066</v>
      </c>
      <c r="J419" s="35"/>
    </row>
    <row r="420" spans="1:16" x14ac:dyDescent="0.3">
      <c r="A420" s="21" t="s">
        <v>92</v>
      </c>
      <c r="B420" s="22"/>
      <c r="C420" s="23" t="s">
        <v>252</v>
      </c>
      <c r="D420" s="24"/>
      <c r="E420" s="21" t="s">
        <v>253</v>
      </c>
      <c r="F420" s="24"/>
      <c r="G420" s="24"/>
      <c r="H420" s="24"/>
      <c r="I420" s="25">
        <f>SUMIFS(I421:I432,A421:A432,"P")</f>
        <v>0</v>
      </c>
      <c r="J420" s="26"/>
    </row>
    <row r="421" spans="1:16" x14ac:dyDescent="0.3">
      <c r="A421" s="27" t="s">
        <v>95</v>
      </c>
      <c r="B421" s="27">
        <v>20</v>
      </c>
      <c r="C421" s="28" t="s">
        <v>2072</v>
      </c>
      <c r="D421" s="27" t="s">
        <v>97</v>
      </c>
      <c r="E421" s="29" t="s">
        <v>2073</v>
      </c>
      <c r="F421" s="30" t="s">
        <v>248</v>
      </c>
      <c r="G421" s="31">
        <v>3</v>
      </c>
      <c r="H421" s="32">
        <v>0</v>
      </c>
      <c r="I421" s="32">
        <f>ROUND(3*H421,P4)</f>
        <v>0</v>
      </c>
      <c r="J421" s="30" t="s">
        <v>118</v>
      </c>
      <c r="O421" s="33">
        <f>I421*0.21</f>
        <v>0</v>
      </c>
      <c r="P421">
        <v>3</v>
      </c>
    </row>
    <row r="422" spans="1:16" ht="172.8" x14ac:dyDescent="0.3">
      <c r="A422" s="27" t="s">
        <v>101</v>
      </c>
      <c r="B422" s="34"/>
      <c r="E422" s="29" t="s">
        <v>2074</v>
      </c>
      <c r="J422" s="35"/>
    </row>
    <row r="423" spans="1:16" x14ac:dyDescent="0.3">
      <c r="A423" s="27" t="s">
        <v>103</v>
      </c>
      <c r="B423" s="34"/>
      <c r="E423" s="36" t="s">
        <v>2075</v>
      </c>
      <c r="J423" s="35"/>
    </row>
    <row r="424" spans="1:16" x14ac:dyDescent="0.3">
      <c r="A424" s="27" t="s">
        <v>103</v>
      </c>
      <c r="B424" s="34"/>
      <c r="E424" s="36" t="s">
        <v>2076</v>
      </c>
      <c r="J424" s="35"/>
    </row>
    <row r="425" spans="1:16" x14ac:dyDescent="0.3">
      <c r="A425" s="27" t="s">
        <v>103</v>
      </c>
      <c r="B425" s="34"/>
      <c r="E425" s="36" t="s">
        <v>2077</v>
      </c>
      <c r="J425" s="35"/>
    </row>
    <row r="426" spans="1:16" x14ac:dyDescent="0.3">
      <c r="A426" s="27" t="s">
        <v>103</v>
      </c>
      <c r="B426" s="34"/>
      <c r="E426" s="36" t="s">
        <v>1187</v>
      </c>
      <c r="J426" s="35"/>
    </row>
    <row r="427" spans="1:16" ht="115.2" x14ac:dyDescent="0.3">
      <c r="A427" s="27" t="s">
        <v>105</v>
      </c>
      <c r="B427" s="34"/>
      <c r="E427" s="29" t="s">
        <v>2078</v>
      </c>
      <c r="J427" s="35"/>
    </row>
    <row r="428" spans="1:16" x14ac:dyDescent="0.3">
      <c r="A428" s="27" t="s">
        <v>95</v>
      </c>
      <c r="B428" s="27">
        <v>21</v>
      </c>
      <c r="C428" s="28" t="s">
        <v>2072</v>
      </c>
      <c r="D428" s="27" t="s">
        <v>107</v>
      </c>
      <c r="E428" s="29" t="s">
        <v>2073</v>
      </c>
      <c r="F428" s="30" t="s">
        <v>248</v>
      </c>
      <c r="G428" s="31">
        <v>4.952</v>
      </c>
      <c r="H428" s="32">
        <v>0</v>
      </c>
      <c r="I428" s="32">
        <f>ROUND(4.952*H428,P4)</f>
        <v>0</v>
      </c>
      <c r="J428" s="30" t="s">
        <v>118</v>
      </c>
      <c r="O428" s="33">
        <f>I428*0.21</f>
        <v>0</v>
      </c>
      <c r="P428">
        <v>3</v>
      </c>
    </row>
    <row r="429" spans="1:16" ht="409.6" x14ac:dyDescent="0.3">
      <c r="A429" s="27" t="s">
        <v>101</v>
      </c>
      <c r="B429" s="34"/>
      <c r="E429" s="29" t="s">
        <v>2079</v>
      </c>
      <c r="J429" s="35"/>
    </row>
    <row r="430" spans="1:16" ht="28.8" x14ac:dyDescent="0.3">
      <c r="A430" s="27" t="s">
        <v>103</v>
      </c>
      <c r="B430" s="34"/>
      <c r="E430" s="36" t="s">
        <v>2080</v>
      </c>
      <c r="J430" s="35"/>
    </row>
    <row r="431" spans="1:16" x14ac:dyDescent="0.3">
      <c r="A431" s="27" t="s">
        <v>103</v>
      </c>
      <c r="B431" s="34"/>
      <c r="E431" s="36" t="s">
        <v>2081</v>
      </c>
      <c r="J431" s="35"/>
    </row>
    <row r="432" spans="1:16" ht="115.2" x14ac:dyDescent="0.3">
      <c r="A432" s="27" t="s">
        <v>105</v>
      </c>
      <c r="B432" s="37"/>
      <c r="C432" s="38"/>
      <c r="D432" s="38"/>
      <c r="E432" s="29" t="s">
        <v>2078</v>
      </c>
      <c r="F432" s="38"/>
      <c r="G432" s="38"/>
      <c r="H432" s="38"/>
      <c r="I432" s="38"/>
      <c r="J432"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671"/>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31</v>
      </c>
      <c r="I3" s="16">
        <f>SUMIFS(I9:I671,A9:A671,"SD")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31</v>
      </c>
      <c r="D5" s="44"/>
      <c r="E5" s="14" t="s">
        <v>32</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SUMIFS(I10:I331,A10:A331,"P")</f>
        <v>0</v>
      </c>
      <c r="J9" s="26"/>
    </row>
    <row r="10" spans="1:16" x14ac:dyDescent="0.3">
      <c r="A10" s="27" t="s">
        <v>95</v>
      </c>
      <c r="B10" s="27">
        <v>1</v>
      </c>
      <c r="C10" s="28" t="s">
        <v>426</v>
      </c>
      <c r="D10" s="27" t="s">
        <v>129</v>
      </c>
      <c r="E10" s="29" t="s">
        <v>427</v>
      </c>
      <c r="F10" s="30" t="s">
        <v>229</v>
      </c>
      <c r="G10" s="31">
        <v>27.661999999999999</v>
      </c>
      <c r="H10" s="32">
        <v>0</v>
      </c>
      <c r="I10" s="32">
        <f>ROUND(27.662*H10,P4)</f>
        <v>0</v>
      </c>
      <c r="J10" s="30" t="s">
        <v>118</v>
      </c>
      <c r="O10" s="33">
        <f>I10*0.21</f>
        <v>0</v>
      </c>
      <c r="P10">
        <v>3</v>
      </c>
    </row>
    <row r="11" spans="1:16" ht="172.8" x14ac:dyDescent="0.3">
      <c r="A11" s="27" t="s">
        <v>101</v>
      </c>
      <c r="B11" s="34"/>
      <c r="E11" s="29" t="s">
        <v>2082</v>
      </c>
      <c r="J11" s="35"/>
    </row>
    <row r="12" spans="1:16" ht="28.8" x14ac:dyDescent="0.3">
      <c r="A12" s="27" t="s">
        <v>103</v>
      </c>
      <c r="B12" s="34"/>
      <c r="E12" s="36" t="s">
        <v>2083</v>
      </c>
      <c r="J12" s="35"/>
    </row>
    <row r="13" spans="1:16" ht="28.8" x14ac:dyDescent="0.3">
      <c r="A13" s="27" t="s">
        <v>103</v>
      </c>
      <c r="B13" s="34"/>
      <c r="E13" s="36" t="s">
        <v>2084</v>
      </c>
      <c r="J13" s="35"/>
    </row>
    <row r="14" spans="1:16" ht="28.8" x14ac:dyDescent="0.3">
      <c r="A14" s="27" t="s">
        <v>103</v>
      </c>
      <c r="B14" s="34"/>
      <c r="E14" s="36" t="s">
        <v>2085</v>
      </c>
      <c r="J14" s="35"/>
    </row>
    <row r="15" spans="1:16" ht="28.8" x14ac:dyDescent="0.3">
      <c r="A15" s="27" t="s">
        <v>103</v>
      </c>
      <c r="B15" s="34"/>
      <c r="E15" s="36" t="s">
        <v>2086</v>
      </c>
      <c r="J15" s="35"/>
    </row>
    <row r="16" spans="1:16" ht="28.8" x14ac:dyDescent="0.3">
      <c r="A16" s="27" t="s">
        <v>103</v>
      </c>
      <c r="B16" s="34"/>
      <c r="E16" s="36" t="s">
        <v>2087</v>
      </c>
      <c r="J16" s="35"/>
    </row>
    <row r="17" spans="1:10" ht="28.8" x14ac:dyDescent="0.3">
      <c r="A17" s="27" t="s">
        <v>103</v>
      </c>
      <c r="B17" s="34"/>
      <c r="E17" s="36" t="s">
        <v>2088</v>
      </c>
      <c r="J17" s="35"/>
    </row>
    <row r="18" spans="1:10" ht="28.8" x14ac:dyDescent="0.3">
      <c r="A18" s="27" t="s">
        <v>103</v>
      </c>
      <c r="B18" s="34"/>
      <c r="E18" s="36" t="s">
        <v>2089</v>
      </c>
      <c r="J18" s="35"/>
    </row>
    <row r="19" spans="1:10" ht="28.8" x14ac:dyDescent="0.3">
      <c r="A19" s="27" t="s">
        <v>103</v>
      </c>
      <c r="B19" s="34"/>
      <c r="E19" s="36" t="s">
        <v>2090</v>
      </c>
      <c r="J19" s="35"/>
    </row>
    <row r="20" spans="1:10" ht="28.8" x14ac:dyDescent="0.3">
      <c r="A20" s="27" t="s">
        <v>103</v>
      </c>
      <c r="B20" s="34"/>
      <c r="E20" s="36" t="s">
        <v>2091</v>
      </c>
      <c r="J20" s="35"/>
    </row>
    <row r="21" spans="1:10" ht="28.8" x14ac:dyDescent="0.3">
      <c r="A21" s="27" t="s">
        <v>103</v>
      </c>
      <c r="B21" s="34"/>
      <c r="E21" s="36" t="s">
        <v>2092</v>
      </c>
      <c r="J21" s="35"/>
    </row>
    <row r="22" spans="1:10" ht="28.8" x14ac:dyDescent="0.3">
      <c r="A22" s="27" t="s">
        <v>103</v>
      </c>
      <c r="B22" s="34"/>
      <c r="E22" s="36" t="s">
        <v>2093</v>
      </c>
      <c r="J22" s="35"/>
    </row>
    <row r="23" spans="1:10" ht="28.8" x14ac:dyDescent="0.3">
      <c r="A23" s="27" t="s">
        <v>103</v>
      </c>
      <c r="B23" s="34"/>
      <c r="E23" s="36" t="s">
        <v>2094</v>
      </c>
      <c r="J23" s="35"/>
    </row>
    <row r="24" spans="1:10" ht="28.8" x14ac:dyDescent="0.3">
      <c r="A24" s="27" t="s">
        <v>103</v>
      </c>
      <c r="B24" s="34"/>
      <c r="E24" s="36" t="s">
        <v>2095</v>
      </c>
      <c r="J24" s="35"/>
    </row>
    <row r="25" spans="1:10" ht="28.8" x14ac:dyDescent="0.3">
      <c r="A25" s="27" t="s">
        <v>103</v>
      </c>
      <c r="B25" s="34"/>
      <c r="E25" s="36" t="s">
        <v>2096</v>
      </c>
      <c r="J25" s="35"/>
    </row>
    <row r="26" spans="1:10" ht="28.8" x14ac:dyDescent="0.3">
      <c r="A26" s="27" t="s">
        <v>103</v>
      </c>
      <c r="B26" s="34"/>
      <c r="E26" s="36" t="s">
        <v>2097</v>
      </c>
      <c r="J26" s="35"/>
    </row>
    <row r="27" spans="1:10" ht="28.8" x14ac:dyDescent="0.3">
      <c r="A27" s="27" t="s">
        <v>103</v>
      </c>
      <c r="B27" s="34"/>
      <c r="E27" s="36" t="s">
        <v>2098</v>
      </c>
      <c r="J27" s="35"/>
    </row>
    <row r="28" spans="1:10" ht="28.8" x14ac:dyDescent="0.3">
      <c r="A28" s="27" t="s">
        <v>103</v>
      </c>
      <c r="B28" s="34"/>
      <c r="E28" s="36" t="s">
        <v>2099</v>
      </c>
      <c r="J28" s="35"/>
    </row>
    <row r="29" spans="1:10" ht="28.8" x14ac:dyDescent="0.3">
      <c r="A29" s="27" t="s">
        <v>103</v>
      </c>
      <c r="B29" s="34"/>
      <c r="E29" s="36" t="s">
        <v>2100</v>
      </c>
      <c r="J29" s="35"/>
    </row>
    <row r="30" spans="1:10" ht="28.8" x14ac:dyDescent="0.3">
      <c r="A30" s="27" t="s">
        <v>103</v>
      </c>
      <c r="B30" s="34"/>
      <c r="E30" s="36" t="s">
        <v>2101</v>
      </c>
      <c r="J30" s="35"/>
    </row>
    <row r="31" spans="1:10" ht="28.8" x14ac:dyDescent="0.3">
      <c r="A31" s="27" t="s">
        <v>103</v>
      </c>
      <c r="B31" s="34"/>
      <c r="E31" s="36" t="s">
        <v>2102</v>
      </c>
      <c r="J31" s="35"/>
    </row>
    <row r="32" spans="1:10" ht="28.8" x14ac:dyDescent="0.3">
      <c r="A32" s="27" t="s">
        <v>103</v>
      </c>
      <c r="B32" s="34"/>
      <c r="E32" s="36" t="s">
        <v>2103</v>
      </c>
      <c r="J32" s="35"/>
    </row>
    <row r="33" spans="1:16" ht="28.8" x14ac:dyDescent="0.3">
      <c r="A33" s="27" t="s">
        <v>103</v>
      </c>
      <c r="B33" s="34"/>
      <c r="E33" s="36" t="s">
        <v>2104</v>
      </c>
      <c r="J33" s="35"/>
    </row>
    <row r="34" spans="1:16" ht="28.8" x14ac:dyDescent="0.3">
      <c r="A34" s="27" t="s">
        <v>103</v>
      </c>
      <c r="B34" s="34"/>
      <c r="E34" s="36" t="s">
        <v>2105</v>
      </c>
      <c r="J34" s="35"/>
    </row>
    <row r="35" spans="1:16" ht="28.8" x14ac:dyDescent="0.3">
      <c r="A35" s="27" t="s">
        <v>103</v>
      </c>
      <c r="B35" s="34"/>
      <c r="E35" s="36" t="s">
        <v>2106</v>
      </c>
      <c r="J35" s="35"/>
    </row>
    <row r="36" spans="1:16" ht="28.8" x14ac:dyDescent="0.3">
      <c r="A36" s="27" t="s">
        <v>103</v>
      </c>
      <c r="B36" s="34"/>
      <c r="E36" s="36" t="s">
        <v>2107</v>
      </c>
      <c r="J36" s="35"/>
    </row>
    <row r="37" spans="1:16" ht="28.8" x14ac:dyDescent="0.3">
      <c r="A37" s="27" t="s">
        <v>103</v>
      </c>
      <c r="B37" s="34"/>
      <c r="E37" s="36" t="s">
        <v>2108</v>
      </c>
      <c r="J37" s="35"/>
    </row>
    <row r="38" spans="1:16" ht="28.8" x14ac:dyDescent="0.3">
      <c r="A38" s="27" t="s">
        <v>103</v>
      </c>
      <c r="B38" s="34"/>
      <c r="E38" s="36" t="s">
        <v>2109</v>
      </c>
      <c r="J38" s="35"/>
    </row>
    <row r="39" spans="1:16" ht="28.8" x14ac:dyDescent="0.3">
      <c r="A39" s="27" t="s">
        <v>103</v>
      </c>
      <c r="B39" s="34"/>
      <c r="E39" s="36" t="s">
        <v>2110</v>
      </c>
      <c r="J39" s="35"/>
    </row>
    <row r="40" spans="1:16" ht="28.8" x14ac:dyDescent="0.3">
      <c r="A40" s="27" t="s">
        <v>103</v>
      </c>
      <c r="B40" s="34"/>
      <c r="E40" s="36" t="s">
        <v>2111</v>
      </c>
      <c r="J40" s="35"/>
    </row>
    <row r="41" spans="1:16" ht="28.8" x14ac:dyDescent="0.3">
      <c r="A41" s="27" t="s">
        <v>103</v>
      </c>
      <c r="B41" s="34"/>
      <c r="E41" s="36" t="s">
        <v>2112</v>
      </c>
      <c r="J41" s="35"/>
    </row>
    <row r="42" spans="1:16" ht="28.8" x14ac:dyDescent="0.3">
      <c r="A42" s="27" t="s">
        <v>103</v>
      </c>
      <c r="B42" s="34"/>
      <c r="E42" s="36" t="s">
        <v>2113</v>
      </c>
      <c r="J42" s="35"/>
    </row>
    <row r="43" spans="1:16" ht="28.8" x14ac:dyDescent="0.3">
      <c r="A43" s="27" t="s">
        <v>103</v>
      </c>
      <c r="B43" s="34"/>
      <c r="E43" s="36" t="s">
        <v>2114</v>
      </c>
      <c r="J43" s="35"/>
    </row>
    <row r="44" spans="1:16" ht="28.8" x14ac:dyDescent="0.3">
      <c r="A44" s="27" t="s">
        <v>103</v>
      </c>
      <c r="B44" s="34"/>
      <c r="E44" s="36" t="s">
        <v>2115</v>
      </c>
      <c r="J44" s="35"/>
    </row>
    <row r="45" spans="1:16" ht="28.8" x14ac:dyDescent="0.3">
      <c r="A45" s="27" t="s">
        <v>103</v>
      </c>
      <c r="B45" s="34"/>
      <c r="E45" s="36" t="s">
        <v>2116</v>
      </c>
      <c r="J45" s="35"/>
    </row>
    <row r="46" spans="1:16" x14ac:dyDescent="0.3">
      <c r="A46" s="27" t="s">
        <v>103</v>
      </c>
      <c r="B46" s="34"/>
      <c r="E46" s="36" t="s">
        <v>2117</v>
      </c>
      <c r="J46" s="35"/>
    </row>
    <row r="47" spans="1:16" ht="374.4" x14ac:dyDescent="0.3">
      <c r="A47" s="27" t="s">
        <v>105</v>
      </c>
      <c r="B47" s="34"/>
      <c r="E47" s="29" t="s">
        <v>434</v>
      </c>
      <c r="J47" s="35"/>
    </row>
    <row r="48" spans="1:16" x14ac:dyDescent="0.3">
      <c r="A48" s="27" t="s">
        <v>95</v>
      </c>
      <c r="B48" s="27">
        <v>2</v>
      </c>
      <c r="C48" s="28" t="s">
        <v>575</v>
      </c>
      <c r="D48" s="27" t="s">
        <v>129</v>
      </c>
      <c r="E48" s="29" t="s">
        <v>576</v>
      </c>
      <c r="F48" s="30" t="s">
        <v>229</v>
      </c>
      <c r="G48" s="31">
        <v>104.29300000000001</v>
      </c>
      <c r="H48" s="32">
        <v>0</v>
      </c>
      <c r="I48" s="32">
        <f>ROUND(104.293*H48,P4)</f>
        <v>0</v>
      </c>
      <c r="J48" s="30" t="s">
        <v>118</v>
      </c>
      <c r="O48" s="33">
        <f>I48*0.21</f>
        <v>0</v>
      </c>
      <c r="P48">
        <v>3</v>
      </c>
    </row>
    <row r="49" spans="1:10" ht="129.6" x14ac:dyDescent="0.3">
      <c r="A49" s="27" t="s">
        <v>101</v>
      </c>
      <c r="B49" s="34"/>
      <c r="E49" s="29" t="s">
        <v>577</v>
      </c>
      <c r="J49" s="35"/>
    </row>
    <row r="50" spans="1:10" ht="28.8" x14ac:dyDescent="0.3">
      <c r="A50" s="27" t="s">
        <v>103</v>
      </c>
      <c r="B50" s="34"/>
      <c r="E50" s="36" t="s">
        <v>2118</v>
      </c>
      <c r="J50" s="35"/>
    </row>
    <row r="51" spans="1:10" ht="28.8" x14ac:dyDescent="0.3">
      <c r="A51" s="27" t="s">
        <v>103</v>
      </c>
      <c r="B51" s="34"/>
      <c r="E51" s="36" t="s">
        <v>2119</v>
      </c>
      <c r="J51" s="35"/>
    </row>
    <row r="52" spans="1:10" ht="28.8" x14ac:dyDescent="0.3">
      <c r="A52" s="27" t="s">
        <v>103</v>
      </c>
      <c r="B52" s="34"/>
      <c r="E52" s="36" t="s">
        <v>2120</v>
      </c>
      <c r="J52" s="35"/>
    </row>
    <row r="53" spans="1:10" ht="28.8" x14ac:dyDescent="0.3">
      <c r="A53" s="27" t="s">
        <v>103</v>
      </c>
      <c r="B53" s="34"/>
      <c r="E53" s="36" t="s">
        <v>2121</v>
      </c>
      <c r="J53" s="35"/>
    </row>
    <row r="54" spans="1:10" ht="28.8" x14ac:dyDescent="0.3">
      <c r="A54" s="27" t="s">
        <v>103</v>
      </c>
      <c r="B54" s="34"/>
      <c r="E54" s="36" t="s">
        <v>2122</v>
      </c>
      <c r="J54" s="35"/>
    </row>
    <row r="55" spans="1:10" ht="28.8" x14ac:dyDescent="0.3">
      <c r="A55" s="27" t="s">
        <v>103</v>
      </c>
      <c r="B55" s="34"/>
      <c r="E55" s="36" t="s">
        <v>2123</v>
      </c>
      <c r="J55" s="35"/>
    </row>
    <row r="56" spans="1:10" ht="28.8" x14ac:dyDescent="0.3">
      <c r="A56" s="27" t="s">
        <v>103</v>
      </c>
      <c r="B56" s="34"/>
      <c r="E56" s="36" t="s">
        <v>2124</v>
      </c>
      <c r="J56" s="35"/>
    </row>
    <row r="57" spans="1:10" ht="28.8" x14ac:dyDescent="0.3">
      <c r="A57" s="27" t="s">
        <v>103</v>
      </c>
      <c r="B57" s="34"/>
      <c r="E57" s="36" t="s">
        <v>2125</v>
      </c>
      <c r="J57" s="35"/>
    </row>
    <row r="58" spans="1:10" ht="28.8" x14ac:dyDescent="0.3">
      <c r="A58" s="27" t="s">
        <v>103</v>
      </c>
      <c r="B58" s="34"/>
      <c r="E58" s="36" t="s">
        <v>2126</v>
      </c>
      <c r="J58" s="35"/>
    </row>
    <row r="59" spans="1:10" ht="28.8" x14ac:dyDescent="0.3">
      <c r="A59" s="27" t="s">
        <v>103</v>
      </c>
      <c r="B59" s="34"/>
      <c r="E59" s="36" t="s">
        <v>2127</v>
      </c>
      <c r="J59" s="35"/>
    </row>
    <row r="60" spans="1:10" ht="28.8" x14ac:dyDescent="0.3">
      <c r="A60" s="27" t="s">
        <v>103</v>
      </c>
      <c r="B60" s="34"/>
      <c r="E60" s="36" t="s">
        <v>2128</v>
      </c>
      <c r="J60" s="35"/>
    </row>
    <row r="61" spans="1:10" ht="28.8" x14ac:dyDescent="0.3">
      <c r="A61" s="27" t="s">
        <v>103</v>
      </c>
      <c r="B61" s="34"/>
      <c r="E61" s="36" t="s">
        <v>2129</v>
      </c>
      <c r="J61" s="35"/>
    </row>
    <row r="62" spans="1:10" ht="28.8" x14ac:dyDescent="0.3">
      <c r="A62" s="27" t="s">
        <v>103</v>
      </c>
      <c r="B62" s="34"/>
      <c r="E62" s="36" t="s">
        <v>2130</v>
      </c>
      <c r="J62" s="35"/>
    </row>
    <row r="63" spans="1:10" ht="28.8" x14ac:dyDescent="0.3">
      <c r="A63" s="27" t="s">
        <v>103</v>
      </c>
      <c r="B63" s="34"/>
      <c r="E63" s="36" t="s">
        <v>2131</v>
      </c>
      <c r="J63" s="35"/>
    </row>
    <row r="64" spans="1:10" ht="28.8" x14ac:dyDescent="0.3">
      <c r="A64" s="27" t="s">
        <v>103</v>
      </c>
      <c r="B64" s="34"/>
      <c r="E64" s="36" t="s">
        <v>2132</v>
      </c>
      <c r="J64" s="35"/>
    </row>
    <row r="65" spans="1:16" ht="28.8" x14ac:dyDescent="0.3">
      <c r="A65" s="27" t="s">
        <v>103</v>
      </c>
      <c r="B65" s="34"/>
      <c r="E65" s="36" t="s">
        <v>2133</v>
      </c>
      <c r="J65" s="35"/>
    </row>
    <row r="66" spans="1:16" ht="28.8" x14ac:dyDescent="0.3">
      <c r="A66" s="27" t="s">
        <v>103</v>
      </c>
      <c r="B66" s="34"/>
      <c r="E66" s="36" t="s">
        <v>2134</v>
      </c>
      <c r="J66" s="35"/>
    </row>
    <row r="67" spans="1:16" ht="28.8" x14ac:dyDescent="0.3">
      <c r="A67" s="27" t="s">
        <v>103</v>
      </c>
      <c r="B67" s="34"/>
      <c r="E67" s="36" t="s">
        <v>2135</v>
      </c>
      <c r="J67" s="35"/>
    </row>
    <row r="68" spans="1:16" ht="28.8" x14ac:dyDescent="0.3">
      <c r="A68" s="27" t="s">
        <v>103</v>
      </c>
      <c r="B68" s="34"/>
      <c r="E68" s="36" t="s">
        <v>2136</v>
      </c>
      <c r="J68" s="35"/>
    </row>
    <row r="69" spans="1:16" ht="28.8" x14ac:dyDescent="0.3">
      <c r="A69" s="27" t="s">
        <v>103</v>
      </c>
      <c r="B69" s="34"/>
      <c r="E69" s="36" t="s">
        <v>2137</v>
      </c>
      <c r="J69" s="35"/>
    </row>
    <row r="70" spans="1:16" ht="28.8" x14ac:dyDescent="0.3">
      <c r="A70" s="27" t="s">
        <v>103</v>
      </c>
      <c r="B70" s="34"/>
      <c r="E70" s="36" t="s">
        <v>2138</v>
      </c>
      <c r="J70" s="35"/>
    </row>
    <row r="71" spans="1:16" ht="28.8" x14ac:dyDescent="0.3">
      <c r="A71" s="27" t="s">
        <v>103</v>
      </c>
      <c r="B71" s="34"/>
      <c r="E71" s="36" t="s">
        <v>2139</v>
      </c>
      <c r="J71" s="35"/>
    </row>
    <row r="72" spans="1:16" ht="28.8" x14ac:dyDescent="0.3">
      <c r="A72" s="27" t="s">
        <v>103</v>
      </c>
      <c r="B72" s="34"/>
      <c r="E72" s="36" t="s">
        <v>2140</v>
      </c>
      <c r="J72" s="35"/>
    </row>
    <row r="73" spans="1:16" ht="28.8" x14ac:dyDescent="0.3">
      <c r="A73" s="27" t="s">
        <v>103</v>
      </c>
      <c r="B73" s="34"/>
      <c r="E73" s="36" t="s">
        <v>2141</v>
      </c>
      <c r="J73" s="35"/>
    </row>
    <row r="74" spans="1:16" ht="28.8" x14ac:dyDescent="0.3">
      <c r="A74" s="27" t="s">
        <v>103</v>
      </c>
      <c r="B74" s="34"/>
      <c r="E74" s="36" t="s">
        <v>2142</v>
      </c>
      <c r="J74" s="35"/>
    </row>
    <row r="75" spans="1:16" ht="28.8" x14ac:dyDescent="0.3">
      <c r="A75" s="27" t="s">
        <v>103</v>
      </c>
      <c r="B75" s="34"/>
      <c r="E75" s="36" t="s">
        <v>2143</v>
      </c>
      <c r="J75" s="35"/>
    </row>
    <row r="76" spans="1:16" ht="28.8" x14ac:dyDescent="0.3">
      <c r="A76" s="27" t="s">
        <v>103</v>
      </c>
      <c r="B76" s="34"/>
      <c r="E76" s="36" t="s">
        <v>2144</v>
      </c>
      <c r="J76" s="35"/>
    </row>
    <row r="77" spans="1:16" ht="28.8" x14ac:dyDescent="0.3">
      <c r="A77" s="27" t="s">
        <v>103</v>
      </c>
      <c r="B77" s="34"/>
      <c r="E77" s="36" t="s">
        <v>2145</v>
      </c>
      <c r="J77" s="35"/>
    </row>
    <row r="78" spans="1:16" x14ac:dyDescent="0.3">
      <c r="A78" s="27" t="s">
        <v>103</v>
      </c>
      <c r="B78" s="34"/>
      <c r="E78" s="36" t="s">
        <v>2146</v>
      </c>
      <c r="J78" s="35"/>
    </row>
    <row r="79" spans="1:16" ht="388.8" x14ac:dyDescent="0.3">
      <c r="A79" s="27" t="s">
        <v>105</v>
      </c>
      <c r="B79" s="34"/>
      <c r="E79" s="29" t="s">
        <v>590</v>
      </c>
      <c r="J79" s="35"/>
    </row>
    <row r="80" spans="1:16" x14ac:dyDescent="0.3">
      <c r="A80" s="27" t="s">
        <v>95</v>
      </c>
      <c r="B80" s="27">
        <v>3</v>
      </c>
      <c r="C80" s="28" t="s">
        <v>2147</v>
      </c>
      <c r="D80" s="27" t="s">
        <v>129</v>
      </c>
      <c r="E80" s="29" t="s">
        <v>2148</v>
      </c>
      <c r="F80" s="30" t="s">
        <v>229</v>
      </c>
      <c r="G80" s="31">
        <v>377.91399999999999</v>
      </c>
      <c r="H80" s="32">
        <v>0</v>
      </c>
      <c r="I80" s="32">
        <f>ROUND(377.914*H80,P4)</f>
        <v>0</v>
      </c>
      <c r="J80" s="30" t="s">
        <v>118</v>
      </c>
      <c r="O80" s="33">
        <f>I80*0.21</f>
        <v>0</v>
      </c>
      <c r="P80">
        <v>3</v>
      </c>
    </row>
    <row r="81" spans="1:10" ht="115.2" x14ac:dyDescent="0.3">
      <c r="A81" s="27" t="s">
        <v>101</v>
      </c>
      <c r="B81" s="34"/>
      <c r="E81" s="29" t="s">
        <v>2149</v>
      </c>
      <c r="J81" s="35"/>
    </row>
    <row r="82" spans="1:10" ht="28.8" x14ac:dyDescent="0.3">
      <c r="A82" s="27" t="s">
        <v>103</v>
      </c>
      <c r="B82" s="34"/>
      <c r="E82" s="36" t="s">
        <v>2150</v>
      </c>
      <c r="J82" s="35"/>
    </row>
    <row r="83" spans="1:10" ht="28.8" x14ac:dyDescent="0.3">
      <c r="A83" s="27" t="s">
        <v>103</v>
      </c>
      <c r="B83" s="34"/>
      <c r="E83" s="36" t="s">
        <v>2151</v>
      </c>
      <c r="J83" s="35"/>
    </row>
    <row r="84" spans="1:10" ht="28.8" x14ac:dyDescent="0.3">
      <c r="A84" s="27" t="s">
        <v>103</v>
      </c>
      <c r="B84" s="34"/>
      <c r="E84" s="36" t="s">
        <v>2152</v>
      </c>
      <c r="J84" s="35"/>
    </row>
    <row r="85" spans="1:10" ht="28.8" x14ac:dyDescent="0.3">
      <c r="A85" s="27" t="s">
        <v>103</v>
      </c>
      <c r="B85" s="34"/>
      <c r="E85" s="36" t="s">
        <v>2153</v>
      </c>
      <c r="J85" s="35"/>
    </row>
    <row r="86" spans="1:10" ht="28.8" x14ac:dyDescent="0.3">
      <c r="A86" s="27" t="s">
        <v>103</v>
      </c>
      <c r="B86" s="34"/>
      <c r="E86" s="36" t="s">
        <v>2154</v>
      </c>
      <c r="J86" s="35"/>
    </row>
    <row r="87" spans="1:10" ht="28.8" x14ac:dyDescent="0.3">
      <c r="A87" s="27" t="s">
        <v>103</v>
      </c>
      <c r="B87" s="34"/>
      <c r="E87" s="36" t="s">
        <v>2155</v>
      </c>
      <c r="J87" s="35"/>
    </row>
    <row r="88" spans="1:10" ht="28.8" x14ac:dyDescent="0.3">
      <c r="A88" s="27" t="s">
        <v>103</v>
      </c>
      <c r="B88" s="34"/>
      <c r="E88" s="36" t="s">
        <v>2156</v>
      </c>
      <c r="J88" s="35"/>
    </row>
    <row r="89" spans="1:10" ht="28.8" x14ac:dyDescent="0.3">
      <c r="A89" s="27" t="s">
        <v>103</v>
      </c>
      <c r="B89" s="34"/>
      <c r="E89" s="36" t="s">
        <v>2157</v>
      </c>
      <c r="J89" s="35"/>
    </row>
    <row r="90" spans="1:10" ht="28.8" x14ac:dyDescent="0.3">
      <c r="A90" s="27" t="s">
        <v>103</v>
      </c>
      <c r="B90" s="34"/>
      <c r="E90" s="36" t="s">
        <v>2158</v>
      </c>
      <c r="J90" s="35"/>
    </row>
    <row r="91" spans="1:10" ht="28.8" x14ac:dyDescent="0.3">
      <c r="A91" s="27" t="s">
        <v>103</v>
      </c>
      <c r="B91" s="34"/>
      <c r="E91" s="36" t="s">
        <v>2159</v>
      </c>
      <c r="J91" s="35"/>
    </row>
    <row r="92" spans="1:10" ht="28.8" x14ac:dyDescent="0.3">
      <c r="A92" s="27" t="s">
        <v>103</v>
      </c>
      <c r="B92" s="34"/>
      <c r="E92" s="36" t="s">
        <v>2160</v>
      </c>
      <c r="J92" s="35"/>
    </row>
    <row r="93" spans="1:10" ht="28.8" x14ac:dyDescent="0.3">
      <c r="A93" s="27" t="s">
        <v>103</v>
      </c>
      <c r="B93" s="34"/>
      <c r="E93" s="36" t="s">
        <v>2161</v>
      </c>
      <c r="J93" s="35"/>
    </row>
    <row r="94" spans="1:10" ht="28.8" x14ac:dyDescent="0.3">
      <c r="A94" s="27" t="s">
        <v>103</v>
      </c>
      <c r="B94" s="34"/>
      <c r="E94" s="36" t="s">
        <v>2162</v>
      </c>
      <c r="J94" s="35"/>
    </row>
    <row r="95" spans="1:10" ht="28.8" x14ac:dyDescent="0.3">
      <c r="A95" s="27" t="s">
        <v>103</v>
      </c>
      <c r="B95" s="34"/>
      <c r="E95" s="36" t="s">
        <v>2163</v>
      </c>
      <c r="J95" s="35"/>
    </row>
    <row r="96" spans="1:10" ht="28.8" x14ac:dyDescent="0.3">
      <c r="A96" s="27" t="s">
        <v>103</v>
      </c>
      <c r="B96" s="34"/>
      <c r="E96" s="36" t="s">
        <v>2164</v>
      </c>
      <c r="J96" s="35"/>
    </row>
    <row r="97" spans="1:10" ht="28.8" x14ac:dyDescent="0.3">
      <c r="A97" s="27" t="s">
        <v>103</v>
      </c>
      <c r="B97" s="34"/>
      <c r="E97" s="36" t="s">
        <v>2165</v>
      </c>
      <c r="J97" s="35"/>
    </row>
    <row r="98" spans="1:10" ht="28.8" x14ac:dyDescent="0.3">
      <c r="A98" s="27" t="s">
        <v>103</v>
      </c>
      <c r="B98" s="34"/>
      <c r="E98" s="36" t="s">
        <v>2166</v>
      </c>
      <c r="J98" s="35"/>
    </row>
    <row r="99" spans="1:10" ht="28.8" x14ac:dyDescent="0.3">
      <c r="A99" s="27" t="s">
        <v>103</v>
      </c>
      <c r="B99" s="34"/>
      <c r="E99" s="36" t="s">
        <v>2167</v>
      </c>
      <c r="J99" s="35"/>
    </row>
    <row r="100" spans="1:10" ht="28.8" x14ac:dyDescent="0.3">
      <c r="A100" s="27" t="s">
        <v>103</v>
      </c>
      <c r="B100" s="34"/>
      <c r="E100" s="36" t="s">
        <v>2168</v>
      </c>
      <c r="J100" s="35"/>
    </row>
    <row r="101" spans="1:10" ht="28.8" x14ac:dyDescent="0.3">
      <c r="A101" s="27" t="s">
        <v>103</v>
      </c>
      <c r="B101" s="34"/>
      <c r="E101" s="36" t="s">
        <v>2169</v>
      </c>
      <c r="J101" s="35"/>
    </row>
    <row r="102" spans="1:10" ht="28.8" x14ac:dyDescent="0.3">
      <c r="A102" s="27" t="s">
        <v>103</v>
      </c>
      <c r="B102" s="34"/>
      <c r="E102" s="36" t="s">
        <v>2170</v>
      </c>
      <c r="J102" s="35"/>
    </row>
    <row r="103" spans="1:10" ht="28.8" x14ac:dyDescent="0.3">
      <c r="A103" s="27" t="s">
        <v>103</v>
      </c>
      <c r="B103" s="34"/>
      <c r="E103" s="36" t="s">
        <v>2171</v>
      </c>
      <c r="J103" s="35"/>
    </row>
    <row r="104" spans="1:10" ht="28.8" x14ac:dyDescent="0.3">
      <c r="A104" s="27" t="s">
        <v>103</v>
      </c>
      <c r="B104" s="34"/>
      <c r="E104" s="36" t="s">
        <v>2172</v>
      </c>
      <c r="J104" s="35"/>
    </row>
    <row r="105" spans="1:10" ht="28.8" x14ac:dyDescent="0.3">
      <c r="A105" s="27" t="s">
        <v>103</v>
      </c>
      <c r="B105" s="34"/>
      <c r="E105" s="36" t="s">
        <v>2173</v>
      </c>
      <c r="J105" s="35"/>
    </row>
    <row r="106" spans="1:10" ht="28.8" x14ac:dyDescent="0.3">
      <c r="A106" s="27" t="s">
        <v>103</v>
      </c>
      <c r="B106" s="34"/>
      <c r="E106" s="36" t="s">
        <v>2174</v>
      </c>
      <c r="J106" s="35"/>
    </row>
    <row r="107" spans="1:10" ht="28.8" x14ac:dyDescent="0.3">
      <c r="A107" s="27" t="s">
        <v>103</v>
      </c>
      <c r="B107" s="34"/>
      <c r="E107" s="36" t="s">
        <v>2175</v>
      </c>
      <c r="J107" s="35"/>
    </row>
    <row r="108" spans="1:10" ht="28.8" x14ac:dyDescent="0.3">
      <c r="A108" s="27" t="s">
        <v>103</v>
      </c>
      <c r="B108" s="34"/>
      <c r="E108" s="36" t="s">
        <v>2176</v>
      </c>
      <c r="J108" s="35"/>
    </row>
    <row r="109" spans="1:10" ht="28.8" x14ac:dyDescent="0.3">
      <c r="A109" s="27" t="s">
        <v>103</v>
      </c>
      <c r="B109" s="34"/>
      <c r="E109" s="36" t="s">
        <v>2177</v>
      </c>
      <c r="J109" s="35"/>
    </row>
    <row r="110" spans="1:10" ht="28.8" x14ac:dyDescent="0.3">
      <c r="A110" s="27" t="s">
        <v>103</v>
      </c>
      <c r="B110" s="34"/>
      <c r="E110" s="36" t="s">
        <v>2178</v>
      </c>
      <c r="J110" s="35"/>
    </row>
    <row r="111" spans="1:10" x14ac:dyDescent="0.3">
      <c r="A111" s="27" t="s">
        <v>103</v>
      </c>
      <c r="B111" s="34"/>
      <c r="E111" s="36" t="s">
        <v>2179</v>
      </c>
      <c r="J111" s="35"/>
    </row>
    <row r="112" spans="1:10" ht="388.8" x14ac:dyDescent="0.3">
      <c r="A112" s="27" t="s">
        <v>105</v>
      </c>
      <c r="B112" s="34"/>
      <c r="E112" s="29" t="s">
        <v>590</v>
      </c>
      <c r="J112" s="35"/>
    </row>
    <row r="113" spans="1:16" x14ac:dyDescent="0.3">
      <c r="A113" s="27" t="s">
        <v>95</v>
      </c>
      <c r="B113" s="27">
        <v>4</v>
      </c>
      <c r="C113" s="28" t="s">
        <v>476</v>
      </c>
      <c r="D113" s="27" t="s">
        <v>129</v>
      </c>
      <c r="E113" s="29" t="s">
        <v>477</v>
      </c>
      <c r="F113" s="30" t="s">
        <v>229</v>
      </c>
      <c r="G113" s="31">
        <v>482.20699999999999</v>
      </c>
      <c r="H113" s="32">
        <v>0</v>
      </c>
      <c r="I113" s="32">
        <f>ROUND(482.207*H113,P4)</f>
        <v>0</v>
      </c>
      <c r="J113" s="30" t="s">
        <v>118</v>
      </c>
      <c r="O113" s="33">
        <f>I113*0.21</f>
        <v>0</v>
      </c>
      <c r="P113">
        <v>3</v>
      </c>
    </row>
    <row r="114" spans="1:16" ht="129.6" x14ac:dyDescent="0.3">
      <c r="A114" s="27" t="s">
        <v>101</v>
      </c>
      <c r="B114" s="34"/>
      <c r="E114" s="29" t="s">
        <v>577</v>
      </c>
      <c r="J114" s="35"/>
    </row>
    <row r="115" spans="1:16" ht="28.8" x14ac:dyDescent="0.3">
      <c r="A115" s="27" t="s">
        <v>103</v>
      </c>
      <c r="B115" s="34"/>
      <c r="E115" s="36" t="s">
        <v>2118</v>
      </c>
      <c r="J115" s="35"/>
    </row>
    <row r="116" spans="1:16" ht="28.8" x14ac:dyDescent="0.3">
      <c r="A116" s="27" t="s">
        <v>103</v>
      </c>
      <c r="B116" s="34"/>
      <c r="E116" s="36" t="s">
        <v>2180</v>
      </c>
      <c r="J116" s="35"/>
    </row>
    <row r="117" spans="1:16" ht="28.8" x14ac:dyDescent="0.3">
      <c r="A117" s="27" t="s">
        <v>103</v>
      </c>
      <c r="B117" s="34"/>
      <c r="E117" s="36" t="s">
        <v>2181</v>
      </c>
      <c r="J117" s="35"/>
    </row>
    <row r="118" spans="1:16" ht="28.8" x14ac:dyDescent="0.3">
      <c r="A118" s="27" t="s">
        <v>103</v>
      </c>
      <c r="B118" s="34"/>
      <c r="E118" s="36" t="s">
        <v>2182</v>
      </c>
      <c r="J118" s="35"/>
    </row>
    <row r="119" spans="1:16" ht="28.8" x14ac:dyDescent="0.3">
      <c r="A119" s="27" t="s">
        <v>103</v>
      </c>
      <c r="B119" s="34"/>
      <c r="E119" s="36" t="s">
        <v>2183</v>
      </c>
      <c r="J119" s="35"/>
    </row>
    <row r="120" spans="1:16" ht="28.8" x14ac:dyDescent="0.3">
      <c r="A120" s="27" t="s">
        <v>103</v>
      </c>
      <c r="B120" s="34"/>
      <c r="E120" s="36" t="s">
        <v>2184</v>
      </c>
      <c r="J120" s="35"/>
    </row>
    <row r="121" spans="1:16" ht="28.8" x14ac:dyDescent="0.3">
      <c r="A121" s="27" t="s">
        <v>103</v>
      </c>
      <c r="B121" s="34"/>
      <c r="E121" s="36" t="s">
        <v>2185</v>
      </c>
      <c r="J121" s="35"/>
    </row>
    <row r="122" spans="1:16" ht="28.8" x14ac:dyDescent="0.3">
      <c r="A122" s="27" t="s">
        <v>103</v>
      </c>
      <c r="B122" s="34"/>
      <c r="E122" s="36" t="s">
        <v>2186</v>
      </c>
      <c r="J122" s="35"/>
    </row>
    <row r="123" spans="1:16" ht="28.8" x14ac:dyDescent="0.3">
      <c r="A123" s="27" t="s">
        <v>103</v>
      </c>
      <c r="B123" s="34"/>
      <c r="E123" s="36" t="s">
        <v>2187</v>
      </c>
      <c r="J123" s="35"/>
    </row>
    <row r="124" spans="1:16" ht="28.8" x14ac:dyDescent="0.3">
      <c r="A124" s="27" t="s">
        <v>103</v>
      </c>
      <c r="B124" s="34"/>
      <c r="E124" s="36" t="s">
        <v>2188</v>
      </c>
      <c r="J124" s="35"/>
    </row>
    <row r="125" spans="1:16" ht="28.8" x14ac:dyDescent="0.3">
      <c r="A125" s="27" t="s">
        <v>103</v>
      </c>
      <c r="B125" s="34"/>
      <c r="E125" s="36" t="s">
        <v>2189</v>
      </c>
      <c r="J125" s="35"/>
    </row>
    <row r="126" spans="1:16" ht="28.8" x14ac:dyDescent="0.3">
      <c r="A126" s="27" t="s">
        <v>103</v>
      </c>
      <c r="B126" s="34"/>
      <c r="E126" s="36" t="s">
        <v>2190</v>
      </c>
      <c r="J126" s="35"/>
    </row>
    <row r="127" spans="1:16" ht="28.8" x14ac:dyDescent="0.3">
      <c r="A127" s="27" t="s">
        <v>103</v>
      </c>
      <c r="B127" s="34"/>
      <c r="E127" s="36" t="s">
        <v>2191</v>
      </c>
      <c r="J127" s="35"/>
    </row>
    <row r="128" spans="1:16" ht="28.8" x14ac:dyDescent="0.3">
      <c r="A128" s="27" t="s">
        <v>103</v>
      </c>
      <c r="B128" s="34"/>
      <c r="E128" s="36" t="s">
        <v>2192</v>
      </c>
      <c r="J128" s="35"/>
    </row>
    <row r="129" spans="1:10" ht="28.8" x14ac:dyDescent="0.3">
      <c r="A129" s="27" t="s">
        <v>103</v>
      </c>
      <c r="B129" s="34"/>
      <c r="E129" s="36" t="s">
        <v>2193</v>
      </c>
      <c r="J129" s="35"/>
    </row>
    <row r="130" spans="1:10" ht="28.8" x14ac:dyDescent="0.3">
      <c r="A130" s="27" t="s">
        <v>103</v>
      </c>
      <c r="B130" s="34"/>
      <c r="E130" s="36" t="s">
        <v>2194</v>
      </c>
      <c r="J130" s="35"/>
    </row>
    <row r="131" spans="1:10" ht="28.8" x14ac:dyDescent="0.3">
      <c r="A131" s="27" t="s">
        <v>103</v>
      </c>
      <c r="B131" s="34"/>
      <c r="E131" s="36" t="s">
        <v>2195</v>
      </c>
      <c r="J131" s="35"/>
    </row>
    <row r="132" spans="1:10" ht="28.8" x14ac:dyDescent="0.3">
      <c r="A132" s="27" t="s">
        <v>103</v>
      </c>
      <c r="B132" s="34"/>
      <c r="E132" s="36" t="s">
        <v>2196</v>
      </c>
      <c r="J132" s="35"/>
    </row>
    <row r="133" spans="1:10" ht="28.8" x14ac:dyDescent="0.3">
      <c r="A133" s="27" t="s">
        <v>103</v>
      </c>
      <c r="B133" s="34"/>
      <c r="E133" s="36" t="s">
        <v>2197</v>
      </c>
      <c r="J133" s="35"/>
    </row>
    <row r="134" spans="1:10" ht="28.8" x14ac:dyDescent="0.3">
      <c r="A134" s="27" t="s">
        <v>103</v>
      </c>
      <c r="B134" s="34"/>
      <c r="E134" s="36" t="s">
        <v>2198</v>
      </c>
      <c r="J134" s="35"/>
    </row>
    <row r="135" spans="1:10" ht="28.8" x14ac:dyDescent="0.3">
      <c r="A135" s="27" t="s">
        <v>103</v>
      </c>
      <c r="B135" s="34"/>
      <c r="E135" s="36" t="s">
        <v>2199</v>
      </c>
      <c r="J135" s="35"/>
    </row>
    <row r="136" spans="1:10" ht="28.8" x14ac:dyDescent="0.3">
      <c r="A136" s="27" t="s">
        <v>103</v>
      </c>
      <c r="B136" s="34"/>
      <c r="E136" s="36" t="s">
        <v>2200</v>
      </c>
      <c r="J136" s="35"/>
    </row>
    <row r="137" spans="1:10" ht="28.8" x14ac:dyDescent="0.3">
      <c r="A137" s="27" t="s">
        <v>103</v>
      </c>
      <c r="B137" s="34"/>
      <c r="E137" s="36" t="s">
        <v>2201</v>
      </c>
      <c r="J137" s="35"/>
    </row>
    <row r="138" spans="1:10" ht="28.8" x14ac:dyDescent="0.3">
      <c r="A138" s="27" t="s">
        <v>103</v>
      </c>
      <c r="B138" s="34"/>
      <c r="E138" s="36" t="s">
        <v>2202</v>
      </c>
      <c r="J138" s="35"/>
    </row>
    <row r="139" spans="1:10" ht="28.8" x14ac:dyDescent="0.3">
      <c r="A139" s="27" t="s">
        <v>103</v>
      </c>
      <c r="B139" s="34"/>
      <c r="E139" s="36" t="s">
        <v>2203</v>
      </c>
      <c r="J139" s="35"/>
    </row>
    <row r="140" spans="1:10" ht="28.8" x14ac:dyDescent="0.3">
      <c r="A140" s="27" t="s">
        <v>103</v>
      </c>
      <c r="B140" s="34"/>
      <c r="E140" s="36" t="s">
        <v>2204</v>
      </c>
      <c r="J140" s="35"/>
    </row>
    <row r="141" spans="1:10" ht="28.8" x14ac:dyDescent="0.3">
      <c r="A141" s="27" t="s">
        <v>103</v>
      </c>
      <c r="B141" s="34"/>
      <c r="E141" s="36" t="s">
        <v>2205</v>
      </c>
      <c r="J141" s="35"/>
    </row>
    <row r="142" spans="1:10" ht="28.8" x14ac:dyDescent="0.3">
      <c r="A142" s="27" t="s">
        <v>103</v>
      </c>
      <c r="B142" s="34"/>
      <c r="E142" s="36" t="s">
        <v>2206</v>
      </c>
      <c r="J142" s="35"/>
    </row>
    <row r="143" spans="1:10" ht="28.8" x14ac:dyDescent="0.3">
      <c r="A143" s="27" t="s">
        <v>103</v>
      </c>
      <c r="B143" s="34"/>
      <c r="E143" s="36" t="s">
        <v>2207</v>
      </c>
      <c r="J143" s="35"/>
    </row>
    <row r="144" spans="1:10" ht="28.8" x14ac:dyDescent="0.3">
      <c r="A144" s="27" t="s">
        <v>103</v>
      </c>
      <c r="B144" s="34"/>
      <c r="E144" s="36" t="s">
        <v>2208</v>
      </c>
      <c r="J144" s="35"/>
    </row>
    <row r="145" spans="1:10" ht="28.8" x14ac:dyDescent="0.3">
      <c r="A145" s="27" t="s">
        <v>103</v>
      </c>
      <c r="B145" s="34"/>
      <c r="E145" s="36" t="s">
        <v>2209</v>
      </c>
      <c r="J145" s="35"/>
    </row>
    <row r="146" spans="1:10" ht="28.8" x14ac:dyDescent="0.3">
      <c r="A146" s="27" t="s">
        <v>103</v>
      </c>
      <c r="B146" s="34"/>
      <c r="E146" s="36" t="s">
        <v>2210</v>
      </c>
      <c r="J146" s="35"/>
    </row>
    <row r="147" spans="1:10" ht="28.8" x14ac:dyDescent="0.3">
      <c r="A147" s="27" t="s">
        <v>103</v>
      </c>
      <c r="B147" s="34"/>
      <c r="E147" s="36" t="s">
        <v>2211</v>
      </c>
      <c r="J147" s="35"/>
    </row>
    <row r="148" spans="1:10" ht="28.8" x14ac:dyDescent="0.3">
      <c r="A148" s="27" t="s">
        <v>103</v>
      </c>
      <c r="B148" s="34"/>
      <c r="E148" s="36" t="s">
        <v>2212</v>
      </c>
      <c r="J148" s="35"/>
    </row>
    <row r="149" spans="1:10" ht="28.8" x14ac:dyDescent="0.3">
      <c r="A149" s="27" t="s">
        <v>103</v>
      </c>
      <c r="B149" s="34"/>
      <c r="E149" s="36" t="s">
        <v>2213</v>
      </c>
      <c r="J149" s="35"/>
    </row>
    <row r="150" spans="1:10" ht="28.8" x14ac:dyDescent="0.3">
      <c r="A150" s="27" t="s">
        <v>103</v>
      </c>
      <c r="B150" s="34"/>
      <c r="E150" s="36" t="s">
        <v>2214</v>
      </c>
      <c r="J150" s="35"/>
    </row>
    <row r="151" spans="1:10" ht="28.8" x14ac:dyDescent="0.3">
      <c r="A151" s="27" t="s">
        <v>103</v>
      </c>
      <c r="B151" s="34"/>
      <c r="E151" s="36" t="s">
        <v>2215</v>
      </c>
      <c r="J151" s="35"/>
    </row>
    <row r="152" spans="1:10" ht="28.8" x14ac:dyDescent="0.3">
      <c r="A152" s="27" t="s">
        <v>103</v>
      </c>
      <c r="B152" s="34"/>
      <c r="E152" s="36" t="s">
        <v>2216</v>
      </c>
      <c r="J152" s="35"/>
    </row>
    <row r="153" spans="1:10" ht="28.8" x14ac:dyDescent="0.3">
      <c r="A153" s="27" t="s">
        <v>103</v>
      </c>
      <c r="B153" s="34"/>
      <c r="E153" s="36" t="s">
        <v>2217</v>
      </c>
      <c r="J153" s="35"/>
    </row>
    <row r="154" spans="1:10" ht="28.8" x14ac:dyDescent="0.3">
      <c r="A154" s="27" t="s">
        <v>103</v>
      </c>
      <c r="B154" s="34"/>
      <c r="E154" s="36" t="s">
        <v>2218</v>
      </c>
      <c r="J154" s="35"/>
    </row>
    <row r="155" spans="1:10" ht="28.8" x14ac:dyDescent="0.3">
      <c r="A155" s="27" t="s">
        <v>103</v>
      </c>
      <c r="B155" s="34"/>
      <c r="E155" s="36" t="s">
        <v>2219</v>
      </c>
      <c r="J155" s="35"/>
    </row>
    <row r="156" spans="1:10" ht="28.8" x14ac:dyDescent="0.3">
      <c r="A156" s="27" t="s">
        <v>103</v>
      </c>
      <c r="B156" s="34"/>
      <c r="E156" s="36" t="s">
        <v>2220</v>
      </c>
      <c r="J156" s="35"/>
    </row>
    <row r="157" spans="1:10" ht="28.8" x14ac:dyDescent="0.3">
      <c r="A157" s="27" t="s">
        <v>103</v>
      </c>
      <c r="B157" s="34"/>
      <c r="E157" s="36" t="s">
        <v>2221</v>
      </c>
      <c r="J157" s="35"/>
    </row>
    <row r="158" spans="1:10" ht="28.8" x14ac:dyDescent="0.3">
      <c r="A158" s="27" t="s">
        <v>103</v>
      </c>
      <c r="B158" s="34"/>
      <c r="E158" s="36" t="s">
        <v>2222</v>
      </c>
      <c r="J158" s="35"/>
    </row>
    <row r="159" spans="1:10" ht="28.8" x14ac:dyDescent="0.3">
      <c r="A159" s="27" t="s">
        <v>103</v>
      </c>
      <c r="B159" s="34"/>
      <c r="E159" s="36" t="s">
        <v>2223</v>
      </c>
      <c r="J159" s="35"/>
    </row>
    <row r="160" spans="1:10" ht="28.8" x14ac:dyDescent="0.3">
      <c r="A160" s="27" t="s">
        <v>103</v>
      </c>
      <c r="B160" s="34"/>
      <c r="E160" s="36" t="s">
        <v>2224</v>
      </c>
      <c r="J160" s="35"/>
    </row>
    <row r="161" spans="1:16" ht="28.8" x14ac:dyDescent="0.3">
      <c r="A161" s="27" t="s">
        <v>103</v>
      </c>
      <c r="B161" s="34"/>
      <c r="E161" s="36" t="s">
        <v>2225</v>
      </c>
      <c r="J161" s="35"/>
    </row>
    <row r="162" spans="1:16" ht="28.8" x14ac:dyDescent="0.3">
      <c r="A162" s="27" t="s">
        <v>103</v>
      </c>
      <c r="B162" s="34"/>
      <c r="E162" s="36" t="s">
        <v>2226</v>
      </c>
      <c r="J162" s="35"/>
    </row>
    <row r="163" spans="1:16" ht="28.8" x14ac:dyDescent="0.3">
      <c r="A163" s="27" t="s">
        <v>103</v>
      </c>
      <c r="B163" s="34"/>
      <c r="E163" s="36" t="s">
        <v>2227</v>
      </c>
      <c r="J163" s="35"/>
    </row>
    <row r="164" spans="1:16" ht="28.8" x14ac:dyDescent="0.3">
      <c r="A164" s="27" t="s">
        <v>103</v>
      </c>
      <c r="B164" s="34"/>
      <c r="E164" s="36" t="s">
        <v>2228</v>
      </c>
      <c r="J164" s="35"/>
    </row>
    <row r="165" spans="1:16" ht="28.8" x14ac:dyDescent="0.3">
      <c r="A165" s="27" t="s">
        <v>103</v>
      </c>
      <c r="B165" s="34"/>
      <c r="E165" s="36" t="s">
        <v>2229</v>
      </c>
      <c r="J165" s="35"/>
    </row>
    <row r="166" spans="1:16" ht="28.8" x14ac:dyDescent="0.3">
      <c r="A166" s="27" t="s">
        <v>103</v>
      </c>
      <c r="B166" s="34"/>
      <c r="E166" s="36" t="s">
        <v>2230</v>
      </c>
      <c r="J166" s="35"/>
    </row>
    <row r="167" spans="1:16" ht="28.8" x14ac:dyDescent="0.3">
      <c r="A167" s="27" t="s">
        <v>103</v>
      </c>
      <c r="B167" s="34"/>
      <c r="E167" s="36" t="s">
        <v>2231</v>
      </c>
      <c r="J167" s="35"/>
    </row>
    <row r="168" spans="1:16" ht="28.8" x14ac:dyDescent="0.3">
      <c r="A168" s="27" t="s">
        <v>103</v>
      </c>
      <c r="B168" s="34"/>
      <c r="E168" s="36" t="s">
        <v>2232</v>
      </c>
      <c r="J168" s="35"/>
    </row>
    <row r="169" spans="1:16" ht="28.8" x14ac:dyDescent="0.3">
      <c r="A169" s="27" t="s">
        <v>103</v>
      </c>
      <c r="B169" s="34"/>
      <c r="E169" s="36" t="s">
        <v>2233</v>
      </c>
      <c r="J169" s="35"/>
    </row>
    <row r="170" spans="1:16" ht="28.8" x14ac:dyDescent="0.3">
      <c r="A170" s="27" t="s">
        <v>103</v>
      </c>
      <c r="B170" s="34"/>
      <c r="E170" s="36" t="s">
        <v>2234</v>
      </c>
      <c r="J170" s="35"/>
    </row>
    <row r="171" spans="1:16" ht="28.8" x14ac:dyDescent="0.3">
      <c r="A171" s="27" t="s">
        <v>103</v>
      </c>
      <c r="B171" s="34"/>
      <c r="E171" s="36" t="s">
        <v>2235</v>
      </c>
      <c r="J171" s="35"/>
    </row>
    <row r="172" spans="1:16" x14ac:dyDescent="0.3">
      <c r="A172" s="27" t="s">
        <v>103</v>
      </c>
      <c r="B172" s="34"/>
      <c r="E172" s="36" t="s">
        <v>2236</v>
      </c>
      <c r="J172" s="35"/>
    </row>
    <row r="173" spans="1:16" ht="216" x14ac:dyDescent="0.3">
      <c r="A173" s="27" t="s">
        <v>105</v>
      </c>
      <c r="B173" s="34"/>
      <c r="E173" s="29" t="s">
        <v>481</v>
      </c>
      <c r="J173" s="35"/>
    </row>
    <row r="174" spans="1:16" x14ac:dyDescent="0.3">
      <c r="A174" s="27" t="s">
        <v>95</v>
      </c>
      <c r="B174" s="27">
        <v>5</v>
      </c>
      <c r="C174" s="28" t="s">
        <v>594</v>
      </c>
      <c r="D174" s="27" t="s">
        <v>129</v>
      </c>
      <c r="E174" s="29" t="s">
        <v>595</v>
      </c>
      <c r="F174" s="30" t="s">
        <v>229</v>
      </c>
      <c r="G174" s="31">
        <v>196.82</v>
      </c>
      <c r="H174" s="32">
        <v>0</v>
      </c>
      <c r="I174" s="32">
        <f>ROUND(196.82*H174,P4)</f>
        <v>0</v>
      </c>
      <c r="J174" s="30" t="s">
        <v>118</v>
      </c>
      <c r="O174" s="33">
        <f>I174*0.21</f>
        <v>0</v>
      </c>
      <c r="P174">
        <v>3</v>
      </c>
    </row>
    <row r="175" spans="1:16" ht="288" x14ac:dyDescent="0.3">
      <c r="A175" s="27" t="s">
        <v>101</v>
      </c>
      <c r="B175" s="34"/>
      <c r="E175" s="29" t="s">
        <v>2237</v>
      </c>
      <c r="J175" s="35"/>
    </row>
    <row r="176" spans="1:16" ht="28.8" x14ac:dyDescent="0.3">
      <c r="A176" s="27" t="s">
        <v>103</v>
      </c>
      <c r="B176" s="34"/>
      <c r="E176" s="36" t="s">
        <v>2238</v>
      </c>
      <c r="J176" s="35"/>
    </row>
    <row r="177" spans="1:10" ht="28.8" x14ac:dyDescent="0.3">
      <c r="A177" s="27" t="s">
        <v>103</v>
      </c>
      <c r="B177" s="34"/>
      <c r="E177" s="36" t="s">
        <v>2239</v>
      </c>
      <c r="J177" s="35"/>
    </row>
    <row r="178" spans="1:10" ht="28.8" x14ac:dyDescent="0.3">
      <c r="A178" s="27" t="s">
        <v>103</v>
      </c>
      <c r="B178" s="34"/>
      <c r="E178" s="36" t="s">
        <v>2240</v>
      </c>
      <c r="J178" s="35"/>
    </row>
    <row r="179" spans="1:10" ht="28.8" x14ac:dyDescent="0.3">
      <c r="A179" s="27" t="s">
        <v>103</v>
      </c>
      <c r="B179" s="34"/>
      <c r="E179" s="36" t="s">
        <v>2241</v>
      </c>
      <c r="J179" s="35"/>
    </row>
    <row r="180" spans="1:10" ht="28.8" x14ac:dyDescent="0.3">
      <c r="A180" s="27" t="s">
        <v>103</v>
      </c>
      <c r="B180" s="34"/>
      <c r="E180" s="36" t="s">
        <v>2242</v>
      </c>
      <c r="J180" s="35"/>
    </row>
    <row r="181" spans="1:10" ht="28.8" x14ac:dyDescent="0.3">
      <c r="A181" s="27" t="s">
        <v>103</v>
      </c>
      <c r="B181" s="34"/>
      <c r="E181" s="36" t="s">
        <v>2243</v>
      </c>
      <c r="J181" s="35"/>
    </row>
    <row r="182" spans="1:10" ht="28.8" x14ac:dyDescent="0.3">
      <c r="A182" s="27" t="s">
        <v>103</v>
      </c>
      <c r="B182" s="34"/>
      <c r="E182" s="36" t="s">
        <v>2244</v>
      </c>
      <c r="J182" s="35"/>
    </row>
    <row r="183" spans="1:10" ht="28.8" x14ac:dyDescent="0.3">
      <c r="A183" s="27" t="s">
        <v>103</v>
      </c>
      <c r="B183" s="34"/>
      <c r="E183" s="36" t="s">
        <v>2245</v>
      </c>
      <c r="J183" s="35"/>
    </row>
    <row r="184" spans="1:10" ht="28.8" x14ac:dyDescent="0.3">
      <c r="A184" s="27" t="s">
        <v>103</v>
      </c>
      <c r="B184" s="34"/>
      <c r="E184" s="36" t="s">
        <v>2246</v>
      </c>
      <c r="J184" s="35"/>
    </row>
    <row r="185" spans="1:10" ht="28.8" x14ac:dyDescent="0.3">
      <c r="A185" s="27" t="s">
        <v>103</v>
      </c>
      <c r="B185" s="34"/>
      <c r="E185" s="36" t="s">
        <v>2247</v>
      </c>
      <c r="J185" s="35"/>
    </row>
    <row r="186" spans="1:10" ht="28.8" x14ac:dyDescent="0.3">
      <c r="A186" s="27" t="s">
        <v>103</v>
      </c>
      <c r="B186" s="34"/>
      <c r="E186" s="36" t="s">
        <v>2248</v>
      </c>
      <c r="J186" s="35"/>
    </row>
    <row r="187" spans="1:10" ht="28.8" x14ac:dyDescent="0.3">
      <c r="A187" s="27" t="s">
        <v>103</v>
      </c>
      <c r="B187" s="34"/>
      <c r="E187" s="36" t="s">
        <v>2249</v>
      </c>
      <c r="J187" s="35"/>
    </row>
    <row r="188" spans="1:10" ht="28.8" x14ac:dyDescent="0.3">
      <c r="A188" s="27" t="s">
        <v>103</v>
      </c>
      <c r="B188" s="34"/>
      <c r="E188" s="36" t="s">
        <v>2250</v>
      </c>
      <c r="J188" s="35"/>
    </row>
    <row r="189" spans="1:10" ht="28.8" x14ac:dyDescent="0.3">
      <c r="A189" s="27" t="s">
        <v>103</v>
      </c>
      <c r="B189" s="34"/>
      <c r="E189" s="36" t="s">
        <v>2251</v>
      </c>
      <c r="J189" s="35"/>
    </row>
    <row r="190" spans="1:10" ht="28.8" x14ac:dyDescent="0.3">
      <c r="A190" s="27" t="s">
        <v>103</v>
      </c>
      <c r="B190" s="34"/>
      <c r="E190" s="36" t="s">
        <v>2252</v>
      </c>
      <c r="J190" s="35"/>
    </row>
    <row r="191" spans="1:10" x14ac:dyDescent="0.3">
      <c r="A191" s="27" t="s">
        <v>103</v>
      </c>
      <c r="B191" s="34"/>
      <c r="E191" s="36" t="s">
        <v>2253</v>
      </c>
      <c r="J191" s="35"/>
    </row>
    <row r="192" spans="1:10" ht="273.60000000000002" x14ac:dyDescent="0.3">
      <c r="A192" s="27" t="s">
        <v>105</v>
      </c>
      <c r="B192" s="34"/>
      <c r="E192" s="29" t="s">
        <v>609</v>
      </c>
      <c r="J192" s="35"/>
    </row>
    <row r="193" spans="1:16" x14ac:dyDescent="0.3">
      <c r="A193" s="27" t="s">
        <v>95</v>
      </c>
      <c r="B193" s="27">
        <v>6</v>
      </c>
      <c r="C193" s="28" t="s">
        <v>594</v>
      </c>
      <c r="D193" s="27" t="s">
        <v>97</v>
      </c>
      <c r="E193" s="29" t="s">
        <v>595</v>
      </c>
      <c r="F193" s="30" t="s">
        <v>229</v>
      </c>
      <c r="G193" s="31">
        <v>36.012</v>
      </c>
      <c r="H193" s="32">
        <v>0</v>
      </c>
      <c r="I193" s="32">
        <f>ROUND(36.012*H193,P4)</f>
        <v>0</v>
      </c>
      <c r="J193" s="30" t="s">
        <v>118</v>
      </c>
      <c r="O193" s="33">
        <f>I193*0.21</f>
        <v>0</v>
      </c>
      <c r="P193">
        <v>3</v>
      </c>
    </row>
    <row r="194" spans="1:16" ht="172.8" x14ac:dyDescent="0.3">
      <c r="A194" s="27" t="s">
        <v>101</v>
      </c>
      <c r="B194" s="34"/>
      <c r="E194" s="29" t="s">
        <v>2254</v>
      </c>
      <c r="J194" s="35"/>
    </row>
    <row r="195" spans="1:16" ht="28.8" x14ac:dyDescent="0.3">
      <c r="A195" s="27" t="s">
        <v>103</v>
      </c>
      <c r="B195" s="34"/>
      <c r="E195" s="36" t="s">
        <v>2255</v>
      </c>
      <c r="J195" s="35"/>
    </row>
    <row r="196" spans="1:16" ht="28.8" x14ac:dyDescent="0.3">
      <c r="A196" s="27" t="s">
        <v>103</v>
      </c>
      <c r="B196" s="34"/>
      <c r="E196" s="36" t="s">
        <v>2256</v>
      </c>
      <c r="J196" s="35"/>
    </row>
    <row r="197" spans="1:16" ht="28.8" x14ac:dyDescent="0.3">
      <c r="A197" s="27" t="s">
        <v>103</v>
      </c>
      <c r="B197" s="34"/>
      <c r="E197" s="36" t="s">
        <v>2257</v>
      </c>
      <c r="J197" s="35"/>
    </row>
    <row r="198" spans="1:16" ht="28.8" x14ac:dyDescent="0.3">
      <c r="A198" s="27" t="s">
        <v>103</v>
      </c>
      <c r="B198" s="34"/>
      <c r="E198" s="36" t="s">
        <v>2258</v>
      </c>
      <c r="J198" s="35"/>
    </row>
    <row r="199" spans="1:16" ht="28.8" x14ac:dyDescent="0.3">
      <c r="A199" s="27" t="s">
        <v>103</v>
      </c>
      <c r="B199" s="34"/>
      <c r="E199" s="36" t="s">
        <v>2259</v>
      </c>
      <c r="J199" s="35"/>
    </row>
    <row r="200" spans="1:16" ht="28.8" x14ac:dyDescent="0.3">
      <c r="A200" s="27" t="s">
        <v>103</v>
      </c>
      <c r="B200" s="34"/>
      <c r="E200" s="36" t="s">
        <v>2260</v>
      </c>
      <c r="J200" s="35"/>
    </row>
    <row r="201" spans="1:16" ht="28.8" x14ac:dyDescent="0.3">
      <c r="A201" s="27" t="s">
        <v>103</v>
      </c>
      <c r="B201" s="34"/>
      <c r="E201" s="36" t="s">
        <v>2261</v>
      </c>
      <c r="J201" s="35"/>
    </row>
    <row r="202" spans="1:16" ht="28.8" x14ac:dyDescent="0.3">
      <c r="A202" s="27" t="s">
        <v>103</v>
      </c>
      <c r="B202" s="34"/>
      <c r="E202" s="36" t="s">
        <v>2262</v>
      </c>
      <c r="J202" s="35"/>
    </row>
    <row r="203" spans="1:16" ht="28.8" x14ac:dyDescent="0.3">
      <c r="A203" s="27" t="s">
        <v>103</v>
      </c>
      <c r="B203" s="34"/>
      <c r="E203" s="36" t="s">
        <v>2263</v>
      </c>
      <c r="J203" s="35"/>
    </row>
    <row r="204" spans="1:16" ht="28.8" x14ac:dyDescent="0.3">
      <c r="A204" s="27" t="s">
        <v>103</v>
      </c>
      <c r="B204" s="34"/>
      <c r="E204" s="36" t="s">
        <v>2264</v>
      </c>
      <c r="J204" s="35"/>
    </row>
    <row r="205" spans="1:16" ht="28.8" x14ac:dyDescent="0.3">
      <c r="A205" s="27" t="s">
        <v>103</v>
      </c>
      <c r="B205" s="34"/>
      <c r="E205" s="36" t="s">
        <v>2265</v>
      </c>
      <c r="J205" s="35"/>
    </row>
    <row r="206" spans="1:16" x14ac:dyDescent="0.3">
      <c r="A206" s="27" t="s">
        <v>103</v>
      </c>
      <c r="B206" s="34"/>
      <c r="E206" s="36" t="s">
        <v>2266</v>
      </c>
      <c r="J206" s="35"/>
    </row>
    <row r="207" spans="1:16" ht="273.60000000000002" x14ac:dyDescent="0.3">
      <c r="A207" s="27" t="s">
        <v>105</v>
      </c>
      <c r="B207" s="34"/>
      <c r="E207" s="29" t="s">
        <v>609</v>
      </c>
      <c r="J207" s="35"/>
    </row>
    <row r="208" spans="1:16" x14ac:dyDescent="0.3">
      <c r="A208" s="27" t="s">
        <v>95</v>
      </c>
      <c r="B208" s="27">
        <v>7</v>
      </c>
      <c r="C208" s="28" t="s">
        <v>594</v>
      </c>
      <c r="D208" s="27" t="s">
        <v>107</v>
      </c>
      <c r="E208" s="29" t="s">
        <v>595</v>
      </c>
      <c r="F208" s="30" t="s">
        <v>229</v>
      </c>
      <c r="G208" s="31">
        <v>63.923000000000002</v>
      </c>
      <c r="H208" s="32">
        <v>0</v>
      </c>
      <c r="I208" s="32">
        <f>ROUND(63.923*H208,P4)</f>
        <v>0</v>
      </c>
      <c r="J208" s="30" t="s">
        <v>118</v>
      </c>
      <c r="O208" s="33">
        <f>I208*0.21</f>
        <v>0</v>
      </c>
      <c r="P208">
        <v>3</v>
      </c>
    </row>
    <row r="209" spans="1:10" ht="172.8" x14ac:dyDescent="0.3">
      <c r="A209" s="27" t="s">
        <v>101</v>
      </c>
      <c r="B209" s="34"/>
      <c r="E209" s="29" t="s">
        <v>596</v>
      </c>
      <c r="J209" s="35"/>
    </row>
    <row r="210" spans="1:10" ht="28.8" x14ac:dyDescent="0.3">
      <c r="A210" s="27" t="s">
        <v>103</v>
      </c>
      <c r="B210" s="34"/>
      <c r="E210" s="36" t="s">
        <v>2267</v>
      </c>
      <c r="J210" s="35"/>
    </row>
    <row r="211" spans="1:10" ht="28.8" x14ac:dyDescent="0.3">
      <c r="A211" s="27" t="s">
        <v>103</v>
      </c>
      <c r="B211" s="34"/>
      <c r="E211" s="36" t="s">
        <v>2268</v>
      </c>
      <c r="J211" s="35"/>
    </row>
    <row r="212" spans="1:10" ht="28.8" x14ac:dyDescent="0.3">
      <c r="A212" s="27" t="s">
        <v>103</v>
      </c>
      <c r="B212" s="34"/>
      <c r="E212" s="36" t="s">
        <v>2269</v>
      </c>
      <c r="J212" s="35"/>
    </row>
    <row r="213" spans="1:10" ht="28.8" x14ac:dyDescent="0.3">
      <c r="A213" s="27" t="s">
        <v>103</v>
      </c>
      <c r="B213" s="34"/>
      <c r="E213" s="36" t="s">
        <v>2270</v>
      </c>
      <c r="J213" s="35"/>
    </row>
    <row r="214" spans="1:10" ht="28.8" x14ac:dyDescent="0.3">
      <c r="A214" s="27" t="s">
        <v>103</v>
      </c>
      <c r="B214" s="34"/>
      <c r="E214" s="36" t="s">
        <v>2271</v>
      </c>
      <c r="J214" s="35"/>
    </row>
    <row r="215" spans="1:10" ht="28.8" x14ac:dyDescent="0.3">
      <c r="A215" s="27" t="s">
        <v>103</v>
      </c>
      <c r="B215" s="34"/>
      <c r="E215" s="36" t="s">
        <v>2272</v>
      </c>
      <c r="J215" s="35"/>
    </row>
    <row r="216" spans="1:10" ht="28.8" x14ac:dyDescent="0.3">
      <c r="A216" s="27" t="s">
        <v>103</v>
      </c>
      <c r="B216" s="34"/>
      <c r="E216" s="36" t="s">
        <v>2273</v>
      </c>
      <c r="J216" s="35"/>
    </row>
    <row r="217" spans="1:10" ht="28.8" x14ac:dyDescent="0.3">
      <c r="A217" s="27" t="s">
        <v>103</v>
      </c>
      <c r="B217" s="34"/>
      <c r="E217" s="36" t="s">
        <v>2274</v>
      </c>
      <c r="J217" s="35"/>
    </row>
    <row r="218" spans="1:10" ht="28.8" x14ac:dyDescent="0.3">
      <c r="A218" s="27" t="s">
        <v>103</v>
      </c>
      <c r="B218" s="34"/>
      <c r="E218" s="36" t="s">
        <v>2275</v>
      </c>
      <c r="J218" s="35"/>
    </row>
    <row r="219" spans="1:10" ht="28.8" x14ac:dyDescent="0.3">
      <c r="A219" s="27" t="s">
        <v>103</v>
      </c>
      <c r="B219" s="34"/>
      <c r="E219" s="36" t="s">
        <v>2276</v>
      </c>
      <c r="J219" s="35"/>
    </row>
    <row r="220" spans="1:10" ht="28.8" x14ac:dyDescent="0.3">
      <c r="A220" s="27" t="s">
        <v>103</v>
      </c>
      <c r="B220" s="34"/>
      <c r="E220" s="36" t="s">
        <v>2277</v>
      </c>
      <c r="J220" s="35"/>
    </row>
    <row r="221" spans="1:10" ht="28.8" x14ac:dyDescent="0.3">
      <c r="A221" s="27" t="s">
        <v>103</v>
      </c>
      <c r="B221" s="34"/>
      <c r="E221" s="36" t="s">
        <v>2278</v>
      </c>
      <c r="J221" s="35"/>
    </row>
    <row r="222" spans="1:10" ht="28.8" x14ac:dyDescent="0.3">
      <c r="A222" s="27" t="s">
        <v>103</v>
      </c>
      <c r="B222" s="34"/>
      <c r="E222" s="36" t="s">
        <v>2279</v>
      </c>
      <c r="J222" s="35"/>
    </row>
    <row r="223" spans="1:10" ht="28.8" x14ac:dyDescent="0.3">
      <c r="A223" s="27" t="s">
        <v>103</v>
      </c>
      <c r="B223" s="34"/>
      <c r="E223" s="36" t="s">
        <v>2280</v>
      </c>
      <c r="J223" s="35"/>
    </row>
    <row r="224" spans="1:10" ht="28.8" x14ac:dyDescent="0.3">
      <c r="A224" s="27" t="s">
        <v>103</v>
      </c>
      <c r="B224" s="34"/>
      <c r="E224" s="36" t="s">
        <v>2281</v>
      </c>
      <c r="J224" s="35"/>
    </row>
    <row r="225" spans="1:16" ht="28.8" x14ac:dyDescent="0.3">
      <c r="A225" s="27" t="s">
        <v>103</v>
      </c>
      <c r="B225" s="34"/>
      <c r="E225" s="36" t="s">
        <v>2282</v>
      </c>
      <c r="J225" s="35"/>
    </row>
    <row r="226" spans="1:16" ht="28.8" x14ac:dyDescent="0.3">
      <c r="A226" s="27" t="s">
        <v>103</v>
      </c>
      <c r="B226" s="34"/>
      <c r="E226" s="36" t="s">
        <v>2283</v>
      </c>
      <c r="J226" s="35"/>
    </row>
    <row r="227" spans="1:16" ht="28.8" x14ac:dyDescent="0.3">
      <c r="A227" s="27" t="s">
        <v>103</v>
      </c>
      <c r="B227" s="34"/>
      <c r="E227" s="36" t="s">
        <v>2284</v>
      </c>
      <c r="J227" s="35"/>
    </row>
    <row r="228" spans="1:16" ht="28.8" x14ac:dyDescent="0.3">
      <c r="A228" s="27" t="s">
        <v>103</v>
      </c>
      <c r="B228" s="34"/>
      <c r="E228" s="36" t="s">
        <v>2285</v>
      </c>
      <c r="J228" s="35"/>
    </row>
    <row r="229" spans="1:16" ht="28.8" x14ac:dyDescent="0.3">
      <c r="A229" s="27" t="s">
        <v>103</v>
      </c>
      <c r="B229" s="34"/>
      <c r="E229" s="36" t="s">
        <v>2286</v>
      </c>
      <c r="J229" s="35"/>
    </row>
    <row r="230" spans="1:16" ht="28.8" x14ac:dyDescent="0.3">
      <c r="A230" s="27" t="s">
        <v>103</v>
      </c>
      <c r="B230" s="34"/>
      <c r="E230" s="36" t="s">
        <v>2287</v>
      </c>
      <c r="J230" s="35"/>
    </row>
    <row r="231" spans="1:16" ht="28.8" x14ac:dyDescent="0.3">
      <c r="A231" s="27" t="s">
        <v>103</v>
      </c>
      <c r="B231" s="34"/>
      <c r="E231" s="36" t="s">
        <v>2288</v>
      </c>
      <c r="J231" s="35"/>
    </row>
    <row r="232" spans="1:16" ht="28.8" x14ac:dyDescent="0.3">
      <c r="A232" s="27" t="s">
        <v>103</v>
      </c>
      <c r="B232" s="34"/>
      <c r="E232" s="36" t="s">
        <v>2289</v>
      </c>
      <c r="J232" s="35"/>
    </row>
    <row r="233" spans="1:16" ht="28.8" x14ac:dyDescent="0.3">
      <c r="A233" s="27" t="s">
        <v>103</v>
      </c>
      <c r="B233" s="34"/>
      <c r="E233" s="36" t="s">
        <v>2290</v>
      </c>
      <c r="J233" s="35"/>
    </row>
    <row r="234" spans="1:16" ht="28.8" x14ac:dyDescent="0.3">
      <c r="A234" s="27" t="s">
        <v>103</v>
      </c>
      <c r="B234" s="34"/>
      <c r="E234" s="36" t="s">
        <v>2291</v>
      </c>
      <c r="J234" s="35"/>
    </row>
    <row r="235" spans="1:16" ht="28.8" x14ac:dyDescent="0.3">
      <c r="A235" s="27" t="s">
        <v>103</v>
      </c>
      <c r="B235" s="34"/>
      <c r="E235" s="36" t="s">
        <v>2292</v>
      </c>
      <c r="J235" s="35"/>
    </row>
    <row r="236" spans="1:16" ht="28.8" x14ac:dyDescent="0.3">
      <c r="A236" s="27" t="s">
        <v>103</v>
      </c>
      <c r="B236" s="34"/>
      <c r="E236" s="36" t="s">
        <v>2293</v>
      </c>
      <c r="J236" s="35"/>
    </row>
    <row r="237" spans="1:16" ht="28.8" x14ac:dyDescent="0.3">
      <c r="A237" s="27" t="s">
        <v>103</v>
      </c>
      <c r="B237" s="34"/>
      <c r="E237" s="36" t="s">
        <v>2294</v>
      </c>
      <c r="J237" s="35"/>
    </row>
    <row r="238" spans="1:16" x14ac:dyDescent="0.3">
      <c r="A238" s="27" t="s">
        <v>103</v>
      </c>
      <c r="B238" s="34"/>
      <c r="E238" s="36" t="s">
        <v>2295</v>
      </c>
      <c r="J238" s="35"/>
    </row>
    <row r="239" spans="1:16" ht="273.60000000000002" x14ac:dyDescent="0.3">
      <c r="A239" s="27" t="s">
        <v>105</v>
      </c>
      <c r="B239" s="34"/>
      <c r="E239" s="29" t="s">
        <v>609</v>
      </c>
      <c r="J239" s="35"/>
    </row>
    <row r="240" spans="1:16" x14ac:dyDescent="0.3">
      <c r="A240" s="27" t="s">
        <v>95</v>
      </c>
      <c r="B240" s="27">
        <v>8</v>
      </c>
      <c r="C240" s="28" t="s">
        <v>2296</v>
      </c>
      <c r="D240" s="27" t="s">
        <v>97</v>
      </c>
      <c r="E240" s="29" t="s">
        <v>2297</v>
      </c>
      <c r="F240" s="30" t="s">
        <v>229</v>
      </c>
      <c r="G240" s="31">
        <v>38.177999999999997</v>
      </c>
      <c r="H240" s="32">
        <v>0</v>
      </c>
      <c r="I240" s="32">
        <f>ROUND(38.178*H240,P4)</f>
        <v>0</v>
      </c>
      <c r="J240" s="30" t="s">
        <v>118</v>
      </c>
      <c r="O240" s="33">
        <f>I240*0.21</f>
        <v>0</v>
      </c>
      <c r="P240">
        <v>3</v>
      </c>
    </row>
    <row r="241" spans="1:16" ht="172.8" x14ac:dyDescent="0.3">
      <c r="A241" s="27" t="s">
        <v>101</v>
      </c>
      <c r="B241" s="34"/>
      <c r="E241" s="29" t="s">
        <v>2298</v>
      </c>
      <c r="J241" s="35"/>
    </row>
    <row r="242" spans="1:16" ht="28.8" x14ac:dyDescent="0.3">
      <c r="A242" s="27" t="s">
        <v>103</v>
      </c>
      <c r="B242" s="34"/>
      <c r="E242" s="36" t="s">
        <v>2299</v>
      </c>
      <c r="J242" s="35"/>
    </row>
    <row r="243" spans="1:16" ht="28.8" x14ac:dyDescent="0.3">
      <c r="A243" s="27" t="s">
        <v>103</v>
      </c>
      <c r="B243" s="34"/>
      <c r="E243" s="36" t="s">
        <v>2300</v>
      </c>
      <c r="J243" s="35"/>
    </row>
    <row r="244" spans="1:16" ht="28.8" x14ac:dyDescent="0.3">
      <c r="A244" s="27" t="s">
        <v>103</v>
      </c>
      <c r="B244" s="34"/>
      <c r="E244" s="36" t="s">
        <v>2301</v>
      </c>
      <c r="J244" s="35"/>
    </row>
    <row r="245" spans="1:16" ht="28.8" x14ac:dyDescent="0.3">
      <c r="A245" s="27" t="s">
        <v>103</v>
      </c>
      <c r="B245" s="34"/>
      <c r="E245" s="36" t="s">
        <v>2302</v>
      </c>
      <c r="J245" s="35"/>
    </row>
    <row r="246" spans="1:16" ht="28.8" x14ac:dyDescent="0.3">
      <c r="A246" s="27" t="s">
        <v>103</v>
      </c>
      <c r="B246" s="34"/>
      <c r="E246" s="36" t="s">
        <v>2303</v>
      </c>
      <c r="J246" s="35"/>
    </row>
    <row r="247" spans="1:16" ht="28.8" x14ac:dyDescent="0.3">
      <c r="A247" s="27" t="s">
        <v>103</v>
      </c>
      <c r="B247" s="34"/>
      <c r="E247" s="36" t="s">
        <v>2304</v>
      </c>
      <c r="J247" s="35"/>
    </row>
    <row r="248" spans="1:16" ht="28.8" x14ac:dyDescent="0.3">
      <c r="A248" s="27" t="s">
        <v>103</v>
      </c>
      <c r="B248" s="34"/>
      <c r="E248" s="36" t="s">
        <v>2305</v>
      </c>
      <c r="J248" s="35"/>
    </row>
    <row r="249" spans="1:16" ht="28.8" x14ac:dyDescent="0.3">
      <c r="A249" s="27" t="s">
        <v>103</v>
      </c>
      <c r="B249" s="34"/>
      <c r="E249" s="36" t="s">
        <v>2306</v>
      </c>
      <c r="J249" s="35"/>
    </row>
    <row r="250" spans="1:16" ht="28.8" x14ac:dyDescent="0.3">
      <c r="A250" s="27" t="s">
        <v>103</v>
      </c>
      <c r="B250" s="34"/>
      <c r="E250" s="36" t="s">
        <v>2307</v>
      </c>
      <c r="J250" s="35"/>
    </row>
    <row r="251" spans="1:16" ht="28.8" x14ac:dyDescent="0.3">
      <c r="A251" s="27" t="s">
        <v>103</v>
      </c>
      <c r="B251" s="34"/>
      <c r="E251" s="36" t="s">
        <v>2308</v>
      </c>
      <c r="J251" s="35"/>
    </row>
    <row r="252" spans="1:16" ht="28.8" x14ac:dyDescent="0.3">
      <c r="A252" s="27" t="s">
        <v>103</v>
      </c>
      <c r="B252" s="34"/>
      <c r="E252" s="36" t="s">
        <v>2309</v>
      </c>
      <c r="J252" s="35"/>
    </row>
    <row r="253" spans="1:16" ht="28.8" x14ac:dyDescent="0.3">
      <c r="A253" s="27" t="s">
        <v>103</v>
      </c>
      <c r="B253" s="34"/>
      <c r="E253" s="36" t="s">
        <v>2310</v>
      </c>
      <c r="J253" s="35"/>
    </row>
    <row r="254" spans="1:16" x14ac:dyDescent="0.3">
      <c r="A254" s="27" t="s">
        <v>103</v>
      </c>
      <c r="B254" s="34"/>
      <c r="E254" s="36" t="s">
        <v>2311</v>
      </c>
      <c r="J254" s="35"/>
    </row>
    <row r="255" spans="1:16" ht="302.39999999999998" x14ac:dyDescent="0.3">
      <c r="A255" s="27" t="s">
        <v>105</v>
      </c>
      <c r="B255" s="34"/>
      <c r="E255" s="29" t="s">
        <v>2312</v>
      </c>
      <c r="J255" s="35"/>
    </row>
    <row r="256" spans="1:16" x14ac:dyDescent="0.3">
      <c r="A256" s="27" t="s">
        <v>95</v>
      </c>
      <c r="B256" s="27">
        <v>9</v>
      </c>
      <c r="C256" s="28" t="s">
        <v>2313</v>
      </c>
      <c r="D256" s="27" t="s">
        <v>97</v>
      </c>
      <c r="E256" s="29" t="s">
        <v>2314</v>
      </c>
      <c r="F256" s="30" t="s">
        <v>229</v>
      </c>
      <c r="G256" s="31">
        <v>48.523000000000003</v>
      </c>
      <c r="H256" s="32">
        <v>0</v>
      </c>
      <c r="I256" s="32">
        <f>ROUND(48.523*H256,P4)</f>
        <v>0</v>
      </c>
      <c r="J256" s="30" t="s">
        <v>118</v>
      </c>
      <c r="O256" s="33">
        <f>I256*0.21</f>
        <v>0</v>
      </c>
      <c r="P256">
        <v>3</v>
      </c>
    </row>
    <row r="257" spans="1:10" ht="158.4" x14ac:dyDescent="0.3">
      <c r="A257" s="27" t="s">
        <v>101</v>
      </c>
      <c r="B257" s="34"/>
      <c r="E257" s="29" t="s">
        <v>2315</v>
      </c>
      <c r="J257" s="35"/>
    </row>
    <row r="258" spans="1:10" ht="28.8" x14ac:dyDescent="0.3">
      <c r="A258" s="27" t="s">
        <v>103</v>
      </c>
      <c r="B258" s="34"/>
      <c r="E258" s="36" t="s">
        <v>2316</v>
      </c>
      <c r="J258" s="35"/>
    </row>
    <row r="259" spans="1:10" ht="28.8" x14ac:dyDescent="0.3">
      <c r="A259" s="27" t="s">
        <v>103</v>
      </c>
      <c r="B259" s="34"/>
      <c r="E259" s="36" t="s">
        <v>2317</v>
      </c>
      <c r="J259" s="35"/>
    </row>
    <row r="260" spans="1:10" ht="28.8" x14ac:dyDescent="0.3">
      <c r="A260" s="27" t="s">
        <v>103</v>
      </c>
      <c r="B260" s="34"/>
      <c r="E260" s="36" t="s">
        <v>2318</v>
      </c>
      <c r="J260" s="35"/>
    </row>
    <row r="261" spans="1:10" ht="28.8" x14ac:dyDescent="0.3">
      <c r="A261" s="27" t="s">
        <v>103</v>
      </c>
      <c r="B261" s="34"/>
      <c r="E261" s="36" t="s">
        <v>2319</v>
      </c>
      <c r="J261" s="35"/>
    </row>
    <row r="262" spans="1:10" ht="28.8" x14ac:dyDescent="0.3">
      <c r="A262" s="27" t="s">
        <v>103</v>
      </c>
      <c r="B262" s="34"/>
      <c r="E262" s="36" t="s">
        <v>2320</v>
      </c>
      <c r="J262" s="35"/>
    </row>
    <row r="263" spans="1:10" ht="28.8" x14ac:dyDescent="0.3">
      <c r="A263" s="27" t="s">
        <v>103</v>
      </c>
      <c r="B263" s="34"/>
      <c r="E263" s="36" t="s">
        <v>2321</v>
      </c>
      <c r="J263" s="35"/>
    </row>
    <row r="264" spans="1:10" ht="28.8" x14ac:dyDescent="0.3">
      <c r="A264" s="27" t="s">
        <v>103</v>
      </c>
      <c r="B264" s="34"/>
      <c r="E264" s="36" t="s">
        <v>2322</v>
      </c>
      <c r="J264" s="35"/>
    </row>
    <row r="265" spans="1:10" ht="28.8" x14ac:dyDescent="0.3">
      <c r="A265" s="27" t="s">
        <v>103</v>
      </c>
      <c r="B265" s="34"/>
      <c r="E265" s="36" t="s">
        <v>2323</v>
      </c>
      <c r="J265" s="35"/>
    </row>
    <row r="266" spans="1:10" ht="28.8" x14ac:dyDescent="0.3">
      <c r="A266" s="27" t="s">
        <v>103</v>
      </c>
      <c r="B266" s="34"/>
      <c r="E266" s="36" t="s">
        <v>2324</v>
      </c>
      <c r="J266" s="35"/>
    </row>
    <row r="267" spans="1:10" ht="28.8" x14ac:dyDescent="0.3">
      <c r="A267" s="27" t="s">
        <v>103</v>
      </c>
      <c r="B267" s="34"/>
      <c r="E267" s="36" t="s">
        <v>2325</v>
      </c>
      <c r="J267" s="35"/>
    </row>
    <row r="268" spans="1:10" ht="28.8" x14ac:dyDescent="0.3">
      <c r="A268" s="27" t="s">
        <v>103</v>
      </c>
      <c r="B268" s="34"/>
      <c r="E268" s="36" t="s">
        <v>2326</v>
      </c>
      <c r="J268" s="35"/>
    </row>
    <row r="269" spans="1:10" ht="28.8" x14ac:dyDescent="0.3">
      <c r="A269" s="27" t="s">
        <v>103</v>
      </c>
      <c r="B269" s="34"/>
      <c r="E269" s="36" t="s">
        <v>2327</v>
      </c>
      <c r="J269" s="35"/>
    </row>
    <row r="270" spans="1:10" ht="28.8" x14ac:dyDescent="0.3">
      <c r="A270" s="27" t="s">
        <v>103</v>
      </c>
      <c r="B270" s="34"/>
      <c r="E270" s="36" t="s">
        <v>2328</v>
      </c>
      <c r="J270" s="35"/>
    </row>
    <row r="271" spans="1:10" ht="28.8" x14ac:dyDescent="0.3">
      <c r="A271" s="27" t="s">
        <v>103</v>
      </c>
      <c r="B271" s="34"/>
      <c r="E271" s="36" t="s">
        <v>2329</v>
      </c>
      <c r="J271" s="35"/>
    </row>
    <row r="272" spans="1:10" ht="28.8" x14ac:dyDescent="0.3">
      <c r="A272" s="27" t="s">
        <v>103</v>
      </c>
      <c r="B272" s="34"/>
      <c r="E272" s="36" t="s">
        <v>2330</v>
      </c>
      <c r="J272" s="35"/>
    </row>
    <row r="273" spans="1:10" ht="28.8" x14ac:dyDescent="0.3">
      <c r="A273" s="27" t="s">
        <v>103</v>
      </c>
      <c r="B273" s="34"/>
      <c r="E273" s="36" t="s">
        <v>2331</v>
      </c>
      <c r="J273" s="35"/>
    </row>
    <row r="274" spans="1:10" ht="28.8" x14ac:dyDescent="0.3">
      <c r="A274" s="27" t="s">
        <v>103</v>
      </c>
      <c r="B274" s="34"/>
      <c r="E274" s="36" t="s">
        <v>2332</v>
      </c>
      <c r="J274" s="35"/>
    </row>
    <row r="275" spans="1:10" ht="28.8" x14ac:dyDescent="0.3">
      <c r="A275" s="27" t="s">
        <v>103</v>
      </c>
      <c r="B275" s="34"/>
      <c r="E275" s="36" t="s">
        <v>2333</v>
      </c>
      <c r="J275" s="35"/>
    </row>
    <row r="276" spans="1:10" ht="28.8" x14ac:dyDescent="0.3">
      <c r="A276" s="27" t="s">
        <v>103</v>
      </c>
      <c r="B276" s="34"/>
      <c r="E276" s="36" t="s">
        <v>2334</v>
      </c>
      <c r="J276" s="35"/>
    </row>
    <row r="277" spans="1:10" ht="28.8" x14ac:dyDescent="0.3">
      <c r="A277" s="27" t="s">
        <v>103</v>
      </c>
      <c r="B277" s="34"/>
      <c r="E277" s="36" t="s">
        <v>2335</v>
      </c>
      <c r="J277" s="35"/>
    </row>
    <row r="278" spans="1:10" ht="28.8" x14ac:dyDescent="0.3">
      <c r="A278" s="27" t="s">
        <v>103</v>
      </c>
      <c r="B278" s="34"/>
      <c r="E278" s="36" t="s">
        <v>2336</v>
      </c>
      <c r="J278" s="35"/>
    </row>
    <row r="279" spans="1:10" ht="28.8" x14ac:dyDescent="0.3">
      <c r="A279" s="27" t="s">
        <v>103</v>
      </c>
      <c r="B279" s="34"/>
      <c r="E279" s="36" t="s">
        <v>2337</v>
      </c>
      <c r="J279" s="35"/>
    </row>
    <row r="280" spans="1:10" ht="28.8" x14ac:dyDescent="0.3">
      <c r="A280" s="27" t="s">
        <v>103</v>
      </c>
      <c r="B280" s="34"/>
      <c r="E280" s="36" t="s">
        <v>2338</v>
      </c>
      <c r="J280" s="35"/>
    </row>
    <row r="281" spans="1:10" ht="28.8" x14ac:dyDescent="0.3">
      <c r="A281" s="27" t="s">
        <v>103</v>
      </c>
      <c r="B281" s="34"/>
      <c r="E281" s="36" t="s">
        <v>2339</v>
      </c>
      <c r="J281" s="35"/>
    </row>
    <row r="282" spans="1:10" ht="28.8" x14ac:dyDescent="0.3">
      <c r="A282" s="27" t="s">
        <v>103</v>
      </c>
      <c r="B282" s="34"/>
      <c r="E282" s="36" t="s">
        <v>2340</v>
      </c>
      <c r="J282" s="35"/>
    </row>
    <row r="283" spans="1:10" ht="28.8" x14ac:dyDescent="0.3">
      <c r="A283" s="27" t="s">
        <v>103</v>
      </c>
      <c r="B283" s="34"/>
      <c r="E283" s="36" t="s">
        <v>2341</v>
      </c>
      <c r="J283" s="35"/>
    </row>
    <row r="284" spans="1:10" ht="28.8" x14ac:dyDescent="0.3">
      <c r="A284" s="27" t="s">
        <v>103</v>
      </c>
      <c r="B284" s="34"/>
      <c r="E284" s="36" t="s">
        <v>2342</v>
      </c>
      <c r="J284" s="35"/>
    </row>
    <row r="285" spans="1:10" ht="28.8" x14ac:dyDescent="0.3">
      <c r="A285" s="27" t="s">
        <v>103</v>
      </c>
      <c r="B285" s="34"/>
      <c r="E285" s="36" t="s">
        <v>2343</v>
      </c>
      <c r="J285" s="35"/>
    </row>
    <row r="286" spans="1:10" ht="28.8" x14ac:dyDescent="0.3">
      <c r="A286" s="27" t="s">
        <v>103</v>
      </c>
      <c r="B286" s="34"/>
      <c r="E286" s="36" t="s">
        <v>2344</v>
      </c>
      <c r="J286" s="35"/>
    </row>
    <row r="287" spans="1:10" ht="28.8" x14ac:dyDescent="0.3">
      <c r="A287" s="27" t="s">
        <v>103</v>
      </c>
      <c r="B287" s="34"/>
      <c r="E287" s="36" t="s">
        <v>2345</v>
      </c>
      <c r="J287" s="35"/>
    </row>
    <row r="288" spans="1:10" ht="28.8" x14ac:dyDescent="0.3">
      <c r="A288" s="27" t="s">
        <v>103</v>
      </c>
      <c r="B288" s="34"/>
      <c r="E288" s="36" t="s">
        <v>2346</v>
      </c>
      <c r="J288" s="35"/>
    </row>
    <row r="289" spans="1:16" ht="28.8" x14ac:dyDescent="0.3">
      <c r="A289" s="27" t="s">
        <v>103</v>
      </c>
      <c r="B289" s="34"/>
      <c r="E289" s="36" t="s">
        <v>2347</v>
      </c>
      <c r="J289" s="35"/>
    </row>
    <row r="290" spans="1:16" ht="28.8" x14ac:dyDescent="0.3">
      <c r="A290" s="27" t="s">
        <v>103</v>
      </c>
      <c r="B290" s="34"/>
      <c r="E290" s="36" t="s">
        <v>2348</v>
      </c>
      <c r="J290" s="35"/>
    </row>
    <row r="291" spans="1:16" ht="28.8" x14ac:dyDescent="0.3">
      <c r="A291" s="27" t="s">
        <v>103</v>
      </c>
      <c r="B291" s="34"/>
      <c r="E291" s="36" t="s">
        <v>2349</v>
      </c>
      <c r="J291" s="35"/>
    </row>
    <row r="292" spans="1:16" x14ac:dyDescent="0.3">
      <c r="A292" s="27" t="s">
        <v>103</v>
      </c>
      <c r="B292" s="34"/>
      <c r="E292" s="36" t="s">
        <v>2350</v>
      </c>
      <c r="J292" s="35"/>
    </row>
    <row r="293" spans="1:16" ht="360" x14ac:dyDescent="0.3">
      <c r="A293" s="27" t="s">
        <v>105</v>
      </c>
      <c r="B293" s="34"/>
      <c r="E293" s="29" t="s">
        <v>2351</v>
      </c>
      <c r="J293" s="35"/>
    </row>
    <row r="294" spans="1:16" x14ac:dyDescent="0.3">
      <c r="A294" s="27" t="s">
        <v>95</v>
      </c>
      <c r="B294" s="27">
        <v>10</v>
      </c>
      <c r="C294" s="28" t="s">
        <v>435</v>
      </c>
      <c r="D294" s="27" t="s">
        <v>129</v>
      </c>
      <c r="E294" s="29" t="s">
        <v>436</v>
      </c>
      <c r="F294" s="30" t="s">
        <v>229</v>
      </c>
      <c r="G294" s="31">
        <v>27.661999999999999</v>
      </c>
      <c r="H294" s="32">
        <v>0</v>
      </c>
      <c r="I294" s="32">
        <f>ROUND(27.662*H294,P4)</f>
        <v>0</v>
      </c>
      <c r="J294" s="30" t="s">
        <v>118</v>
      </c>
      <c r="O294" s="33">
        <f>I294*0.21</f>
        <v>0</v>
      </c>
      <c r="P294">
        <v>3</v>
      </c>
    </row>
    <row r="295" spans="1:16" ht="187.2" x14ac:dyDescent="0.3">
      <c r="A295" s="27" t="s">
        <v>101</v>
      </c>
      <c r="B295" s="34"/>
      <c r="E295" s="29" t="s">
        <v>2352</v>
      </c>
      <c r="J295" s="35"/>
    </row>
    <row r="296" spans="1:16" ht="28.8" x14ac:dyDescent="0.3">
      <c r="A296" s="27" t="s">
        <v>103</v>
      </c>
      <c r="B296" s="34"/>
      <c r="E296" s="36" t="s">
        <v>2083</v>
      </c>
      <c r="J296" s="35"/>
    </row>
    <row r="297" spans="1:16" ht="28.8" x14ac:dyDescent="0.3">
      <c r="A297" s="27" t="s">
        <v>103</v>
      </c>
      <c r="B297" s="34"/>
      <c r="E297" s="36" t="s">
        <v>2084</v>
      </c>
      <c r="J297" s="35"/>
    </row>
    <row r="298" spans="1:16" ht="28.8" x14ac:dyDescent="0.3">
      <c r="A298" s="27" t="s">
        <v>103</v>
      </c>
      <c r="B298" s="34"/>
      <c r="E298" s="36" t="s">
        <v>2085</v>
      </c>
      <c r="J298" s="35"/>
    </row>
    <row r="299" spans="1:16" ht="28.8" x14ac:dyDescent="0.3">
      <c r="A299" s="27" t="s">
        <v>103</v>
      </c>
      <c r="B299" s="34"/>
      <c r="E299" s="36" t="s">
        <v>2086</v>
      </c>
      <c r="J299" s="35"/>
    </row>
    <row r="300" spans="1:16" ht="28.8" x14ac:dyDescent="0.3">
      <c r="A300" s="27" t="s">
        <v>103</v>
      </c>
      <c r="B300" s="34"/>
      <c r="E300" s="36" t="s">
        <v>2087</v>
      </c>
      <c r="J300" s="35"/>
    </row>
    <row r="301" spans="1:16" ht="28.8" x14ac:dyDescent="0.3">
      <c r="A301" s="27" t="s">
        <v>103</v>
      </c>
      <c r="B301" s="34"/>
      <c r="E301" s="36" t="s">
        <v>2088</v>
      </c>
      <c r="J301" s="35"/>
    </row>
    <row r="302" spans="1:16" ht="28.8" x14ac:dyDescent="0.3">
      <c r="A302" s="27" t="s">
        <v>103</v>
      </c>
      <c r="B302" s="34"/>
      <c r="E302" s="36" t="s">
        <v>2089</v>
      </c>
      <c r="J302" s="35"/>
    </row>
    <row r="303" spans="1:16" ht="28.8" x14ac:dyDescent="0.3">
      <c r="A303" s="27" t="s">
        <v>103</v>
      </c>
      <c r="B303" s="34"/>
      <c r="E303" s="36" t="s">
        <v>2090</v>
      </c>
      <c r="J303" s="35"/>
    </row>
    <row r="304" spans="1:16" ht="28.8" x14ac:dyDescent="0.3">
      <c r="A304" s="27" t="s">
        <v>103</v>
      </c>
      <c r="B304" s="34"/>
      <c r="E304" s="36" t="s">
        <v>2091</v>
      </c>
      <c r="J304" s="35"/>
    </row>
    <row r="305" spans="1:10" ht="28.8" x14ac:dyDescent="0.3">
      <c r="A305" s="27" t="s">
        <v>103</v>
      </c>
      <c r="B305" s="34"/>
      <c r="E305" s="36" t="s">
        <v>2092</v>
      </c>
      <c r="J305" s="35"/>
    </row>
    <row r="306" spans="1:10" ht="28.8" x14ac:dyDescent="0.3">
      <c r="A306" s="27" t="s">
        <v>103</v>
      </c>
      <c r="B306" s="34"/>
      <c r="E306" s="36" t="s">
        <v>2093</v>
      </c>
      <c r="J306" s="35"/>
    </row>
    <row r="307" spans="1:10" ht="28.8" x14ac:dyDescent="0.3">
      <c r="A307" s="27" t="s">
        <v>103</v>
      </c>
      <c r="B307" s="34"/>
      <c r="E307" s="36" t="s">
        <v>2094</v>
      </c>
      <c r="J307" s="35"/>
    </row>
    <row r="308" spans="1:10" ht="28.8" x14ac:dyDescent="0.3">
      <c r="A308" s="27" t="s">
        <v>103</v>
      </c>
      <c r="B308" s="34"/>
      <c r="E308" s="36" t="s">
        <v>2095</v>
      </c>
      <c r="J308" s="35"/>
    </row>
    <row r="309" spans="1:10" ht="28.8" x14ac:dyDescent="0.3">
      <c r="A309" s="27" t="s">
        <v>103</v>
      </c>
      <c r="B309" s="34"/>
      <c r="E309" s="36" t="s">
        <v>2096</v>
      </c>
      <c r="J309" s="35"/>
    </row>
    <row r="310" spans="1:10" ht="28.8" x14ac:dyDescent="0.3">
      <c r="A310" s="27" t="s">
        <v>103</v>
      </c>
      <c r="B310" s="34"/>
      <c r="E310" s="36" t="s">
        <v>2097</v>
      </c>
      <c r="J310" s="35"/>
    </row>
    <row r="311" spans="1:10" ht="28.8" x14ac:dyDescent="0.3">
      <c r="A311" s="27" t="s">
        <v>103</v>
      </c>
      <c r="B311" s="34"/>
      <c r="E311" s="36" t="s">
        <v>2098</v>
      </c>
      <c r="J311" s="35"/>
    </row>
    <row r="312" spans="1:10" ht="28.8" x14ac:dyDescent="0.3">
      <c r="A312" s="27" t="s">
        <v>103</v>
      </c>
      <c r="B312" s="34"/>
      <c r="E312" s="36" t="s">
        <v>2099</v>
      </c>
      <c r="J312" s="35"/>
    </row>
    <row r="313" spans="1:10" ht="28.8" x14ac:dyDescent="0.3">
      <c r="A313" s="27" t="s">
        <v>103</v>
      </c>
      <c r="B313" s="34"/>
      <c r="E313" s="36" t="s">
        <v>2100</v>
      </c>
      <c r="J313" s="35"/>
    </row>
    <row r="314" spans="1:10" ht="28.8" x14ac:dyDescent="0.3">
      <c r="A314" s="27" t="s">
        <v>103</v>
      </c>
      <c r="B314" s="34"/>
      <c r="E314" s="36" t="s">
        <v>2101</v>
      </c>
      <c r="J314" s="35"/>
    </row>
    <row r="315" spans="1:10" ht="28.8" x14ac:dyDescent="0.3">
      <c r="A315" s="27" t="s">
        <v>103</v>
      </c>
      <c r="B315" s="34"/>
      <c r="E315" s="36" t="s">
        <v>2102</v>
      </c>
      <c r="J315" s="35"/>
    </row>
    <row r="316" spans="1:10" ht="28.8" x14ac:dyDescent="0.3">
      <c r="A316" s="27" t="s">
        <v>103</v>
      </c>
      <c r="B316" s="34"/>
      <c r="E316" s="36" t="s">
        <v>2103</v>
      </c>
      <c r="J316" s="35"/>
    </row>
    <row r="317" spans="1:10" ht="28.8" x14ac:dyDescent="0.3">
      <c r="A317" s="27" t="s">
        <v>103</v>
      </c>
      <c r="B317" s="34"/>
      <c r="E317" s="36" t="s">
        <v>2104</v>
      </c>
      <c r="J317" s="35"/>
    </row>
    <row r="318" spans="1:10" ht="28.8" x14ac:dyDescent="0.3">
      <c r="A318" s="27" t="s">
        <v>103</v>
      </c>
      <c r="B318" s="34"/>
      <c r="E318" s="36" t="s">
        <v>2105</v>
      </c>
      <c r="J318" s="35"/>
    </row>
    <row r="319" spans="1:10" ht="28.8" x14ac:dyDescent="0.3">
      <c r="A319" s="27" t="s">
        <v>103</v>
      </c>
      <c r="B319" s="34"/>
      <c r="E319" s="36" t="s">
        <v>2106</v>
      </c>
      <c r="J319" s="35"/>
    </row>
    <row r="320" spans="1:10" ht="28.8" x14ac:dyDescent="0.3">
      <c r="A320" s="27" t="s">
        <v>103</v>
      </c>
      <c r="B320" s="34"/>
      <c r="E320" s="36" t="s">
        <v>2107</v>
      </c>
      <c r="J320" s="35"/>
    </row>
    <row r="321" spans="1:16" ht="28.8" x14ac:dyDescent="0.3">
      <c r="A321" s="27" t="s">
        <v>103</v>
      </c>
      <c r="B321" s="34"/>
      <c r="E321" s="36" t="s">
        <v>2108</v>
      </c>
      <c r="J321" s="35"/>
    </row>
    <row r="322" spans="1:16" ht="28.8" x14ac:dyDescent="0.3">
      <c r="A322" s="27" t="s">
        <v>103</v>
      </c>
      <c r="B322" s="34"/>
      <c r="E322" s="36" t="s">
        <v>2109</v>
      </c>
      <c r="J322" s="35"/>
    </row>
    <row r="323" spans="1:16" ht="28.8" x14ac:dyDescent="0.3">
      <c r="A323" s="27" t="s">
        <v>103</v>
      </c>
      <c r="B323" s="34"/>
      <c r="E323" s="36" t="s">
        <v>2110</v>
      </c>
      <c r="J323" s="35"/>
    </row>
    <row r="324" spans="1:16" ht="28.8" x14ac:dyDescent="0.3">
      <c r="A324" s="27" t="s">
        <v>103</v>
      </c>
      <c r="B324" s="34"/>
      <c r="E324" s="36" t="s">
        <v>2111</v>
      </c>
      <c r="J324" s="35"/>
    </row>
    <row r="325" spans="1:16" ht="28.8" x14ac:dyDescent="0.3">
      <c r="A325" s="27" t="s">
        <v>103</v>
      </c>
      <c r="B325" s="34"/>
      <c r="E325" s="36" t="s">
        <v>2112</v>
      </c>
      <c r="J325" s="35"/>
    </row>
    <row r="326" spans="1:16" ht="28.8" x14ac:dyDescent="0.3">
      <c r="A326" s="27" t="s">
        <v>103</v>
      </c>
      <c r="B326" s="34"/>
      <c r="E326" s="36" t="s">
        <v>2113</v>
      </c>
      <c r="J326" s="35"/>
    </row>
    <row r="327" spans="1:16" ht="28.8" x14ac:dyDescent="0.3">
      <c r="A327" s="27" t="s">
        <v>103</v>
      </c>
      <c r="B327" s="34"/>
      <c r="E327" s="36" t="s">
        <v>2114</v>
      </c>
      <c r="J327" s="35"/>
    </row>
    <row r="328" spans="1:16" ht="28.8" x14ac:dyDescent="0.3">
      <c r="A328" s="27" t="s">
        <v>103</v>
      </c>
      <c r="B328" s="34"/>
      <c r="E328" s="36" t="s">
        <v>2115</v>
      </c>
      <c r="J328" s="35"/>
    </row>
    <row r="329" spans="1:16" ht="28.8" x14ac:dyDescent="0.3">
      <c r="A329" s="27" t="s">
        <v>103</v>
      </c>
      <c r="B329" s="34"/>
      <c r="E329" s="36" t="s">
        <v>2116</v>
      </c>
      <c r="J329" s="35"/>
    </row>
    <row r="330" spans="1:16" x14ac:dyDescent="0.3">
      <c r="A330" s="27" t="s">
        <v>103</v>
      </c>
      <c r="B330" s="34"/>
      <c r="E330" s="36" t="s">
        <v>2117</v>
      </c>
      <c r="J330" s="35"/>
    </row>
    <row r="331" spans="1:16" ht="43.2" x14ac:dyDescent="0.3">
      <c r="A331" s="27" t="s">
        <v>105</v>
      </c>
      <c r="B331" s="34"/>
      <c r="E331" s="29" t="s">
        <v>438</v>
      </c>
      <c r="J331" s="35"/>
    </row>
    <row r="332" spans="1:16" x14ac:dyDescent="0.3">
      <c r="A332" s="21" t="s">
        <v>92</v>
      </c>
      <c r="B332" s="22"/>
      <c r="C332" s="23" t="s">
        <v>107</v>
      </c>
      <c r="D332" s="24"/>
      <c r="E332" s="21" t="s">
        <v>618</v>
      </c>
      <c r="F332" s="24"/>
      <c r="G332" s="24"/>
      <c r="H332" s="24"/>
      <c r="I332" s="25">
        <f>SUMIFS(I333:I339,A333:A339,"P")</f>
        <v>0</v>
      </c>
      <c r="J332" s="26"/>
    </row>
    <row r="333" spans="1:16" x14ac:dyDescent="0.3">
      <c r="A333" s="27" t="s">
        <v>95</v>
      </c>
      <c r="B333" s="27">
        <v>11</v>
      </c>
      <c r="C333" s="28" t="s">
        <v>2353</v>
      </c>
      <c r="D333" s="27" t="s">
        <v>129</v>
      </c>
      <c r="E333" s="29" t="s">
        <v>2354</v>
      </c>
      <c r="F333" s="30" t="s">
        <v>248</v>
      </c>
      <c r="G333" s="31">
        <v>151.03200000000001</v>
      </c>
      <c r="H333" s="32">
        <v>0</v>
      </c>
      <c r="I333" s="32">
        <f>ROUND(151.032*H333,P4)</f>
        <v>0</v>
      </c>
      <c r="J333" s="30" t="s">
        <v>118</v>
      </c>
      <c r="O333" s="33">
        <f>I333*0.21</f>
        <v>0</v>
      </c>
      <c r="P333">
        <v>3</v>
      </c>
    </row>
    <row r="334" spans="1:16" ht="216" x14ac:dyDescent="0.3">
      <c r="A334" s="27" t="s">
        <v>101</v>
      </c>
      <c r="B334" s="34"/>
      <c r="E334" s="29" t="s">
        <v>2355</v>
      </c>
      <c r="J334" s="35"/>
    </row>
    <row r="335" spans="1:16" ht="28.8" x14ac:dyDescent="0.3">
      <c r="A335" s="27" t="s">
        <v>103</v>
      </c>
      <c r="B335" s="34"/>
      <c r="E335" s="36" t="s">
        <v>2356</v>
      </c>
      <c r="J335" s="35"/>
    </row>
    <row r="336" spans="1:16" ht="28.8" x14ac:dyDescent="0.3">
      <c r="A336" s="27" t="s">
        <v>103</v>
      </c>
      <c r="B336" s="34"/>
      <c r="E336" s="36" t="s">
        <v>2357</v>
      </c>
      <c r="J336" s="35"/>
    </row>
    <row r="337" spans="1:16" ht="28.8" x14ac:dyDescent="0.3">
      <c r="A337" s="27" t="s">
        <v>103</v>
      </c>
      <c r="B337" s="34"/>
      <c r="E337" s="36" t="s">
        <v>2358</v>
      </c>
      <c r="J337" s="35"/>
    </row>
    <row r="338" spans="1:16" x14ac:dyDescent="0.3">
      <c r="A338" s="27" t="s">
        <v>103</v>
      </c>
      <c r="B338" s="34"/>
      <c r="E338" s="36" t="s">
        <v>2359</v>
      </c>
      <c r="J338" s="35"/>
    </row>
    <row r="339" spans="1:16" ht="115.2" x14ac:dyDescent="0.3">
      <c r="A339" s="27" t="s">
        <v>105</v>
      </c>
      <c r="B339" s="34"/>
      <c r="E339" s="29" t="s">
        <v>2360</v>
      </c>
      <c r="J339" s="35"/>
    </row>
    <row r="340" spans="1:16" x14ac:dyDescent="0.3">
      <c r="A340" s="21" t="s">
        <v>92</v>
      </c>
      <c r="B340" s="22"/>
      <c r="C340" s="23" t="s">
        <v>121</v>
      </c>
      <c r="D340" s="24"/>
      <c r="E340" s="21" t="s">
        <v>669</v>
      </c>
      <c r="F340" s="24"/>
      <c r="G340" s="24"/>
      <c r="H340" s="24"/>
      <c r="I340" s="25">
        <f>SUMIFS(I341:I526,A341:A526,"P")</f>
        <v>0</v>
      </c>
      <c r="J340" s="26"/>
    </row>
    <row r="341" spans="1:16" x14ac:dyDescent="0.3">
      <c r="A341" s="27" t="s">
        <v>95</v>
      </c>
      <c r="B341" s="27">
        <v>12</v>
      </c>
      <c r="C341" s="28" t="s">
        <v>2361</v>
      </c>
      <c r="D341" s="27" t="s">
        <v>129</v>
      </c>
      <c r="E341" s="29" t="s">
        <v>2362</v>
      </c>
      <c r="F341" s="30" t="s">
        <v>229</v>
      </c>
      <c r="G341" s="31">
        <v>0.42799999999999999</v>
      </c>
      <c r="H341" s="32">
        <v>0</v>
      </c>
      <c r="I341" s="32">
        <f>ROUND(0.428*H341,P4)</f>
        <v>0</v>
      </c>
      <c r="J341" s="30" t="s">
        <v>118</v>
      </c>
      <c r="O341" s="33">
        <f>I341*0.21</f>
        <v>0</v>
      </c>
      <c r="P341">
        <v>3</v>
      </c>
    </row>
    <row r="342" spans="1:16" ht="374.4" x14ac:dyDescent="0.3">
      <c r="A342" s="27" t="s">
        <v>101</v>
      </c>
      <c r="B342" s="34"/>
      <c r="E342" s="29" t="s">
        <v>2363</v>
      </c>
      <c r="J342" s="35"/>
    </row>
    <row r="343" spans="1:16" ht="28.8" x14ac:dyDescent="0.3">
      <c r="A343" s="27" t="s">
        <v>103</v>
      </c>
      <c r="B343" s="34"/>
      <c r="E343" s="36" t="s">
        <v>2364</v>
      </c>
      <c r="J343" s="35"/>
    </row>
    <row r="344" spans="1:16" ht="28.8" x14ac:dyDescent="0.3">
      <c r="A344" s="27" t="s">
        <v>103</v>
      </c>
      <c r="B344" s="34"/>
      <c r="E344" s="36" t="s">
        <v>2365</v>
      </c>
      <c r="J344" s="35"/>
    </row>
    <row r="345" spans="1:16" ht="28.8" x14ac:dyDescent="0.3">
      <c r="A345" s="27" t="s">
        <v>103</v>
      </c>
      <c r="B345" s="34"/>
      <c r="E345" s="36" t="s">
        <v>2366</v>
      </c>
      <c r="J345" s="35"/>
    </row>
    <row r="346" spans="1:16" ht="28.8" x14ac:dyDescent="0.3">
      <c r="A346" s="27" t="s">
        <v>103</v>
      </c>
      <c r="B346" s="34"/>
      <c r="E346" s="36" t="s">
        <v>2367</v>
      </c>
      <c r="J346" s="35"/>
    </row>
    <row r="347" spans="1:16" ht="28.8" x14ac:dyDescent="0.3">
      <c r="A347" s="27" t="s">
        <v>103</v>
      </c>
      <c r="B347" s="34"/>
      <c r="E347" s="36" t="s">
        <v>2368</v>
      </c>
      <c r="J347" s="35"/>
    </row>
    <row r="348" spans="1:16" ht="28.8" x14ac:dyDescent="0.3">
      <c r="A348" s="27" t="s">
        <v>103</v>
      </c>
      <c r="B348" s="34"/>
      <c r="E348" s="36" t="s">
        <v>2369</v>
      </c>
      <c r="J348" s="35"/>
    </row>
    <row r="349" spans="1:16" x14ac:dyDescent="0.3">
      <c r="A349" s="27" t="s">
        <v>103</v>
      </c>
      <c r="B349" s="34"/>
      <c r="E349" s="36" t="s">
        <v>2370</v>
      </c>
      <c r="J349" s="35"/>
    </row>
    <row r="350" spans="1:16" ht="409.6" x14ac:dyDescent="0.3">
      <c r="A350" s="27" t="s">
        <v>105</v>
      </c>
      <c r="B350" s="34"/>
      <c r="E350" s="29" t="s">
        <v>680</v>
      </c>
      <c r="J350" s="35"/>
    </row>
    <row r="351" spans="1:16" x14ac:dyDescent="0.3">
      <c r="A351" s="27" t="s">
        <v>95</v>
      </c>
      <c r="B351" s="27">
        <v>13</v>
      </c>
      <c r="C351" s="28" t="s">
        <v>2371</v>
      </c>
      <c r="D351" s="27" t="s">
        <v>129</v>
      </c>
      <c r="E351" s="29" t="s">
        <v>2372</v>
      </c>
      <c r="F351" s="30" t="s">
        <v>229</v>
      </c>
      <c r="G351" s="31">
        <v>8.9740000000000002</v>
      </c>
      <c r="H351" s="32">
        <v>0</v>
      </c>
      <c r="I351" s="32">
        <f>ROUND(8.974*H351,P4)</f>
        <v>0</v>
      </c>
      <c r="J351" s="30" t="s">
        <v>118</v>
      </c>
      <c r="O351" s="33">
        <f>I351*0.21</f>
        <v>0</v>
      </c>
      <c r="P351">
        <v>3</v>
      </c>
    </row>
    <row r="352" spans="1:16" ht="409.6" x14ac:dyDescent="0.3">
      <c r="A352" s="27" t="s">
        <v>101</v>
      </c>
      <c r="B352" s="34"/>
      <c r="E352" s="29" t="s">
        <v>2373</v>
      </c>
      <c r="J352" s="35"/>
    </row>
    <row r="353" spans="1:16" ht="28.8" x14ac:dyDescent="0.3">
      <c r="A353" s="27" t="s">
        <v>103</v>
      </c>
      <c r="B353" s="34"/>
      <c r="E353" s="36" t="s">
        <v>2374</v>
      </c>
      <c r="J353" s="35"/>
    </row>
    <row r="354" spans="1:16" ht="28.8" x14ac:dyDescent="0.3">
      <c r="A354" s="27" t="s">
        <v>103</v>
      </c>
      <c r="B354" s="34"/>
      <c r="E354" s="36" t="s">
        <v>2375</v>
      </c>
      <c r="J354" s="35"/>
    </row>
    <row r="355" spans="1:16" ht="28.8" x14ac:dyDescent="0.3">
      <c r="A355" s="27" t="s">
        <v>103</v>
      </c>
      <c r="B355" s="34"/>
      <c r="E355" s="36" t="s">
        <v>2376</v>
      </c>
      <c r="J355" s="35"/>
    </row>
    <row r="356" spans="1:16" ht="28.8" x14ac:dyDescent="0.3">
      <c r="A356" s="27" t="s">
        <v>103</v>
      </c>
      <c r="B356" s="34"/>
      <c r="E356" s="36" t="s">
        <v>2377</v>
      </c>
      <c r="J356" s="35"/>
    </row>
    <row r="357" spans="1:16" ht="28.8" x14ac:dyDescent="0.3">
      <c r="A357" s="27" t="s">
        <v>103</v>
      </c>
      <c r="B357" s="34"/>
      <c r="E357" s="36" t="s">
        <v>2378</v>
      </c>
      <c r="J357" s="35"/>
    </row>
    <row r="358" spans="1:16" ht="28.8" x14ac:dyDescent="0.3">
      <c r="A358" s="27" t="s">
        <v>103</v>
      </c>
      <c r="B358" s="34"/>
      <c r="E358" s="36" t="s">
        <v>2379</v>
      </c>
      <c r="J358" s="35"/>
    </row>
    <row r="359" spans="1:16" ht="28.8" x14ac:dyDescent="0.3">
      <c r="A359" s="27" t="s">
        <v>103</v>
      </c>
      <c r="B359" s="34"/>
      <c r="E359" s="36" t="s">
        <v>2380</v>
      </c>
      <c r="J359" s="35"/>
    </row>
    <row r="360" spans="1:16" ht="28.8" x14ac:dyDescent="0.3">
      <c r="A360" s="27" t="s">
        <v>103</v>
      </c>
      <c r="B360" s="34"/>
      <c r="E360" s="36" t="s">
        <v>2381</v>
      </c>
      <c r="J360" s="35"/>
    </row>
    <row r="361" spans="1:16" ht="28.8" x14ac:dyDescent="0.3">
      <c r="A361" s="27" t="s">
        <v>103</v>
      </c>
      <c r="B361" s="34"/>
      <c r="E361" s="36" t="s">
        <v>2382</v>
      </c>
      <c r="J361" s="35"/>
    </row>
    <row r="362" spans="1:16" ht="28.8" x14ac:dyDescent="0.3">
      <c r="A362" s="27" t="s">
        <v>103</v>
      </c>
      <c r="B362" s="34"/>
      <c r="E362" s="36" t="s">
        <v>2383</v>
      </c>
      <c r="J362" s="35"/>
    </row>
    <row r="363" spans="1:16" ht="28.8" x14ac:dyDescent="0.3">
      <c r="A363" s="27" t="s">
        <v>103</v>
      </c>
      <c r="B363" s="34"/>
      <c r="E363" s="36" t="s">
        <v>2384</v>
      </c>
      <c r="J363" s="35"/>
    </row>
    <row r="364" spans="1:16" x14ac:dyDescent="0.3">
      <c r="A364" s="27" t="s">
        <v>103</v>
      </c>
      <c r="B364" s="34"/>
      <c r="E364" s="36" t="s">
        <v>2385</v>
      </c>
      <c r="J364" s="35"/>
    </row>
    <row r="365" spans="1:16" ht="409.6" x14ac:dyDescent="0.3">
      <c r="A365" s="27" t="s">
        <v>105</v>
      </c>
      <c r="B365" s="34"/>
      <c r="E365" s="29" t="s">
        <v>680</v>
      </c>
      <c r="J365" s="35"/>
    </row>
    <row r="366" spans="1:16" x14ac:dyDescent="0.3">
      <c r="A366" s="27" t="s">
        <v>95</v>
      </c>
      <c r="B366" s="27">
        <v>14</v>
      </c>
      <c r="C366" s="28" t="s">
        <v>2386</v>
      </c>
      <c r="D366" s="27" t="s">
        <v>129</v>
      </c>
      <c r="E366" s="29" t="s">
        <v>2387</v>
      </c>
      <c r="F366" s="30" t="s">
        <v>229</v>
      </c>
      <c r="G366" s="31">
        <v>6.0149999999999997</v>
      </c>
      <c r="H366" s="32">
        <v>0</v>
      </c>
      <c r="I366" s="32">
        <f>ROUND(6.015*H366,P4)</f>
        <v>0</v>
      </c>
      <c r="J366" s="30" t="s">
        <v>118</v>
      </c>
      <c r="O366" s="33">
        <f>I366*0.21</f>
        <v>0</v>
      </c>
      <c r="P366">
        <v>3</v>
      </c>
    </row>
    <row r="367" spans="1:16" ht="374.4" x14ac:dyDescent="0.3">
      <c r="A367" s="27" t="s">
        <v>101</v>
      </c>
      <c r="B367" s="34"/>
      <c r="E367" s="29" t="s">
        <v>2388</v>
      </c>
      <c r="J367" s="35"/>
    </row>
    <row r="368" spans="1:16" ht="28.8" x14ac:dyDescent="0.3">
      <c r="A368" s="27" t="s">
        <v>103</v>
      </c>
      <c r="B368" s="34"/>
      <c r="E368" s="36" t="s">
        <v>2389</v>
      </c>
      <c r="J368" s="35"/>
    </row>
    <row r="369" spans="1:16" x14ac:dyDescent="0.3">
      <c r="A369" s="27" t="s">
        <v>103</v>
      </c>
      <c r="B369" s="34"/>
      <c r="E369" s="36" t="s">
        <v>2390</v>
      </c>
      <c r="J369" s="35"/>
    </row>
    <row r="370" spans="1:16" ht="409.6" x14ac:dyDescent="0.3">
      <c r="A370" s="27" t="s">
        <v>105</v>
      </c>
      <c r="B370" s="34"/>
      <c r="E370" s="29" t="s">
        <v>2391</v>
      </c>
      <c r="J370" s="35"/>
    </row>
    <row r="371" spans="1:16" x14ac:dyDescent="0.3">
      <c r="A371" s="27" t="s">
        <v>95</v>
      </c>
      <c r="B371" s="27">
        <v>15</v>
      </c>
      <c r="C371" s="28" t="s">
        <v>2392</v>
      </c>
      <c r="D371" s="27" t="s">
        <v>97</v>
      </c>
      <c r="E371" s="29" t="s">
        <v>2393</v>
      </c>
      <c r="F371" s="30" t="s">
        <v>229</v>
      </c>
      <c r="G371" s="31">
        <v>7.6779999999999999</v>
      </c>
      <c r="H371" s="32">
        <v>0</v>
      </c>
      <c r="I371" s="32">
        <f>ROUND(7.678*H371,P4)</f>
        <v>0</v>
      </c>
      <c r="J371" s="30" t="s">
        <v>118</v>
      </c>
      <c r="O371" s="33">
        <f>I371*0.21</f>
        <v>0</v>
      </c>
      <c r="P371">
        <v>3</v>
      </c>
    </row>
    <row r="372" spans="1:16" ht="158.4" x14ac:dyDescent="0.3">
      <c r="A372" s="27" t="s">
        <v>101</v>
      </c>
      <c r="B372" s="34"/>
      <c r="E372" s="29" t="s">
        <v>2394</v>
      </c>
      <c r="J372" s="35"/>
    </row>
    <row r="373" spans="1:16" ht="28.8" x14ac:dyDescent="0.3">
      <c r="A373" s="27" t="s">
        <v>103</v>
      </c>
      <c r="B373" s="34"/>
      <c r="E373" s="36" t="s">
        <v>2395</v>
      </c>
      <c r="J373" s="35"/>
    </row>
    <row r="374" spans="1:16" x14ac:dyDescent="0.3">
      <c r="A374" s="27" t="s">
        <v>103</v>
      </c>
      <c r="B374" s="34"/>
      <c r="E374" s="36" t="s">
        <v>2396</v>
      </c>
      <c r="J374" s="35"/>
    </row>
    <row r="375" spans="1:16" ht="57.6" x14ac:dyDescent="0.3">
      <c r="A375" s="27" t="s">
        <v>105</v>
      </c>
      <c r="B375" s="34"/>
      <c r="E375" s="29" t="s">
        <v>696</v>
      </c>
      <c r="J375" s="35"/>
    </row>
    <row r="376" spans="1:16" x14ac:dyDescent="0.3">
      <c r="A376" s="27" t="s">
        <v>95</v>
      </c>
      <c r="B376" s="27">
        <v>16</v>
      </c>
      <c r="C376" s="28" t="s">
        <v>2392</v>
      </c>
      <c r="D376" s="27" t="s">
        <v>107</v>
      </c>
      <c r="E376" s="29" t="s">
        <v>2393</v>
      </c>
      <c r="F376" s="30" t="s">
        <v>229</v>
      </c>
      <c r="G376" s="31">
        <v>43.267000000000003</v>
      </c>
      <c r="H376" s="32">
        <v>0</v>
      </c>
      <c r="I376" s="32">
        <f>ROUND(43.267*H376,P4)</f>
        <v>0</v>
      </c>
      <c r="J376" s="30" t="s">
        <v>118</v>
      </c>
      <c r="O376" s="33">
        <f>I376*0.21</f>
        <v>0</v>
      </c>
      <c r="P376">
        <v>3</v>
      </c>
    </row>
    <row r="377" spans="1:16" ht="158.4" x14ac:dyDescent="0.3">
      <c r="A377" s="27" t="s">
        <v>101</v>
      </c>
      <c r="B377" s="34"/>
      <c r="E377" s="29" t="s">
        <v>2397</v>
      </c>
      <c r="J377" s="35"/>
    </row>
    <row r="378" spans="1:16" ht="28.8" x14ac:dyDescent="0.3">
      <c r="A378" s="27" t="s">
        <v>103</v>
      </c>
      <c r="B378" s="34"/>
      <c r="E378" s="36" t="s">
        <v>2398</v>
      </c>
      <c r="J378" s="35"/>
    </row>
    <row r="379" spans="1:16" ht="28.8" x14ac:dyDescent="0.3">
      <c r="A379" s="27" t="s">
        <v>103</v>
      </c>
      <c r="B379" s="34"/>
      <c r="E379" s="36" t="s">
        <v>2399</v>
      </c>
      <c r="J379" s="35"/>
    </row>
    <row r="380" spans="1:16" ht="28.8" x14ac:dyDescent="0.3">
      <c r="A380" s="27" t="s">
        <v>103</v>
      </c>
      <c r="B380" s="34"/>
      <c r="E380" s="36" t="s">
        <v>2400</v>
      </c>
      <c r="J380" s="35"/>
    </row>
    <row r="381" spans="1:16" x14ac:dyDescent="0.3">
      <c r="A381" s="27" t="s">
        <v>103</v>
      </c>
      <c r="B381" s="34"/>
      <c r="E381" s="36" t="s">
        <v>2401</v>
      </c>
      <c r="J381" s="35"/>
    </row>
    <row r="382" spans="1:16" ht="57.6" x14ac:dyDescent="0.3">
      <c r="A382" s="27" t="s">
        <v>105</v>
      </c>
      <c r="B382" s="34"/>
      <c r="E382" s="29" t="s">
        <v>696</v>
      </c>
      <c r="J382" s="35"/>
    </row>
    <row r="383" spans="1:16" x14ac:dyDescent="0.3">
      <c r="A383" s="27" t="s">
        <v>95</v>
      </c>
      <c r="B383" s="27">
        <v>17</v>
      </c>
      <c r="C383" s="28" t="s">
        <v>2392</v>
      </c>
      <c r="D383" s="27" t="s">
        <v>116</v>
      </c>
      <c r="E383" s="29" t="s">
        <v>2393</v>
      </c>
      <c r="F383" s="30" t="s">
        <v>229</v>
      </c>
      <c r="G383" s="31">
        <v>0.48399999999999999</v>
      </c>
      <c r="H383" s="32">
        <v>0</v>
      </c>
      <c r="I383" s="32">
        <f>ROUND(0.484*H383,P4)</f>
        <v>0</v>
      </c>
      <c r="J383" s="30" t="s">
        <v>118</v>
      </c>
      <c r="O383" s="33">
        <f>I383*0.21</f>
        <v>0</v>
      </c>
      <c r="P383">
        <v>3</v>
      </c>
    </row>
    <row r="384" spans="1:16" ht="409.6" x14ac:dyDescent="0.3">
      <c r="A384" s="27" t="s">
        <v>101</v>
      </c>
      <c r="B384" s="34"/>
      <c r="E384" s="29" t="s">
        <v>2402</v>
      </c>
      <c r="J384" s="35"/>
    </row>
    <row r="385" spans="1:16" ht="28.8" x14ac:dyDescent="0.3">
      <c r="A385" s="27" t="s">
        <v>103</v>
      </c>
      <c r="B385" s="34"/>
      <c r="E385" s="36" t="s">
        <v>2403</v>
      </c>
      <c r="J385" s="35"/>
    </row>
    <row r="386" spans="1:16" ht="28.8" x14ac:dyDescent="0.3">
      <c r="A386" s="27" t="s">
        <v>103</v>
      </c>
      <c r="B386" s="34"/>
      <c r="E386" s="36" t="s">
        <v>2404</v>
      </c>
      <c r="J386" s="35"/>
    </row>
    <row r="387" spans="1:16" ht="28.8" x14ac:dyDescent="0.3">
      <c r="A387" s="27" t="s">
        <v>103</v>
      </c>
      <c r="B387" s="34"/>
      <c r="E387" s="36" t="s">
        <v>2405</v>
      </c>
      <c r="J387" s="35"/>
    </row>
    <row r="388" spans="1:16" ht="28.8" x14ac:dyDescent="0.3">
      <c r="A388" s="27" t="s">
        <v>103</v>
      </c>
      <c r="B388" s="34"/>
      <c r="E388" s="36" t="s">
        <v>2406</v>
      </c>
      <c r="J388" s="35"/>
    </row>
    <row r="389" spans="1:16" ht="28.8" x14ac:dyDescent="0.3">
      <c r="A389" s="27" t="s">
        <v>103</v>
      </c>
      <c r="B389" s="34"/>
      <c r="E389" s="36" t="s">
        <v>2407</v>
      </c>
      <c r="J389" s="35"/>
    </row>
    <row r="390" spans="1:16" ht="28.8" x14ac:dyDescent="0.3">
      <c r="A390" s="27" t="s">
        <v>103</v>
      </c>
      <c r="B390" s="34"/>
      <c r="E390" s="36" t="s">
        <v>2408</v>
      </c>
      <c r="J390" s="35"/>
    </row>
    <row r="391" spans="1:16" x14ac:dyDescent="0.3">
      <c r="A391" s="27" t="s">
        <v>103</v>
      </c>
      <c r="B391" s="34"/>
      <c r="E391" s="36" t="s">
        <v>2409</v>
      </c>
      <c r="J391" s="35"/>
    </row>
    <row r="392" spans="1:16" ht="57.6" x14ac:dyDescent="0.3">
      <c r="A392" s="27" t="s">
        <v>105</v>
      </c>
      <c r="B392" s="34"/>
      <c r="E392" s="29" t="s">
        <v>696</v>
      </c>
      <c r="J392" s="35"/>
    </row>
    <row r="393" spans="1:16" x14ac:dyDescent="0.3">
      <c r="A393" s="27" t="s">
        <v>95</v>
      </c>
      <c r="B393" s="27">
        <v>18</v>
      </c>
      <c r="C393" s="28" t="s">
        <v>2392</v>
      </c>
      <c r="D393" s="27" t="s">
        <v>121</v>
      </c>
      <c r="E393" s="29" t="s">
        <v>2393</v>
      </c>
      <c r="F393" s="30" t="s">
        <v>229</v>
      </c>
      <c r="G393" s="31">
        <v>3.694</v>
      </c>
      <c r="H393" s="32">
        <v>0</v>
      </c>
      <c r="I393" s="32">
        <f>ROUND(3.694*H393,P4)</f>
        <v>0</v>
      </c>
      <c r="J393" s="30" t="s">
        <v>118</v>
      </c>
      <c r="O393" s="33">
        <f>I393*0.21</f>
        <v>0</v>
      </c>
      <c r="P393">
        <v>3</v>
      </c>
    </row>
    <row r="394" spans="1:16" ht="409.6" x14ac:dyDescent="0.3">
      <c r="A394" s="27" t="s">
        <v>101</v>
      </c>
      <c r="B394" s="34"/>
      <c r="E394" s="29" t="s">
        <v>2410</v>
      </c>
      <c r="J394" s="35"/>
    </row>
    <row r="395" spans="1:16" ht="28.8" x14ac:dyDescent="0.3">
      <c r="A395" s="27" t="s">
        <v>103</v>
      </c>
      <c r="B395" s="34"/>
      <c r="E395" s="36" t="s">
        <v>2411</v>
      </c>
      <c r="J395" s="35"/>
    </row>
    <row r="396" spans="1:16" ht="28.8" x14ac:dyDescent="0.3">
      <c r="A396" s="27" t="s">
        <v>103</v>
      </c>
      <c r="B396" s="34"/>
      <c r="E396" s="36" t="s">
        <v>2412</v>
      </c>
      <c r="J396" s="35"/>
    </row>
    <row r="397" spans="1:16" ht="28.8" x14ac:dyDescent="0.3">
      <c r="A397" s="27" t="s">
        <v>103</v>
      </c>
      <c r="B397" s="34"/>
      <c r="E397" s="36" t="s">
        <v>2413</v>
      </c>
      <c r="J397" s="35"/>
    </row>
    <row r="398" spans="1:16" ht="28.8" x14ac:dyDescent="0.3">
      <c r="A398" s="27" t="s">
        <v>103</v>
      </c>
      <c r="B398" s="34"/>
      <c r="E398" s="36" t="s">
        <v>2414</v>
      </c>
      <c r="J398" s="35"/>
    </row>
    <row r="399" spans="1:16" x14ac:dyDescent="0.3">
      <c r="A399" s="27" t="s">
        <v>103</v>
      </c>
      <c r="B399" s="34"/>
      <c r="E399" s="36" t="s">
        <v>2415</v>
      </c>
      <c r="J399" s="35"/>
    </row>
    <row r="400" spans="1:16" ht="57.6" x14ac:dyDescent="0.3">
      <c r="A400" s="27" t="s">
        <v>105</v>
      </c>
      <c r="B400" s="34"/>
      <c r="E400" s="29" t="s">
        <v>696</v>
      </c>
      <c r="J400" s="35"/>
    </row>
    <row r="401" spans="1:16" x14ac:dyDescent="0.3">
      <c r="A401" s="27" t="s">
        <v>95</v>
      </c>
      <c r="B401" s="27">
        <v>19</v>
      </c>
      <c r="C401" s="28" t="s">
        <v>2392</v>
      </c>
      <c r="D401" s="27" t="s">
        <v>124</v>
      </c>
      <c r="E401" s="29" t="s">
        <v>2393</v>
      </c>
      <c r="F401" s="30" t="s">
        <v>229</v>
      </c>
      <c r="G401" s="31">
        <v>20.806000000000001</v>
      </c>
      <c r="H401" s="32">
        <v>0</v>
      </c>
      <c r="I401" s="32">
        <f>ROUND(20.806*H401,P4)</f>
        <v>0</v>
      </c>
      <c r="J401" s="30" t="s">
        <v>118</v>
      </c>
      <c r="O401" s="33">
        <f>I401*0.21</f>
        <v>0</v>
      </c>
      <c r="P401">
        <v>3</v>
      </c>
    </row>
    <row r="402" spans="1:16" ht="158.4" x14ac:dyDescent="0.3">
      <c r="A402" s="27" t="s">
        <v>101</v>
      </c>
      <c r="B402" s="34"/>
      <c r="E402" s="29" t="s">
        <v>2416</v>
      </c>
      <c r="J402" s="35"/>
    </row>
    <row r="403" spans="1:16" ht="28.8" x14ac:dyDescent="0.3">
      <c r="A403" s="27" t="s">
        <v>103</v>
      </c>
      <c r="B403" s="34"/>
      <c r="E403" s="36" t="s">
        <v>2417</v>
      </c>
      <c r="J403" s="35"/>
    </row>
    <row r="404" spans="1:16" ht="28.8" x14ac:dyDescent="0.3">
      <c r="A404" s="27" t="s">
        <v>103</v>
      </c>
      <c r="B404" s="34"/>
      <c r="E404" s="36" t="s">
        <v>2418</v>
      </c>
      <c r="J404" s="35"/>
    </row>
    <row r="405" spans="1:16" x14ac:dyDescent="0.3">
      <c r="A405" s="27" t="s">
        <v>103</v>
      </c>
      <c r="B405" s="34"/>
      <c r="E405" s="36" t="s">
        <v>2419</v>
      </c>
      <c r="J405" s="35"/>
    </row>
    <row r="406" spans="1:16" ht="57.6" x14ac:dyDescent="0.3">
      <c r="A406" s="27" t="s">
        <v>105</v>
      </c>
      <c r="B406" s="34"/>
      <c r="E406" s="29" t="s">
        <v>696</v>
      </c>
      <c r="J406" s="35"/>
    </row>
    <row r="407" spans="1:16" x14ac:dyDescent="0.3">
      <c r="A407" s="27" t="s">
        <v>95</v>
      </c>
      <c r="B407" s="27">
        <v>20</v>
      </c>
      <c r="C407" s="28" t="s">
        <v>681</v>
      </c>
      <c r="D407" s="27" t="s">
        <v>97</v>
      </c>
      <c r="E407" s="29" t="s">
        <v>682</v>
      </c>
      <c r="F407" s="30" t="s">
        <v>229</v>
      </c>
      <c r="G407" s="31">
        <v>6.6390000000000002</v>
      </c>
      <c r="H407" s="32">
        <v>0</v>
      </c>
      <c r="I407" s="32">
        <f>ROUND(6.639*H407,P4)</f>
        <v>0</v>
      </c>
      <c r="J407" s="30" t="s">
        <v>118</v>
      </c>
      <c r="O407" s="33">
        <f>I407*0.21</f>
        <v>0</v>
      </c>
      <c r="P407">
        <v>3</v>
      </c>
    </row>
    <row r="408" spans="1:16" ht="158.4" x14ac:dyDescent="0.3">
      <c r="A408" s="27" t="s">
        <v>101</v>
      </c>
      <c r="B408" s="34"/>
      <c r="E408" s="29" t="s">
        <v>2420</v>
      </c>
      <c r="J408" s="35"/>
    </row>
    <row r="409" spans="1:16" ht="28.8" x14ac:dyDescent="0.3">
      <c r="A409" s="27" t="s">
        <v>103</v>
      </c>
      <c r="B409" s="34"/>
      <c r="E409" s="36" t="s">
        <v>2421</v>
      </c>
      <c r="J409" s="35"/>
    </row>
    <row r="410" spans="1:16" ht="28.8" x14ac:dyDescent="0.3">
      <c r="A410" s="27" t="s">
        <v>103</v>
      </c>
      <c r="B410" s="34"/>
      <c r="E410" s="36" t="s">
        <v>2422</v>
      </c>
      <c r="J410" s="35"/>
    </row>
    <row r="411" spans="1:16" ht="28.8" x14ac:dyDescent="0.3">
      <c r="A411" s="27" t="s">
        <v>103</v>
      </c>
      <c r="B411" s="34"/>
      <c r="E411" s="36" t="s">
        <v>2423</v>
      </c>
      <c r="J411" s="35"/>
    </row>
    <row r="412" spans="1:16" ht="28.8" x14ac:dyDescent="0.3">
      <c r="A412" s="27" t="s">
        <v>103</v>
      </c>
      <c r="B412" s="34"/>
      <c r="E412" s="36" t="s">
        <v>2424</v>
      </c>
      <c r="J412" s="35"/>
    </row>
    <row r="413" spans="1:16" ht="28.8" x14ac:dyDescent="0.3">
      <c r="A413" s="27" t="s">
        <v>103</v>
      </c>
      <c r="B413" s="34"/>
      <c r="E413" s="36" t="s">
        <v>2425</v>
      </c>
      <c r="J413" s="35"/>
    </row>
    <row r="414" spans="1:16" ht="28.8" x14ac:dyDescent="0.3">
      <c r="A414" s="27" t="s">
        <v>103</v>
      </c>
      <c r="B414" s="34"/>
      <c r="E414" s="36" t="s">
        <v>2426</v>
      </c>
      <c r="J414" s="35"/>
    </row>
    <row r="415" spans="1:16" ht="28.8" x14ac:dyDescent="0.3">
      <c r="A415" s="27" t="s">
        <v>103</v>
      </c>
      <c r="B415" s="34"/>
      <c r="E415" s="36" t="s">
        <v>2427</v>
      </c>
      <c r="J415" s="35"/>
    </row>
    <row r="416" spans="1:16" ht="28.8" x14ac:dyDescent="0.3">
      <c r="A416" s="27" t="s">
        <v>103</v>
      </c>
      <c r="B416" s="34"/>
      <c r="E416" s="36" t="s">
        <v>2428</v>
      </c>
      <c r="J416" s="35"/>
    </row>
    <row r="417" spans="1:10" ht="28.8" x14ac:dyDescent="0.3">
      <c r="A417" s="27" t="s">
        <v>103</v>
      </c>
      <c r="B417" s="34"/>
      <c r="E417" s="36" t="s">
        <v>2429</v>
      </c>
      <c r="J417" s="35"/>
    </row>
    <row r="418" spans="1:10" ht="28.8" x14ac:dyDescent="0.3">
      <c r="A418" s="27" t="s">
        <v>103</v>
      </c>
      <c r="B418" s="34"/>
      <c r="E418" s="36" t="s">
        <v>2430</v>
      </c>
      <c r="J418" s="35"/>
    </row>
    <row r="419" spans="1:10" ht="28.8" x14ac:dyDescent="0.3">
      <c r="A419" s="27" t="s">
        <v>103</v>
      </c>
      <c r="B419" s="34"/>
      <c r="E419" s="36" t="s">
        <v>2431</v>
      </c>
      <c r="J419" s="35"/>
    </row>
    <row r="420" spans="1:10" ht="28.8" x14ac:dyDescent="0.3">
      <c r="A420" s="27" t="s">
        <v>103</v>
      </c>
      <c r="B420" s="34"/>
      <c r="E420" s="36" t="s">
        <v>2432</v>
      </c>
      <c r="J420" s="35"/>
    </row>
    <row r="421" spans="1:10" ht="28.8" x14ac:dyDescent="0.3">
      <c r="A421" s="27" t="s">
        <v>103</v>
      </c>
      <c r="B421" s="34"/>
      <c r="E421" s="36" t="s">
        <v>2433</v>
      </c>
      <c r="J421" s="35"/>
    </row>
    <row r="422" spans="1:10" ht="28.8" x14ac:dyDescent="0.3">
      <c r="A422" s="27" t="s">
        <v>103</v>
      </c>
      <c r="B422" s="34"/>
      <c r="E422" s="36" t="s">
        <v>2434</v>
      </c>
      <c r="J422" s="35"/>
    </row>
    <row r="423" spans="1:10" ht="28.8" x14ac:dyDescent="0.3">
      <c r="A423" s="27" t="s">
        <v>103</v>
      </c>
      <c r="B423" s="34"/>
      <c r="E423" s="36" t="s">
        <v>2435</v>
      </c>
      <c r="J423" s="35"/>
    </row>
    <row r="424" spans="1:10" ht="28.8" x14ac:dyDescent="0.3">
      <c r="A424" s="27" t="s">
        <v>103</v>
      </c>
      <c r="B424" s="34"/>
      <c r="E424" s="36" t="s">
        <v>2436</v>
      </c>
      <c r="J424" s="35"/>
    </row>
    <row r="425" spans="1:10" ht="28.8" x14ac:dyDescent="0.3">
      <c r="A425" s="27" t="s">
        <v>103</v>
      </c>
      <c r="B425" s="34"/>
      <c r="E425" s="36" t="s">
        <v>2437</v>
      </c>
      <c r="J425" s="35"/>
    </row>
    <row r="426" spans="1:10" ht="28.8" x14ac:dyDescent="0.3">
      <c r="A426" s="27" t="s">
        <v>103</v>
      </c>
      <c r="B426" s="34"/>
      <c r="E426" s="36" t="s">
        <v>2438</v>
      </c>
      <c r="J426" s="35"/>
    </row>
    <row r="427" spans="1:10" ht="28.8" x14ac:dyDescent="0.3">
      <c r="A427" s="27" t="s">
        <v>103</v>
      </c>
      <c r="B427" s="34"/>
      <c r="E427" s="36" t="s">
        <v>2439</v>
      </c>
      <c r="J427" s="35"/>
    </row>
    <row r="428" spans="1:10" ht="28.8" x14ac:dyDescent="0.3">
      <c r="A428" s="27" t="s">
        <v>103</v>
      </c>
      <c r="B428" s="34"/>
      <c r="E428" s="36" t="s">
        <v>2440</v>
      </c>
      <c r="J428" s="35"/>
    </row>
    <row r="429" spans="1:10" ht="28.8" x14ac:dyDescent="0.3">
      <c r="A429" s="27" t="s">
        <v>103</v>
      </c>
      <c r="B429" s="34"/>
      <c r="E429" s="36" t="s">
        <v>2441</v>
      </c>
      <c r="J429" s="35"/>
    </row>
    <row r="430" spans="1:10" ht="28.8" x14ac:dyDescent="0.3">
      <c r="A430" s="27" t="s">
        <v>103</v>
      </c>
      <c r="B430" s="34"/>
      <c r="E430" s="36" t="s">
        <v>2442</v>
      </c>
      <c r="J430" s="35"/>
    </row>
    <row r="431" spans="1:10" ht="28.8" x14ac:dyDescent="0.3">
      <c r="A431" s="27" t="s">
        <v>103</v>
      </c>
      <c r="B431" s="34"/>
      <c r="E431" s="36" t="s">
        <v>2443</v>
      </c>
      <c r="J431" s="35"/>
    </row>
    <row r="432" spans="1:10" ht="28.8" x14ac:dyDescent="0.3">
      <c r="A432" s="27" t="s">
        <v>103</v>
      </c>
      <c r="B432" s="34"/>
      <c r="E432" s="36" t="s">
        <v>2444</v>
      </c>
      <c r="J432" s="35"/>
    </row>
    <row r="433" spans="1:16" ht="28.8" x14ac:dyDescent="0.3">
      <c r="A433" s="27" t="s">
        <v>103</v>
      </c>
      <c r="B433" s="34"/>
      <c r="E433" s="36" t="s">
        <v>2445</v>
      </c>
      <c r="J433" s="35"/>
    </row>
    <row r="434" spans="1:16" ht="28.8" x14ac:dyDescent="0.3">
      <c r="A434" s="27" t="s">
        <v>103</v>
      </c>
      <c r="B434" s="34"/>
      <c r="E434" s="36" t="s">
        <v>2446</v>
      </c>
      <c r="J434" s="35"/>
    </row>
    <row r="435" spans="1:16" ht="28.8" x14ac:dyDescent="0.3">
      <c r="A435" s="27" t="s">
        <v>103</v>
      </c>
      <c r="B435" s="34"/>
      <c r="E435" s="36" t="s">
        <v>2447</v>
      </c>
      <c r="J435" s="35"/>
    </row>
    <row r="436" spans="1:16" ht="28.8" x14ac:dyDescent="0.3">
      <c r="A436" s="27" t="s">
        <v>103</v>
      </c>
      <c r="B436" s="34"/>
      <c r="E436" s="36" t="s">
        <v>2448</v>
      </c>
      <c r="J436" s="35"/>
    </row>
    <row r="437" spans="1:16" ht="28.8" x14ac:dyDescent="0.3">
      <c r="A437" s="27" t="s">
        <v>103</v>
      </c>
      <c r="B437" s="34"/>
      <c r="E437" s="36" t="s">
        <v>2449</v>
      </c>
      <c r="J437" s="35"/>
    </row>
    <row r="438" spans="1:16" x14ac:dyDescent="0.3">
      <c r="A438" s="27" t="s">
        <v>103</v>
      </c>
      <c r="B438" s="34"/>
      <c r="E438" s="36" t="s">
        <v>2450</v>
      </c>
      <c r="J438" s="35"/>
    </row>
    <row r="439" spans="1:16" ht="57.6" x14ac:dyDescent="0.3">
      <c r="A439" s="27" t="s">
        <v>105</v>
      </c>
      <c r="B439" s="34"/>
      <c r="E439" s="29" t="s">
        <v>696</v>
      </c>
      <c r="J439" s="35"/>
    </row>
    <row r="440" spans="1:16" x14ac:dyDescent="0.3">
      <c r="A440" s="27" t="s">
        <v>95</v>
      </c>
      <c r="B440" s="27">
        <v>21</v>
      </c>
      <c r="C440" s="28" t="s">
        <v>681</v>
      </c>
      <c r="D440" s="27" t="s">
        <v>107</v>
      </c>
      <c r="E440" s="29" t="s">
        <v>682</v>
      </c>
      <c r="F440" s="30" t="s">
        <v>229</v>
      </c>
      <c r="G440" s="31">
        <v>16.757999999999999</v>
      </c>
      <c r="H440" s="32">
        <v>0</v>
      </c>
      <c r="I440" s="32">
        <f>ROUND(16.758*H440,P4)</f>
        <v>0</v>
      </c>
      <c r="J440" s="30" t="s">
        <v>118</v>
      </c>
      <c r="O440" s="33">
        <f>I440*0.21</f>
        <v>0</v>
      </c>
      <c r="P440">
        <v>3</v>
      </c>
    </row>
    <row r="441" spans="1:16" ht="158.4" x14ac:dyDescent="0.3">
      <c r="A441" s="27" t="s">
        <v>101</v>
      </c>
      <c r="B441" s="34"/>
      <c r="E441" s="29" t="s">
        <v>2451</v>
      </c>
      <c r="J441" s="35"/>
    </row>
    <row r="442" spans="1:16" ht="28.8" x14ac:dyDescent="0.3">
      <c r="A442" s="27" t="s">
        <v>103</v>
      </c>
      <c r="B442" s="34"/>
      <c r="E442" s="36" t="s">
        <v>2452</v>
      </c>
      <c r="J442" s="35"/>
    </row>
    <row r="443" spans="1:16" ht="28.8" x14ac:dyDescent="0.3">
      <c r="A443" s="27" t="s">
        <v>103</v>
      </c>
      <c r="B443" s="34"/>
      <c r="E443" s="36" t="s">
        <v>2453</v>
      </c>
      <c r="J443" s="35"/>
    </row>
    <row r="444" spans="1:16" ht="28.8" x14ac:dyDescent="0.3">
      <c r="A444" s="27" t="s">
        <v>103</v>
      </c>
      <c r="B444" s="34"/>
      <c r="E444" s="36" t="s">
        <v>2454</v>
      </c>
      <c r="J444" s="35"/>
    </row>
    <row r="445" spans="1:16" ht="28.8" x14ac:dyDescent="0.3">
      <c r="A445" s="27" t="s">
        <v>103</v>
      </c>
      <c r="B445" s="34"/>
      <c r="E445" s="36" t="s">
        <v>2455</v>
      </c>
      <c r="J445" s="35"/>
    </row>
    <row r="446" spans="1:16" ht="28.8" x14ac:dyDescent="0.3">
      <c r="A446" s="27" t="s">
        <v>103</v>
      </c>
      <c r="B446" s="34"/>
      <c r="E446" s="36" t="s">
        <v>2456</v>
      </c>
      <c r="J446" s="35"/>
    </row>
    <row r="447" spans="1:16" ht="28.8" x14ac:dyDescent="0.3">
      <c r="A447" s="27" t="s">
        <v>103</v>
      </c>
      <c r="B447" s="34"/>
      <c r="E447" s="36" t="s">
        <v>2457</v>
      </c>
      <c r="J447" s="35"/>
    </row>
    <row r="448" spans="1:16" ht="28.8" x14ac:dyDescent="0.3">
      <c r="A448" s="27" t="s">
        <v>103</v>
      </c>
      <c r="B448" s="34"/>
      <c r="E448" s="36" t="s">
        <v>2458</v>
      </c>
      <c r="J448" s="35"/>
    </row>
    <row r="449" spans="1:10" ht="28.8" x14ac:dyDescent="0.3">
      <c r="A449" s="27" t="s">
        <v>103</v>
      </c>
      <c r="B449" s="34"/>
      <c r="E449" s="36" t="s">
        <v>2459</v>
      </c>
      <c r="J449" s="35"/>
    </row>
    <row r="450" spans="1:10" ht="28.8" x14ac:dyDescent="0.3">
      <c r="A450" s="27" t="s">
        <v>103</v>
      </c>
      <c r="B450" s="34"/>
      <c r="E450" s="36" t="s">
        <v>2460</v>
      </c>
      <c r="J450" s="35"/>
    </row>
    <row r="451" spans="1:10" ht="28.8" x14ac:dyDescent="0.3">
      <c r="A451" s="27" t="s">
        <v>103</v>
      </c>
      <c r="B451" s="34"/>
      <c r="E451" s="36" t="s">
        <v>2461</v>
      </c>
      <c r="J451" s="35"/>
    </row>
    <row r="452" spans="1:10" ht="28.8" x14ac:dyDescent="0.3">
      <c r="A452" s="27" t="s">
        <v>103</v>
      </c>
      <c r="B452" s="34"/>
      <c r="E452" s="36" t="s">
        <v>2462</v>
      </c>
      <c r="J452" s="35"/>
    </row>
    <row r="453" spans="1:10" ht="28.8" x14ac:dyDescent="0.3">
      <c r="A453" s="27" t="s">
        <v>103</v>
      </c>
      <c r="B453" s="34"/>
      <c r="E453" s="36" t="s">
        <v>2463</v>
      </c>
      <c r="J453" s="35"/>
    </row>
    <row r="454" spans="1:10" ht="28.8" x14ac:dyDescent="0.3">
      <c r="A454" s="27" t="s">
        <v>103</v>
      </c>
      <c r="B454" s="34"/>
      <c r="E454" s="36" t="s">
        <v>2464</v>
      </c>
      <c r="J454" s="35"/>
    </row>
    <row r="455" spans="1:10" ht="28.8" x14ac:dyDescent="0.3">
      <c r="A455" s="27" t="s">
        <v>103</v>
      </c>
      <c r="B455" s="34"/>
      <c r="E455" s="36" t="s">
        <v>2465</v>
      </c>
      <c r="J455" s="35"/>
    </row>
    <row r="456" spans="1:10" ht="28.8" x14ac:dyDescent="0.3">
      <c r="A456" s="27" t="s">
        <v>103</v>
      </c>
      <c r="B456" s="34"/>
      <c r="E456" s="36" t="s">
        <v>2466</v>
      </c>
      <c r="J456" s="35"/>
    </row>
    <row r="457" spans="1:10" ht="28.8" x14ac:dyDescent="0.3">
      <c r="A457" s="27" t="s">
        <v>103</v>
      </c>
      <c r="B457" s="34"/>
      <c r="E457" s="36" t="s">
        <v>2467</v>
      </c>
      <c r="J457" s="35"/>
    </row>
    <row r="458" spans="1:10" ht="28.8" x14ac:dyDescent="0.3">
      <c r="A458" s="27" t="s">
        <v>103</v>
      </c>
      <c r="B458" s="34"/>
      <c r="E458" s="36" t="s">
        <v>2468</v>
      </c>
      <c r="J458" s="35"/>
    </row>
    <row r="459" spans="1:10" ht="28.8" x14ac:dyDescent="0.3">
      <c r="A459" s="27" t="s">
        <v>103</v>
      </c>
      <c r="B459" s="34"/>
      <c r="E459" s="36" t="s">
        <v>2469</v>
      </c>
      <c r="J459" s="35"/>
    </row>
    <row r="460" spans="1:10" ht="28.8" x14ac:dyDescent="0.3">
      <c r="A460" s="27" t="s">
        <v>103</v>
      </c>
      <c r="B460" s="34"/>
      <c r="E460" s="36" t="s">
        <v>2470</v>
      </c>
      <c r="J460" s="35"/>
    </row>
    <row r="461" spans="1:10" ht="28.8" x14ac:dyDescent="0.3">
      <c r="A461" s="27" t="s">
        <v>103</v>
      </c>
      <c r="B461" s="34"/>
      <c r="E461" s="36" t="s">
        <v>2471</v>
      </c>
      <c r="J461" s="35"/>
    </row>
    <row r="462" spans="1:10" ht="28.8" x14ac:dyDescent="0.3">
      <c r="A462" s="27" t="s">
        <v>103</v>
      </c>
      <c r="B462" s="34"/>
      <c r="E462" s="36" t="s">
        <v>2472</v>
      </c>
      <c r="J462" s="35"/>
    </row>
    <row r="463" spans="1:10" ht="28.8" x14ac:dyDescent="0.3">
      <c r="A463" s="27" t="s">
        <v>103</v>
      </c>
      <c r="B463" s="34"/>
      <c r="E463" s="36" t="s">
        <v>2473</v>
      </c>
      <c r="J463" s="35"/>
    </row>
    <row r="464" spans="1:10" ht="28.8" x14ac:dyDescent="0.3">
      <c r="A464" s="27" t="s">
        <v>103</v>
      </c>
      <c r="B464" s="34"/>
      <c r="E464" s="36" t="s">
        <v>2474</v>
      </c>
      <c r="J464" s="35"/>
    </row>
    <row r="465" spans="1:16" ht="28.8" x14ac:dyDescent="0.3">
      <c r="A465" s="27" t="s">
        <v>103</v>
      </c>
      <c r="B465" s="34"/>
      <c r="E465" s="36" t="s">
        <v>2475</v>
      </c>
      <c r="J465" s="35"/>
    </row>
    <row r="466" spans="1:16" ht="28.8" x14ac:dyDescent="0.3">
      <c r="A466" s="27" t="s">
        <v>103</v>
      </c>
      <c r="B466" s="34"/>
      <c r="E466" s="36" t="s">
        <v>2476</v>
      </c>
      <c r="J466" s="35"/>
    </row>
    <row r="467" spans="1:16" ht="28.8" x14ac:dyDescent="0.3">
      <c r="A467" s="27" t="s">
        <v>103</v>
      </c>
      <c r="B467" s="34"/>
      <c r="E467" s="36" t="s">
        <v>2477</v>
      </c>
      <c r="J467" s="35"/>
    </row>
    <row r="468" spans="1:16" ht="28.8" x14ac:dyDescent="0.3">
      <c r="A468" s="27" t="s">
        <v>103</v>
      </c>
      <c r="B468" s="34"/>
      <c r="E468" s="36" t="s">
        <v>2478</v>
      </c>
      <c r="J468" s="35"/>
    </row>
    <row r="469" spans="1:16" ht="28.8" x14ac:dyDescent="0.3">
      <c r="A469" s="27" t="s">
        <v>103</v>
      </c>
      <c r="B469" s="34"/>
      <c r="E469" s="36" t="s">
        <v>2479</v>
      </c>
      <c r="J469" s="35"/>
    </row>
    <row r="470" spans="1:16" x14ac:dyDescent="0.3">
      <c r="A470" s="27" t="s">
        <v>103</v>
      </c>
      <c r="B470" s="34"/>
      <c r="E470" s="36" t="s">
        <v>2480</v>
      </c>
      <c r="J470" s="35"/>
    </row>
    <row r="471" spans="1:16" ht="57.6" x14ac:dyDescent="0.3">
      <c r="A471" s="27" t="s">
        <v>105</v>
      </c>
      <c r="B471" s="34"/>
      <c r="E471" s="29" t="s">
        <v>696</v>
      </c>
      <c r="J471" s="35"/>
    </row>
    <row r="472" spans="1:16" x14ac:dyDescent="0.3">
      <c r="A472" s="27" t="s">
        <v>95</v>
      </c>
      <c r="B472" s="27">
        <v>22</v>
      </c>
      <c r="C472" s="28" t="s">
        <v>2481</v>
      </c>
      <c r="D472" s="27" t="s">
        <v>97</v>
      </c>
      <c r="E472" s="29" t="s">
        <v>2482</v>
      </c>
      <c r="F472" s="30" t="s">
        <v>229</v>
      </c>
      <c r="G472" s="31">
        <v>8.48</v>
      </c>
      <c r="H472" s="32">
        <v>0</v>
      </c>
      <c r="I472" s="32">
        <f>ROUND(8.48*H472,P4)</f>
        <v>0</v>
      </c>
      <c r="J472" s="30" t="s">
        <v>118</v>
      </c>
      <c r="O472" s="33">
        <f>I472*0.21</f>
        <v>0</v>
      </c>
      <c r="P472">
        <v>3</v>
      </c>
    </row>
    <row r="473" spans="1:16" ht="158.4" x14ac:dyDescent="0.3">
      <c r="A473" s="27" t="s">
        <v>101</v>
      </c>
      <c r="B473" s="34"/>
      <c r="E473" s="29" t="s">
        <v>2483</v>
      </c>
      <c r="J473" s="35"/>
    </row>
    <row r="474" spans="1:16" ht="28.8" x14ac:dyDescent="0.3">
      <c r="A474" s="27" t="s">
        <v>103</v>
      </c>
      <c r="B474" s="34"/>
      <c r="E474" s="36" t="s">
        <v>2484</v>
      </c>
      <c r="J474" s="35"/>
    </row>
    <row r="475" spans="1:16" ht="28.8" x14ac:dyDescent="0.3">
      <c r="A475" s="27" t="s">
        <v>103</v>
      </c>
      <c r="B475" s="34"/>
      <c r="E475" s="36" t="s">
        <v>2485</v>
      </c>
      <c r="J475" s="35"/>
    </row>
    <row r="476" spans="1:16" ht="28.8" x14ac:dyDescent="0.3">
      <c r="A476" s="27" t="s">
        <v>103</v>
      </c>
      <c r="B476" s="34"/>
      <c r="E476" s="36" t="s">
        <v>2486</v>
      </c>
      <c r="J476" s="35"/>
    </row>
    <row r="477" spans="1:16" ht="28.8" x14ac:dyDescent="0.3">
      <c r="A477" s="27" t="s">
        <v>103</v>
      </c>
      <c r="B477" s="34"/>
      <c r="E477" s="36" t="s">
        <v>2487</v>
      </c>
      <c r="J477" s="35"/>
    </row>
    <row r="478" spans="1:16" ht="28.8" x14ac:dyDescent="0.3">
      <c r="A478" s="27" t="s">
        <v>103</v>
      </c>
      <c r="B478" s="34"/>
      <c r="E478" s="36" t="s">
        <v>2488</v>
      </c>
      <c r="J478" s="35"/>
    </row>
    <row r="479" spans="1:16" ht="28.8" x14ac:dyDescent="0.3">
      <c r="A479" s="27" t="s">
        <v>103</v>
      </c>
      <c r="B479" s="34"/>
      <c r="E479" s="36" t="s">
        <v>2489</v>
      </c>
      <c r="J479" s="35"/>
    </row>
    <row r="480" spans="1:16" ht="28.8" x14ac:dyDescent="0.3">
      <c r="A480" s="27" t="s">
        <v>103</v>
      </c>
      <c r="B480" s="34"/>
      <c r="E480" s="36" t="s">
        <v>2490</v>
      </c>
      <c r="J480" s="35"/>
    </row>
    <row r="481" spans="1:16" ht="28.8" x14ac:dyDescent="0.3">
      <c r="A481" s="27" t="s">
        <v>103</v>
      </c>
      <c r="B481" s="34"/>
      <c r="E481" s="36" t="s">
        <v>2491</v>
      </c>
      <c r="J481" s="35"/>
    </row>
    <row r="482" spans="1:16" ht="28.8" x14ac:dyDescent="0.3">
      <c r="A482" s="27" t="s">
        <v>103</v>
      </c>
      <c r="B482" s="34"/>
      <c r="E482" s="36" t="s">
        <v>2492</v>
      </c>
      <c r="J482" s="35"/>
    </row>
    <row r="483" spans="1:16" ht="28.8" x14ac:dyDescent="0.3">
      <c r="A483" s="27" t="s">
        <v>103</v>
      </c>
      <c r="B483" s="34"/>
      <c r="E483" s="36" t="s">
        <v>2493</v>
      </c>
      <c r="J483" s="35"/>
    </row>
    <row r="484" spans="1:16" ht="28.8" x14ac:dyDescent="0.3">
      <c r="A484" s="27" t="s">
        <v>103</v>
      </c>
      <c r="B484" s="34"/>
      <c r="E484" s="36" t="s">
        <v>2494</v>
      </c>
      <c r="J484" s="35"/>
    </row>
    <row r="485" spans="1:16" x14ac:dyDescent="0.3">
      <c r="A485" s="27" t="s">
        <v>103</v>
      </c>
      <c r="B485" s="34"/>
      <c r="E485" s="36" t="s">
        <v>2495</v>
      </c>
      <c r="J485" s="35"/>
    </row>
    <row r="486" spans="1:16" ht="345.6" x14ac:dyDescent="0.3">
      <c r="A486" s="27" t="s">
        <v>105</v>
      </c>
      <c r="B486" s="34"/>
      <c r="E486" s="29" t="s">
        <v>2496</v>
      </c>
      <c r="J486" s="35"/>
    </row>
    <row r="487" spans="1:16" x14ac:dyDescent="0.3">
      <c r="A487" s="27" t="s">
        <v>95</v>
      </c>
      <c r="B487" s="27">
        <v>23</v>
      </c>
      <c r="C487" s="28" t="s">
        <v>2481</v>
      </c>
      <c r="D487" s="27" t="s">
        <v>107</v>
      </c>
      <c r="E487" s="29" t="s">
        <v>2482</v>
      </c>
      <c r="F487" s="30" t="s">
        <v>229</v>
      </c>
      <c r="G487" s="31">
        <v>2.3069999999999999</v>
      </c>
      <c r="H487" s="32">
        <v>0</v>
      </c>
      <c r="I487" s="32">
        <f>ROUND(2.307*H487,P4)</f>
        <v>0</v>
      </c>
      <c r="J487" s="30" t="s">
        <v>118</v>
      </c>
      <c r="O487" s="33">
        <f>I487*0.21</f>
        <v>0</v>
      </c>
      <c r="P487">
        <v>3</v>
      </c>
    </row>
    <row r="488" spans="1:16" ht="409.6" x14ac:dyDescent="0.3">
      <c r="A488" s="27" t="s">
        <v>101</v>
      </c>
      <c r="B488" s="34"/>
      <c r="E488" s="29" t="s">
        <v>2497</v>
      </c>
      <c r="J488" s="35"/>
    </row>
    <row r="489" spans="1:16" ht="28.8" x14ac:dyDescent="0.3">
      <c r="A489" s="27" t="s">
        <v>103</v>
      </c>
      <c r="B489" s="34"/>
      <c r="E489" s="36" t="s">
        <v>2498</v>
      </c>
      <c r="J489" s="35"/>
    </row>
    <row r="490" spans="1:16" ht="28.8" x14ac:dyDescent="0.3">
      <c r="A490" s="27" t="s">
        <v>103</v>
      </c>
      <c r="B490" s="34"/>
      <c r="E490" s="36" t="s">
        <v>2499</v>
      </c>
      <c r="J490" s="35"/>
    </row>
    <row r="491" spans="1:16" ht="28.8" x14ac:dyDescent="0.3">
      <c r="A491" s="27" t="s">
        <v>103</v>
      </c>
      <c r="B491" s="34"/>
      <c r="E491" s="36" t="s">
        <v>2500</v>
      </c>
      <c r="J491" s="35"/>
    </row>
    <row r="492" spans="1:16" ht="28.8" x14ac:dyDescent="0.3">
      <c r="A492" s="27" t="s">
        <v>103</v>
      </c>
      <c r="B492" s="34"/>
      <c r="E492" s="36" t="s">
        <v>2501</v>
      </c>
      <c r="J492" s="35"/>
    </row>
    <row r="493" spans="1:16" ht="28.8" x14ac:dyDescent="0.3">
      <c r="A493" s="27" t="s">
        <v>103</v>
      </c>
      <c r="B493" s="34"/>
      <c r="E493" s="36" t="s">
        <v>2502</v>
      </c>
      <c r="J493" s="35"/>
    </row>
    <row r="494" spans="1:16" ht="28.8" x14ac:dyDescent="0.3">
      <c r="A494" s="27" t="s">
        <v>103</v>
      </c>
      <c r="B494" s="34"/>
      <c r="E494" s="36" t="s">
        <v>2503</v>
      </c>
      <c r="J494" s="35"/>
    </row>
    <row r="495" spans="1:16" x14ac:dyDescent="0.3">
      <c r="A495" s="27" t="s">
        <v>103</v>
      </c>
      <c r="B495" s="34"/>
      <c r="E495" s="36" t="s">
        <v>2504</v>
      </c>
      <c r="J495" s="35"/>
    </row>
    <row r="496" spans="1:16" ht="345.6" x14ac:dyDescent="0.3">
      <c r="A496" s="27" t="s">
        <v>105</v>
      </c>
      <c r="B496" s="34"/>
      <c r="E496" s="29" t="s">
        <v>2496</v>
      </c>
      <c r="J496" s="35"/>
    </row>
    <row r="497" spans="1:16" x14ac:dyDescent="0.3">
      <c r="A497" s="27" t="s">
        <v>95</v>
      </c>
      <c r="B497" s="27">
        <v>24</v>
      </c>
      <c r="C497" s="28" t="s">
        <v>2505</v>
      </c>
      <c r="D497" s="27" t="s">
        <v>129</v>
      </c>
      <c r="E497" s="29" t="s">
        <v>2506</v>
      </c>
      <c r="F497" s="30" t="s">
        <v>229</v>
      </c>
      <c r="G497" s="31">
        <v>7.9459999999999997</v>
      </c>
      <c r="H497" s="32">
        <v>0</v>
      </c>
      <c r="I497" s="32">
        <f>ROUND(7.946*H497,P4)</f>
        <v>0</v>
      </c>
      <c r="J497" s="30" t="s">
        <v>118</v>
      </c>
      <c r="O497" s="33">
        <f>I497*0.21</f>
        <v>0</v>
      </c>
      <c r="P497">
        <v>3</v>
      </c>
    </row>
    <row r="498" spans="1:16" ht="158.4" x14ac:dyDescent="0.3">
      <c r="A498" s="27" t="s">
        <v>101</v>
      </c>
      <c r="B498" s="34"/>
      <c r="E498" s="29" t="s">
        <v>2507</v>
      </c>
      <c r="J498" s="35"/>
    </row>
    <row r="499" spans="1:16" ht="28.8" x14ac:dyDescent="0.3">
      <c r="A499" s="27" t="s">
        <v>103</v>
      </c>
      <c r="B499" s="34"/>
      <c r="E499" s="36" t="s">
        <v>2508</v>
      </c>
      <c r="J499" s="35"/>
    </row>
    <row r="500" spans="1:16" ht="28.8" x14ac:dyDescent="0.3">
      <c r="A500" s="27" t="s">
        <v>103</v>
      </c>
      <c r="B500" s="34"/>
      <c r="E500" s="36" t="s">
        <v>2509</v>
      </c>
      <c r="J500" s="35"/>
    </row>
    <row r="501" spans="1:16" ht="28.8" x14ac:dyDescent="0.3">
      <c r="A501" s="27" t="s">
        <v>103</v>
      </c>
      <c r="B501" s="34"/>
      <c r="E501" s="36" t="s">
        <v>2510</v>
      </c>
      <c r="J501" s="35"/>
    </row>
    <row r="502" spans="1:16" ht="28.8" x14ac:dyDescent="0.3">
      <c r="A502" s="27" t="s">
        <v>103</v>
      </c>
      <c r="B502" s="34"/>
      <c r="E502" s="36" t="s">
        <v>2511</v>
      </c>
      <c r="J502" s="35"/>
    </row>
    <row r="503" spans="1:16" ht="28.8" x14ac:dyDescent="0.3">
      <c r="A503" s="27" t="s">
        <v>103</v>
      </c>
      <c r="B503" s="34"/>
      <c r="E503" s="36" t="s">
        <v>2512</v>
      </c>
      <c r="J503" s="35"/>
    </row>
    <row r="504" spans="1:16" ht="28.8" x14ac:dyDescent="0.3">
      <c r="A504" s="27" t="s">
        <v>103</v>
      </c>
      <c r="B504" s="34"/>
      <c r="E504" s="36" t="s">
        <v>2513</v>
      </c>
      <c r="J504" s="35"/>
    </row>
    <row r="505" spans="1:16" ht="28.8" x14ac:dyDescent="0.3">
      <c r="A505" s="27" t="s">
        <v>103</v>
      </c>
      <c r="B505" s="34"/>
      <c r="E505" s="36" t="s">
        <v>2514</v>
      </c>
      <c r="J505" s="35"/>
    </row>
    <row r="506" spans="1:16" ht="28.8" x14ac:dyDescent="0.3">
      <c r="A506" s="27" t="s">
        <v>103</v>
      </c>
      <c r="B506" s="34"/>
      <c r="E506" s="36" t="s">
        <v>2515</v>
      </c>
      <c r="J506" s="35"/>
    </row>
    <row r="507" spans="1:16" ht="28.8" x14ac:dyDescent="0.3">
      <c r="A507" s="27" t="s">
        <v>103</v>
      </c>
      <c r="B507" s="34"/>
      <c r="E507" s="36" t="s">
        <v>2516</v>
      </c>
      <c r="J507" s="35"/>
    </row>
    <row r="508" spans="1:16" x14ac:dyDescent="0.3">
      <c r="A508" s="27" t="s">
        <v>103</v>
      </c>
      <c r="B508" s="34"/>
      <c r="E508" s="36" t="s">
        <v>2517</v>
      </c>
      <c r="J508" s="35"/>
    </row>
    <row r="509" spans="1:16" ht="72" x14ac:dyDescent="0.3">
      <c r="A509" s="27" t="s">
        <v>105</v>
      </c>
      <c r="B509" s="34"/>
      <c r="E509" s="29" t="s">
        <v>2518</v>
      </c>
      <c r="J509" s="35"/>
    </row>
    <row r="510" spans="1:16" x14ac:dyDescent="0.3">
      <c r="A510" s="27" t="s">
        <v>95</v>
      </c>
      <c r="B510" s="27">
        <v>25</v>
      </c>
      <c r="C510" s="28" t="s">
        <v>2519</v>
      </c>
      <c r="D510" s="27" t="s">
        <v>129</v>
      </c>
      <c r="E510" s="29" t="s">
        <v>2520</v>
      </c>
      <c r="F510" s="30" t="s">
        <v>229</v>
      </c>
      <c r="G510" s="31">
        <v>17.562999999999999</v>
      </c>
      <c r="H510" s="32">
        <v>0</v>
      </c>
      <c r="I510" s="32">
        <f>ROUND(17.563*H510,P4)</f>
        <v>0</v>
      </c>
      <c r="J510" s="30" t="s">
        <v>118</v>
      </c>
      <c r="O510" s="33">
        <f>I510*0.21</f>
        <v>0</v>
      </c>
      <c r="P510">
        <v>3</v>
      </c>
    </row>
    <row r="511" spans="1:16" ht="158.4" x14ac:dyDescent="0.3">
      <c r="A511" s="27" t="s">
        <v>101</v>
      </c>
      <c r="B511" s="34"/>
      <c r="E511" s="29" t="s">
        <v>2521</v>
      </c>
      <c r="J511" s="35"/>
    </row>
    <row r="512" spans="1:16" ht="28.8" x14ac:dyDescent="0.3">
      <c r="A512" s="27" t="s">
        <v>103</v>
      </c>
      <c r="B512" s="34"/>
      <c r="E512" s="36" t="s">
        <v>2522</v>
      </c>
      <c r="J512" s="35"/>
    </row>
    <row r="513" spans="1:16" ht="28.8" x14ac:dyDescent="0.3">
      <c r="A513" s="27" t="s">
        <v>103</v>
      </c>
      <c r="B513" s="34"/>
      <c r="E513" s="36" t="s">
        <v>2523</v>
      </c>
      <c r="J513" s="35"/>
    </row>
    <row r="514" spans="1:16" ht="28.8" x14ac:dyDescent="0.3">
      <c r="A514" s="27" t="s">
        <v>103</v>
      </c>
      <c r="B514" s="34"/>
      <c r="E514" s="36" t="s">
        <v>2524</v>
      </c>
      <c r="J514" s="35"/>
    </row>
    <row r="515" spans="1:16" ht="28.8" x14ac:dyDescent="0.3">
      <c r="A515" s="27" t="s">
        <v>103</v>
      </c>
      <c r="B515" s="34"/>
      <c r="E515" s="36" t="s">
        <v>2525</v>
      </c>
      <c r="J515" s="35"/>
    </row>
    <row r="516" spans="1:16" ht="28.8" x14ac:dyDescent="0.3">
      <c r="A516" s="27" t="s">
        <v>103</v>
      </c>
      <c r="B516" s="34"/>
      <c r="E516" s="36" t="s">
        <v>2526</v>
      </c>
      <c r="J516" s="35"/>
    </row>
    <row r="517" spans="1:16" ht="28.8" x14ac:dyDescent="0.3">
      <c r="A517" s="27" t="s">
        <v>103</v>
      </c>
      <c r="B517" s="34"/>
      <c r="E517" s="36" t="s">
        <v>2527</v>
      </c>
      <c r="J517" s="35"/>
    </row>
    <row r="518" spans="1:16" ht="28.8" x14ac:dyDescent="0.3">
      <c r="A518" s="27" t="s">
        <v>103</v>
      </c>
      <c r="B518" s="34"/>
      <c r="E518" s="36" t="s">
        <v>2528</v>
      </c>
      <c r="J518" s="35"/>
    </row>
    <row r="519" spans="1:16" ht="28.8" x14ac:dyDescent="0.3">
      <c r="A519" s="27" t="s">
        <v>103</v>
      </c>
      <c r="B519" s="34"/>
      <c r="E519" s="36" t="s">
        <v>2529</v>
      </c>
      <c r="J519" s="35"/>
    </row>
    <row r="520" spans="1:16" ht="28.8" x14ac:dyDescent="0.3">
      <c r="A520" s="27" t="s">
        <v>103</v>
      </c>
      <c r="B520" s="34"/>
      <c r="E520" s="36" t="s">
        <v>2530</v>
      </c>
      <c r="J520" s="35"/>
    </row>
    <row r="521" spans="1:16" ht="28.8" x14ac:dyDescent="0.3">
      <c r="A521" s="27" t="s">
        <v>103</v>
      </c>
      <c r="B521" s="34"/>
      <c r="E521" s="36" t="s">
        <v>2531</v>
      </c>
      <c r="J521" s="35"/>
    </row>
    <row r="522" spans="1:16" ht="28.8" x14ac:dyDescent="0.3">
      <c r="A522" s="27" t="s">
        <v>103</v>
      </c>
      <c r="B522" s="34"/>
      <c r="E522" s="36" t="s">
        <v>2532</v>
      </c>
      <c r="J522" s="35"/>
    </row>
    <row r="523" spans="1:16" ht="28.8" x14ac:dyDescent="0.3">
      <c r="A523" s="27" t="s">
        <v>103</v>
      </c>
      <c r="B523" s="34"/>
      <c r="E523" s="36" t="s">
        <v>2533</v>
      </c>
      <c r="J523" s="35"/>
    </row>
    <row r="524" spans="1:16" ht="28.8" x14ac:dyDescent="0.3">
      <c r="A524" s="27" t="s">
        <v>103</v>
      </c>
      <c r="B524" s="34"/>
      <c r="E524" s="36" t="s">
        <v>2534</v>
      </c>
      <c r="J524" s="35"/>
    </row>
    <row r="525" spans="1:16" x14ac:dyDescent="0.3">
      <c r="A525" s="27" t="s">
        <v>103</v>
      </c>
      <c r="B525" s="34"/>
      <c r="E525" s="36" t="s">
        <v>2535</v>
      </c>
      <c r="J525" s="35"/>
    </row>
    <row r="526" spans="1:16" ht="129.6" x14ac:dyDescent="0.3">
      <c r="A526" s="27" t="s">
        <v>105</v>
      </c>
      <c r="B526" s="34"/>
      <c r="E526" s="29" t="s">
        <v>2536</v>
      </c>
      <c r="J526" s="35"/>
    </row>
    <row r="527" spans="1:16" x14ac:dyDescent="0.3">
      <c r="A527" s="21" t="s">
        <v>92</v>
      </c>
      <c r="B527" s="22"/>
      <c r="C527" s="23" t="s">
        <v>1179</v>
      </c>
      <c r="D527" s="24"/>
      <c r="E527" s="21" t="s">
        <v>1180</v>
      </c>
      <c r="F527" s="24"/>
      <c r="G527" s="24"/>
      <c r="H527" s="24"/>
      <c r="I527" s="25">
        <f>SUMIFS(I528:I671,A528:A671,"P")</f>
        <v>0</v>
      </c>
      <c r="J527" s="26"/>
    </row>
    <row r="528" spans="1:16" x14ac:dyDescent="0.3">
      <c r="A528" s="27" t="s">
        <v>95</v>
      </c>
      <c r="B528" s="27">
        <v>26</v>
      </c>
      <c r="C528" s="28" t="s">
        <v>2537</v>
      </c>
      <c r="D528" s="27" t="s">
        <v>129</v>
      </c>
      <c r="E528" s="29" t="s">
        <v>2538</v>
      </c>
      <c r="F528" s="30" t="s">
        <v>237</v>
      </c>
      <c r="G528" s="31">
        <v>214.33</v>
      </c>
      <c r="H528" s="32">
        <v>0</v>
      </c>
      <c r="I528" s="32">
        <f>ROUND(214.33*H528,P4)</f>
        <v>0</v>
      </c>
      <c r="J528" s="30" t="s">
        <v>118</v>
      </c>
      <c r="O528" s="33">
        <f>I528*0.21</f>
        <v>0</v>
      </c>
      <c r="P528">
        <v>3</v>
      </c>
    </row>
    <row r="529" spans="1:10" ht="302.39999999999998" x14ac:dyDescent="0.3">
      <c r="A529" s="27" t="s">
        <v>101</v>
      </c>
      <c r="B529" s="34"/>
      <c r="E529" s="29" t="s">
        <v>2539</v>
      </c>
      <c r="J529" s="35"/>
    </row>
    <row r="530" spans="1:10" x14ac:dyDescent="0.3">
      <c r="A530" s="27" t="s">
        <v>103</v>
      </c>
      <c r="B530" s="34"/>
      <c r="E530" s="36" t="s">
        <v>2540</v>
      </c>
      <c r="J530" s="35"/>
    </row>
    <row r="531" spans="1:10" x14ac:dyDescent="0.3">
      <c r="A531" s="27" t="s">
        <v>103</v>
      </c>
      <c r="B531" s="34"/>
      <c r="E531" s="36" t="s">
        <v>2541</v>
      </c>
      <c r="J531" s="35"/>
    </row>
    <row r="532" spans="1:10" ht="28.8" x14ac:dyDescent="0.3">
      <c r="A532" s="27" t="s">
        <v>103</v>
      </c>
      <c r="B532" s="34"/>
      <c r="E532" s="36" t="s">
        <v>2542</v>
      </c>
      <c r="J532" s="35"/>
    </row>
    <row r="533" spans="1:10" x14ac:dyDescent="0.3">
      <c r="A533" s="27" t="s">
        <v>103</v>
      </c>
      <c r="B533" s="34"/>
      <c r="E533" s="36" t="s">
        <v>2543</v>
      </c>
      <c r="J533" s="35"/>
    </row>
    <row r="534" spans="1:10" x14ac:dyDescent="0.3">
      <c r="A534" s="27" t="s">
        <v>103</v>
      </c>
      <c r="B534" s="34"/>
      <c r="E534" s="36" t="s">
        <v>2544</v>
      </c>
      <c r="J534" s="35"/>
    </row>
    <row r="535" spans="1:10" x14ac:dyDescent="0.3">
      <c r="A535" s="27" t="s">
        <v>103</v>
      </c>
      <c r="B535" s="34"/>
      <c r="E535" s="36" t="s">
        <v>2545</v>
      </c>
      <c r="J535" s="35"/>
    </row>
    <row r="536" spans="1:10" x14ac:dyDescent="0.3">
      <c r="A536" s="27" t="s">
        <v>103</v>
      </c>
      <c r="B536" s="34"/>
      <c r="E536" s="36" t="s">
        <v>2546</v>
      </c>
      <c r="J536" s="35"/>
    </row>
    <row r="537" spans="1:10" ht="28.8" x14ac:dyDescent="0.3">
      <c r="A537" s="27" t="s">
        <v>103</v>
      </c>
      <c r="B537" s="34"/>
      <c r="E537" s="36" t="s">
        <v>2547</v>
      </c>
      <c r="J537" s="35"/>
    </row>
    <row r="538" spans="1:10" x14ac:dyDescent="0.3">
      <c r="A538" s="27" t="s">
        <v>103</v>
      </c>
      <c r="B538" s="34"/>
      <c r="E538" s="36" t="s">
        <v>2548</v>
      </c>
      <c r="J538" s="35"/>
    </row>
    <row r="539" spans="1:10" x14ac:dyDescent="0.3">
      <c r="A539" s="27" t="s">
        <v>103</v>
      </c>
      <c r="B539" s="34"/>
      <c r="E539" s="36" t="s">
        <v>2549</v>
      </c>
      <c r="J539" s="35"/>
    </row>
    <row r="540" spans="1:10" x14ac:dyDescent="0.3">
      <c r="A540" s="27" t="s">
        <v>103</v>
      </c>
      <c r="B540" s="34"/>
      <c r="E540" s="36" t="s">
        <v>2550</v>
      </c>
      <c r="J540" s="35"/>
    </row>
    <row r="541" spans="1:10" x14ac:dyDescent="0.3">
      <c r="A541" s="27" t="s">
        <v>103</v>
      </c>
      <c r="B541" s="34"/>
      <c r="E541" s="36" t="s">
        <v>2551</v>
      </c>
      <c r="J541" s="35"/>
    </row>
    <row r="542" spans="1:10" ht="28.8" x14ac:dyDescent="0.3">
      <c r="A542" s="27" t="s">
        <v>103</v>
      </c>
      <c r="B542" s="34"/>
      <c r="E542" s="36" t="s">
        <v>2552</v>
      </c>
      <c r="J542" s="35"/>
    </row>
    <row r="543" spans="1:10" ht="28.8" x14ac:dyDescent="0.3">
      <c r="A543" s="27" t="s">
        <v>103</v>
      </c>
      <c r="B543" s="34"/>
      <c r="E543" s="36" t="s">
        <v>2553</v>
      </c>
      <c r="J543" s="35"/>
    </row>
    <row r="544" spans="1:10" ht="28.8" x14ac:dyDescent="0.3">
      <c r="A544" s="27" t="s">
        <v>103</v>
      </c>
      <c r="B544" s="34"/>
      <c r="E544" s="36" t="s">
        <v>2554</v>
      </c>
      <c r="J544" s="35"/>
    </row>
    <row r="545" spans="1:16" x14ac:dyDescent="0.3">
      <c r="A545" s="27" t="s">
        <v>103</v>
      </c>
      <c r="B545" s="34"/>
      <c r="E545" s="36" t="s">
        <v>2555</v>
      </c>
      <c r="J545" s="35"/>
    </row>
    <row r="546" spans="1:16" x14ac:dyDescent="0.3">
      <c r="A546" s="27" t="s">
        <v>103</v>
      </c>
      <c r="B546" s="34"/>
      <c r="E546" s="36" t="s">
        <v>2556</v>
      </c>
      <c r="J546" s="35"/>
    </row>
    <row r="547" spans="1:16" x14ac:dyDescent="0.3">
      <c r="A547" s="27" t="s">
        <v>103</v>
      </c>
      <c r="B547" s="34"/>
      <c r="E547" s="36" t="s">
        <v>2557</v>
      </c>
      <c r="J547" s="35"/>
    </row>
    <row r="548" spans="1:16" ht="28.8" x14ac:dyDescent="0.3">
      <c r="A548" s="27" t="s">
        <v>103</v>
      </c>
      <c r="B548" s="34"/>
      <c r="E548" s="36" t="s">
        <v>2558</v>
      </c>
      <c r="J548" s="35"/>
    </row>
    <row r="549" spans="1:16" ht="28.8" x14ac:dyDescent="0.3">
      <c r="A549" s="27" t="s">
        <v>103</v>
      </c>
      <c r="B549" s="34"/>
      <c r="E549" s="36" t="s">
        <v>2559</v>
      </c>
      <c r="J549" s="35"/>
    </row>
    <row r="550" spans="1:16" x14ac:dyDescent="0.3">
      <c r="A550" s="27" t="s">
        <v>103</v>
      </c>
      <c r="B550" s="34"/>
      <c r="E550" s="36" t="s">
        <v>2560</v>
      </c>
      <c r="J550" s="35"/>
    </row>
    <row r="551" spans="1:16" ht="28.8" x14ac:dyDescent="0.3">
      <c r="A551" s="27" t="s">
        <v>103</v>
      </c>
      <c r="B551" s="34"/>
      <c r="E551" s="36" t="s">
        <v>2561</v>
      </c>
      <c r="J551" s="35"/>
    </row>
    <row r="552" spans="1:16" x14ac:dyDescent="0.3">
      <c r="A552" s="27" t="s">
        <v>103</v>
      </c>
      <c r="B552" s="34"/>
      <c r="E552" s="36" t="s">
        <v>2562</v>
      </c>
      <c r="J552" s="35"/>
    </row>
    <row r="553" spans="1:16" x14ac:dyDescent="0.3">
      <c r="A553" s="27" t="s">
        <v>103</v>
      </c>
      <c r="B553" s="34"/>
      <c r="E553" s="36" t="s">
        <v>2563</v>
      </c>
      <c r="J553" s="35"/>
    </row>
    <row r="554" spans="1:16" ht="28.8" x14ac:dyDescent="0.3">
      <c r="A554" s="27" t="s">
        <v>103</v>
      </c>
      <c r="B554" s="34"/>
      <c r="E554" s="36" t="s">
        <v>2564</v>
      </c>
      <c r="J554" s="35"/>
    </row>
    <row r="555" spans="1:16" x14ac:dyDescent="0.3">
      <c r="A555" s="27" t="s">
        <v>103</v>
      </c>
      <c r="B555" s="34"/>
      <c r="E555" s="36" t="s">
        <v>2565</v>
      </c>
      <c r="J555" s="35"/>
    </row>
    <row r="556" spans="1:16" ht="28.8" x14ac:dyDescent="0.3">
      <c r="A556" s="27" t="s">
        <v>103</v>
      </c>
      <c r="B556" s="34"/>
      <c r="E556" s="36" t="s">
        <v>2566</v>
      </c>
      <c r="J556" s="35"/>
    </row>
    <row r="557" spans="1:16" x14ac:dyDescent="0.3">
      <c r="A557" s="27" t="s">
        <v>103</v>
      </c>
      <c r="B557" s="34"/>
      <c r="E557" s="36" t="s">
        <v>2567</v>
      </c>
      <c r="J557" s="35"/>
    </row>
    <row r="558" spans="1:16" ht="316.8" x14ac:dyDescent="0.3">
      <c r="A558" s="27" t="s">
        <v>105</v>
      </c>
      <c r="B558" s="34"/>
      <c r="E558" s="29" t="s">
        <v>2568</v>
      </c>
      <c r="J558" s="35"/>
    </row>
    <row r="559" spans="1:16" x14ac:dyDescent="0.3">
      <c r="A559" s="27" t="s">
        <v>95</v>
      </c>
      <c r="B559" s="27">
        <v>27</v>
      </c>
      <c r="C559" s="28" t="s">
        <v>2569</v>
      </c>
      <c r="D559" s="27" t="s">
        <v>129</v>
      </c>
      <c r="E559" s="29" t="s">
        <v>2570</v>
      </c>
      <c r="F559" s="30" t="s">
        <v>237</v>
      </c>
      <c r="G559" s="31">
        <v>12.28</v>
      </c>
      <c r="H559" s="32">
        <v>0</v>
      </c>
      <c r="I559" s="32">
        <f>ROUND(12.28*H559,P4)</f>
        <v>0</v>
      </c>
      <c r="J559" s="30" t="s">
        <v>118</v>
      </c>
      <c r="O559" s="33">
        <f>I559*0.21</f>
        <v>0</v>
      </c>
      <c r="P559">
        <v>3</v>
      </c>
    </row>
    <row r="560" spans="1:16" ht="302.39999999999998" x14ac:dyDescent="0.3">
      <c r="A560" s="27" t="s">
        <v>101</v>
      </c>
      <c r="B560" s="34"/>
      <c r="E560" s="29" t="s">
        <v>2571</v>
      </c>
      <c r="J560" s="35"/>
    </row>
    <row r="561" spans="1:16" ht="28.8" x14ac:dyDescent="0.3">
      <c r="A561" s="27" t="s">
        <v>103</v>
      </c>
      <c r="B561" s="34"/>
      <c r="E561" s="36" t="s">
        <v>2572</v>
      </c>
      <c r="J561" s="35"/>
    </row>
    <row r="562" spans="1:16" x14ac:dyDescent="0.3">
      <c r="A562" s="27" t="s">
        <v>103</v>
      </c>
      <c r="B562" s="34"/>
      <c r="E562" s="36" t="s">
        <v>2573</v>
      </c>
      <c r="J562" s="35"/>
    </row>
    <row r="563" spans="1:16" ht="316.8" x14ac:dyDescent="0.3">
      <c r="A563" s="27" t="s">
        <v>105</v>
      </c>
      <c r="B563" s="34"/>
      <c r="E563" s="29" t="s">
        <v>2568</v>
      </c>
      <c r="J563" s="35"/>
    </row>
    <row r="564" spans="1:16" x14ac:dyDescent="0.3">
      <c r="A564" s="27" t="s">
        <v>95</v>
      </c>
      <c r="B564" s="27">
        <v>28</v>
      </c>
      <c r="C564" s="28" t="s">
        <v>2574</v>
      </c>
      <c r="D564" s="27" t="s">
        <v>129</v>
      </c>
      <c r="E564" s="29" t="s">
        <v>2575</v>
      </c>
      <c r="F564" s="30" t="s">
        <v>237</v>
      </c>
      <c r="G564" s="31">
        <v>23.5</v>
      </c>
      <c r="H564" s="32">
        <v>0</v>
      </c>
      <c r="I564" s="32">
        <f>ROUND(23.5*H564,P4)</f>
        <v>0</v>
      </c>
      <c r="J564" s="30" t="s">
        <v>118</v>
      </c>
      <c r="O564" s="33">
        <f>I564*0.21</f>
        <v>0</v>
      </c>
      <c r="P564">
        <v>3</v>
      </c>
    </row>
    <row r="565" spans="1:16" ht="302.39999999999998" x14ac:dyDescent="0.3">
      <c r="A565" s="27" t="s">
        <v>101</v>
      </c>
      <c r="B565" s="34"/>
      <c r="E565" s="29" t="s">
        <v>2576</v>
      </c>
      <c r="J565" s="35"/>
    </row>
    <row r="566" spans="1:16" x14ac:dyDescent="0.3">
      <c r="A566" s="27" t="s">
        <v>103</v>
      </c>
      <c r="B566" s="34"/>
      <c r="E566" s="36" t="s">
        <v>2577</v>
      </c>
      <c r="J566" s="35"/>
    </row>
    <row r="567" spans="1:16" x14ac:dyDescent="0.3">
      <c r="A567" s="27" t="s">
        <v>103</v>
      </c>
      <c r="B567" s="34"/>
      <c r="E567" s="36" t="s">
        <v>2578</v>
      </c>
      <c r="J567" s="35"/>
    </row>
    <row r="568" spans="1:16" ht="316.8" x14ac:dyDescent="0.3">
      <c r="A568" s="27" t="s">
        <v>105</v>
      </c>
      <c r="B568" s="34"/>
      <c r="E568" s="29" t="s">
        <v>2568</v>
      </c>
      <c r="J568" s="35"/>
    </row>
    <row r="569" spans="1:16" x14ac:dyDescent="0.3">
      <c r="A569" s="27" t="s">
        <v>95</v>
      </c>
      <c r="B569" s="27">
        <v>29</v>
      </c>
      <c r="C569" s="28" t="s">
        <v>2579</v>
      </c>
      <c r="D569" s="27" t="s">
        <v>129</v>
      </c>
      <c r="E569" s="29" t="s">
        <v>2580</v>
      </c>
      <c r="F569" s="30" t="s">
        <v>237</v>
      </c>
      <c r="G569" s="31">
        <v>24.81</v>
      </c>
      <c r="H569" s="32">
        <v>0</v>
      </c>
      <c r="I569" s="32">
        <f>ROUND(24.81*H569,P4)</f>
        <v>0</v>
      </c>
      <c r="J569" s="30" t="s">
        <v>118</v>
      </c>
      <c r="O569" s="33">
        <f>I569*0.21</f>
        <v>0</v>
      </c>
      <c r="P569">
        <v>3</v>
      </c>
    </row>
    <row r="570" spans="1:16" ht="302.39999999999998" x14ac:dyDescent="0.3">
      <c r="A570" s="27" t="s">
        <v>101</v>
      </c>
      <c r="B570" s="34"/>
      <c r="E570" s="29" t="s">
        <v>2581</v>
      </c>
      <c r="J570" s="35"/>
    </row>
    <row r="571" spans="1:16" ht="28.8" x14ac:dyDescent="0.3">
      <c r="A571" s="27" t="s">
        <v>103</v>
      </c>
      <c r="B571" s="34"/>
      <c r="E571" s="36" t="s">
        <v>2582</v>
      </c>
      <c r="J571" s="35"/>
    </row>
    <row r="572" spans="1:16" x14ac:dyDescent="0.3">
      <c r="A572" s="27" t="s">
        <v>103</v>
      </c>
      <c r="B572" s="34"/>
      <c r="E572" s="36" t="s">
        <v>2583</v>
      </c>
      <c r="J572" s="35"/>
    </row>
    <row r="573" spans="1:16" ht="316.8" x14ac:dyDescent="0.3">
      <c r="A573" s="27" t="s">
        <v>105</v>
      </c>
      <c r="B573" s="34"/>
      <c r="E573" s="29" t="s">
        <v>2568</v>
      </c>
      <c r="J573" s="35"/>
    </row>
    <row r="574" spans="1:16" x14ac:dyDescent="0.3">
      <c r="A574" s="27" t="s">
        <v>95</v>
      </c>
      <c r="B574" s="27">
        <v>30</v>
      </c>
      <c r="C574" s="28" t="s">
        <v>2579</v>
      </c>
      <c r="D574" s="27" t="s">
        <v>1198</v>
      </c>
      <c r="E574" s="29" t="s">
        <v>2584</v>
      </c>
      <c r="F574" s="30" t="s">
        <v>2585</v>
      </c>
      <c r="G574" s="31">
        <v>25.57</v>
      </c>
      <c r="H574" s="32">
        <v>0</v>
      </c>
      <c r="I574" s="32">
        <f>ROUND(25.57*H574,P4)</f>
        <v>0</v>
      </c>
      <c r="J574" s="30" t="s">
        <v>1200</v>
      </c>
      <c r="O574" s="33">
        <f>I574*0.21</f>
        <v>0</v>
      </c>
      <c r="P574">
        <v>3</v>
      </c>
    </row>
    <row r="575" spans="1:16" ht="302.39999999999998" x14ac:dyDescent="0.3">
      <c r="A575" s="27" t="s">
        <v>101</v>
      </c>
      <c r="B575" s="34"/>
      <c r="E575" s="29" t="s">
        <v>2586</v>
      </c>
      <c r="J575" s="35"/>
    </row>
    <row r="576" spans="1:16" ht="28.8" x14ac:dyDescent="0.3">
      <c r="A576" s="27" t="s">
        <v>103</v>
      </c>
      <c r="B576" s="34"/>
      <c r="E576" s="36" t="s">
        <v>2587</v>
      </c>
      <c r="J576" s="35"/>
    </row>
    <row r="577" spans="1:16" x14ac:dyDescent="0.3">
      <c r="A577" s="27" t="s">
        <v>103</v>
      </c>
      <c r="B577" s="34"/>
      <c r="E577" s="36" t="s">
        <v>2588</v>
      </c>
      <c r="J577" s="35"/>
    </row>
    <row r="578" spans="1:16" ht="331.2" x14ac:dyDescent="0.3">
      <c r="A578" s="27" t="s">
        <v>105</v>
      </c>
      <c r="B578" s="34"/>
      <c r="E578" s="29" t="s">
        <v>2589</v>
      </c>
      <c r="J578" s="35"/>
    </row>
    <row r="579" spans="1:16" x14ac:dyDescent="0.3">
      <c r="A579" s="27" t="s">
        <v>95</v>
      </c>
      <c r="B579" s="27">
        <v>31</v>
      </c>
      <c r="C579" s="28" t="s">
        <v>2590</v>
      </c>
      <c r="D579" s="27" t="s">
        <v>97</v>
      </c>
      <c r="E579" s="29" t="s">
        <v>2591</v>
      </c>
      <c r="F579" s="30" t="s">
        <v>117</v>
      </c>
      <c r="G579" s="31">
        <v>4</v>
      </c>
      <c r="H579" s="32">
        <v>0</v>
      </c>
      <c r="I579" s="32">
        <f>ROUND(4*H579,P4)</f>
        <v>0</v>
      </c>
      <c r="J579" s="30" t="s">
        <v>118</v>
      </c>
      <c r="O579" s="33">
        <f>I579*0.21</f>
        <v>0</v>
      </c>
      <c r="P579">
        <v>3</v>
      </c>
    </row>
    <row r="580" spans="1:16" ht="288" x14ac:dyDescent="0.3">
      <c r="A580" s="27" t="s">
        <v>101</v>
      </c>
      <c r="B580" s="34"/>
      <c r="E580" s="29" t="s">
        <v>2592</v>
      </c>
      <c r="J580" s="35"/>
    </row>
    <row r="581" spans="1:16" x14ac:dyDescent="0.3">
      <c r="A581" s="27" t="s">
        <v>103</v>
      </c>
      <c r="B581" s="34"/>
      <c r="E581" s="36" t="s">
        <v>2593</v>
      </c>
      <c r="J581" s="35"/>
    </row>
    <row r="582" spans="1:16" x14ac:dyDescent="0.3">
      <c r="A582" s="27" t="s">
        <v>103</v>
      </c>
      <c r="B582" s="34"/>
      <c r="E582" s="36" t="s">
        <v>2594</v>
      </c>
      <c r="J582" s="35"/>
    </row>
    <row r="583" spans="1:16" x14ac:dyDescent="0.3">
      <c r="A583" s="27" t="s">
        <v>103</v>
      </c>
      <c r="B583" s="34"/>
      <c r="E583" s="36" t="s">
        <v>2595</v>
      </c>
      <c r="J583" s="35"/>
    </row>
    <row r="584" spans="1:16" x14ac:dyDescent="0.3">
      <c r="A584" s="27" t="s">
        <v>103</v>
      </c>
      <c r="B584" s="34"/>
      <c r="E584" s="36" t="s">
        <v>2596</v>
      </c>
      <c r="J584" s="35"/>
    </row>
    <row r="585" spans="1:16" x14ac:dyDescent="0.3">
      <c r="A585" s="27" t="s">
        <v>103</v>
      </c>
      <c r="B585" s="34"/>
      <c r="E585" s="36" t="s">
        <v>2597</v>
      </c>
      <c r="J585" s="35"/>
    </row>
    <row r="586" spans="1:16" ht="86.4" x14ac:dyDescent="0.3">
      <c r="A586" s="27" t="s">
        <v>105</v>
      </c>
      <c r="B586" s="34"/>
      <c r="E586" s="29" t="s">
        <v>2598</v>
      </c>
      <c r="J586" s="35"/>
    </row>
    <row r="587" spans="1:16" x14ac:dyDescent="0.3">
      <c r="A587" s="27" t="s">
        <v>95</v>
      </c>
      <c r="B587" s="27">
        <v>32</v>
      </c>
      <c r="C587" s="28" t="s">
        <v>2590</v>
      </c>
      <c r="D587" s="27" t="s">
        <v>107</v>
      </c>
      <c r="E587" s="29" t="s">
        <v>2591</v>
      </c>
      <c r="F587" s="30" t="s">
        <v>117</v>
      </c>
      <c r="G587" s="31">
        <v>2</v>
      </c>
      <c r="H587" s="32">
        <v>0</v>
      </c>
      <c r="I587" s="32">
        <f>ROUND(2*H587,P4)</f>
        <v>0</v>
      </c>
      <c r="J587" s="30" t="s">
        <v>118</v>
      </c>
      <c r="O587" s="33">
        <f>I587*0.21</f>
        <v>0</v>
      </c>
      <c r="P587">
        <v>3</v>
      </c>
    </row>
    <row r="588" spans="1:16" ht="288" x14ac:dyDescent="0.3">
      <c r="A588" s="27" t="s">
        <v>101</v>
      </c>
      <c r="B588" s="34"/>
      <c r="E588" s="29" t="s">
        <v>2599</v>
      </c>
      <c r="J588" s="35"/>
    </row>
    <row r="589" spans="1:16" x14ac:dyDescent="0.3">
      <c r="A589" s="27" t="s">
        <v>103</v>
      </c>
      <c r="B589" s="34"/>
      <c r="E589" s="36" t="s">
        <v>2600</v>
      </c>
      <c r="J589" s="35"/>
    </row>
    <row r="590" spans="1:16" x14ac:dyDescent="0.3">
      <c r="A590" s="27" t="s">
        <v>103</v>
      </c>
      <c r="B590" s="34"/>
      <c r="E590" s="36" t="s">
        <v>2601</v>
      </c>
      <c r="J590" s="35"/>
    </row>
    <row r="591" spans="1:16" x14ac:dyDescent="0.3">
      <c r="A591" s="27" t="s">
        <v>103</v>
      </c>
      <c r="B591" s="34"/>
      <c r="E591" s="36" t="s">
        <v>352</v>
      </c>
      <c r="J591" s="35"/>
    </row>
    <row r="592" spans="1:16" ht="86.4" x14ac:dyDescent="0.3">
      <c r="A592" s="27" t="s">
        <v>105</v>
      </c>
      <c r="B592" s="34"/>
      <c r="E592" s="29" t="s">
        <v>2598</v>
      </c>
      <c r="J592" s="35"/>
    </row>
    <row r="593" spans="1:16" x14ac:dyDescent="0.3">
      <c r="A593" s="27" t="s">
        <v>95</v>
      </c>
      <c r="B593" s="27">
        <v>33</v>
      </c>
      <c r="C593" s="28" t="s">
        <v>2590</v>
      </c>
      <c r="D593" s="27" t="s">
        <v>116</v>
      </c>
      <c r="E593" s="29" t="s">
        <v>2591</v>
      </c>
      <c r="F593" s="30" t="s">
        <v>117</v>
      </c>
      <c r="G593" s="31">
        <v>6</v>
      </c>
      <c r="H593" s="32">
        <v>0</v>
      </c>
      <c r="I593" s="32">
        <f>ROUND(6*H593,P4)</f>
        <v>0</v>
      </c>
      <c r="J593" s="30" t="s">
        <v>118</v>
      </c>
      <c r="O593" s="33">
        <f>I593*0.21</f>
        <v>0</v>
      </c>
      <c r="P593">
        <v>3</v>
      </c>
    </row>
    <row r="594" spans="1:16" ht="288" x14ac:dyDescent="0.3">
      <c r="A594" s="27" t="s">
        <v>101</v>
      </c>
      <c r="B594" s="34"/>
      <c r="E594" s="29" t="s">
        <v>2602</v>
      </c>
      <c r="J594" s="35"/>
    </row>
    <row r="595" spans="1:16" x14ac:dyDescent="0.3">
      <c r="A595" s="27" t="s">
        <v>103</v>
      </c>
      <c r="B595" s="34"/>
      <c r="E595" s="36" t="s">
        <v>2603</v>
      </c>
      <c r="J595" s="35"/>
    </row>
    <row r="596" spans="1:16" x14ac:dyDescent="0.3">
      <c r="A596" s="27" t="s">
        <v>103</v>
      </c>
      <c r="B596" s="34"/>
      <c r="E596" s="36" t="s">
        <v>2604</v>
      </c>
      <c r="J596" s="35"/>
    </row>
    <row r="597" spans="1:16" x14ac:dyDescent="0.3">
      <c r="A597" s="27" t="s">
        <v>103</v>
      </c>
      <c r="B597" s="34"/>
      <c r="E597" s="36" t="s">
        <v>2605</v>
      </c>
      <c r="J597" s="35"/>
    </row>
    <row r="598" spans="1:16" x14ac:dyDescent="0.3">
      <c r="A598" s="27" t="s">
        <v>103</v>
      </c>
      <c r="B598" s="34"/>
      <c r="E598" s="36" t="s">
        <v>2606</v>
      </c>
      <c r="J598" s="35"/>
    </row>
    <row r="599" spans="1:16" x14ac:dyDescent="0.3">
      <c r="A599" s="27" t="s">
        <v>103</v>
      </c>
      <c r="B599" s="34"/>
      <c r="E599" s="36" t="s">
        <v>2607</v>
      </c>
      <c r="J599" s="35"/>
    </row>
    <row r="600" spans="1:16" x14ac:dyDescent="0.3">
      <c r="A600" s="27" t="s">
        <v>103</v>
      </c>
      <c r="B600" s="34"/>
      <c r="E600" s="36" t="s">
        <v>2608</v>
      </c>
      <c r="J600" s="35"/>
    </row>
    <row r="601" spans="1:16" x14ac:dyDescent="0.3">
      <c r="A601" s="27" t="s">
        <v>103</v>
      </c>
      <c r="B601" s="34"/>
      <c r="E601" s="36" t="s">
        <v>2609</v>
      </c>
      <c r="J601" s="35"/>
    </row>
    <row r="602" spans="1:16" ht="86.4" x14ac:dyDescent="0.3">
      <c r="A602" s="27" t="s">
        <v>105</v>
      </c>
      <c r="B602" s="34"/>
      <c r="E602" s="29" t="s">
        <v>2598</v>
      </c>
      <c r="J602" s="35"/>
    </row>
    <row r="603" spans="1:16" x14ac:dyDescent="0.3">
      <c r="A603" s="27" t="s">
        <v>95</v>
      </c>
      <c r="B603" s="27">
        <v>34</v>
      </c>
      <c r="C603" s="28" t="s">
        <v>2590</v>
      </c>
      <c r="D603" s="27" t="s">
        <v>121</v>
      </c>
      <c r="E603" s="29" t="s">
        <v>2591</v>
      </c>
      <c r="F603" s="30" t="s">
        <v>117</v>
      </c>
      <c r="G603" s="31">
        <v>5</v>
      </c>
      <c r="H603" s="32">
        <v>0</v>
      </c>
      <c r="I603" s="32">
        <f>ROUND(5*H603,P4)</f>
        <v>0</v>
      </c>
      <c r="J603" s="30" t="s">
        <v>118</v>
      </c>
      <c r="O603" s="33">
        <f>I603*0.21</f>
        <v>0</v>
      </c>
      <c r="P603">
        <v>3</v>
      </c>
    </row>
    <row r="604" spans="1:16" ht="288" x14ac:dyDescent="0.3">
      <c r="A604" s="27" t="s">
        <v>101</v>
      </c>
      <c r="B604" s="34"/>
      <c r="E604" s="29" t="s">
        <v>2610</v>
      </c>
      <c r="J604" s="35"/>
    </row>
    <row r="605" spans="1:16" x14ac:dyDescent="0.3">
      <c r="A605" s="27" t="s">
        <v>103</v>
      </c>
      <c r="B605" s="34"/>
      <c r="E605" s="36" t="s">
        <v>2611</v>
      </c>
      <c r="J605" s="35"/>
    </row>
    <row r="606" spans="1:16" x14ac:dyDescent="0.3">
      <c r="A606" s="27" t="s">
        <v>103</v>
      </c>
      <c r="B606" s="34"/>
      <c r="E606" s="36" t="s">
        <v>2612</v>
      </c>
      <c r="J606" s="35"/>
    </row>
    <row r="607" spans="1:16" x14ac:dyDescent="0.3">
      <c r="A607" s="27" t="s">
        <v>103</v>
      </c>
      <c r="B607" s="34"/>
      <c r="E607" s="36" t="s">
        <v>2613</v>
      </c>
      <c r="J607" s="35"/>
    </row>
    <row r="608" spans="1:16" x14ac:dyDescent="0.3">
      <c r="A608" s="27" t="s">
        <v>103</v>
      </c>
      <c r="B608" s="34"/>
      <c r="E608" s="36" t="s">
        <v>2614</v>
      </c>
      <c r="J608" s="35"/>
    </row>
    <row r="609" spans="1:16" x14ac:dyDescent="0.3">
      <c r="A609" s="27" t="s">
        <v>103</v>
      </c>
      <c r="B609" s="34"/>
      <c r="E609" s="36" t="s">
        <v>2615</v>
      </c>
      <c r="J609" s="35"/>
    </row>
    <row r="610" spans="1:16" x14ac:dyDescent="0.3">
      <c r="A610" s="27" t="s">
        <v>103</v>
      </c>
      <c r="B610" s="34"/>
      <c r="E610" s="36" t="s">
        <v>2616</v>
      </c>
      <c r="J610" s="35"/>
    </row>
    <row r="611" spans="1:16" ht="86.4" x14ac:dyDescent="0.3">
      <c r="A611" s="27" t="s">
        <v>105</v>
      </c>
      <c r="B611" s="34"/>
      <c r="E611" s="29" t="s">
        <v>2598</v>
      </c>
      <c r="J611" s="35"/>
    </row>
    <row r="612" spans="1:16" x14ac:dyDescent="0.3">
      <c r="A612" s="27" t="s">
        <v>95</v>
      </c>
      <c r="B612" s="27">
        <v>35</v>
      </c>
      <c r="C612" s="28" t="s">
        <v>2590</v>
      </c>
      <c r="D612" s="27" t="s">
        <v>124</v>
      </c>
      <c r="E612" s="29" t="s">
        <v>2591</v>
      </c>
      <c r="F612" s="30" t="s">
        <v>117</v>
      </c>
      <c r="G612" s="31">
        <v>4</v>
      </c>
      <c r="H612" s="32">
        <v>0</v>
      </c>
      <c r="I612" s="32">
        <f>ROUND(4*H612,P4)</f>
        <v>0</v>
      </c>
      <c r="J612" s="30" t="s">
        <v>118</v>
      </c>
      <c r="O612" s="33">
        <f>I612*0.21</f>
        <v>0</v>
      </c>
      <c r="P612">
        <v>3</v>
      </c>
    </row>
    <row r="613" spans="1:16" ht="288" x14ac:dyDescent="0.3">
      <c r="A613" s="27" t="s">
        <v>101</v>
      </c>
      <c r="B613" s="34"/>
      <c r="E613" s="29" t="s">
        <v>2617</v>
      </c>
      <c r="J613" s="35"/>
    </row>
    <row r="614" spans="1:16" x14ac:dyDescent="0.3">
      <c r="A614" s="27" t="s">
        <v>103</v>
      </c>
      <c r="B614" s="34"/>
      <c r="E614" s="36" t="s">
        <v>2618</v>
      </c>
      <c r="J614" s="35"/>
    </row>
    <row r="615" spans="1:16" x14ac:dyDescent="0.3">
      <c r="A615" s="27" t="s">
        <v>103</v>
      </c>
      <c r="B615" s="34"/>
      <c r="E615" s="36" t="s">
        <v>2619</v>
      </c>
      <c r="J615" s="35"/>
    </row>
    <row r="616" spans="1:16" x14ac:dyDescent="0.3">
      <c r="A616" s="27" t="s">
        <v>103</v>
      </c>
      <c r="B616" s="34"/>
      <c r="E616" s="36" t="s">
        <v>2620</v>
      </c>
      <c r="J616" s="35"/>
    </row>
    <row r="617" spans="1:16" x14ac:dyDescent="0.3">
      <c r="A617" s="27" t="s">
        <v>103</v>
      </c>
      <c r="B617" s="34"/>
      <c r="E617" s="36" t="s">
        <v>2621</v>
      </c>
      <c r="J617" s="35"/>
    </row>
    <row r="618" spans="1:16" x14ac:dyDescent="0.3">
      <c r="A618" s="27" t="s">
        <v>103</v>
      </c>
      <c r="B618" s="34"/>
      <c r="E618" s="36" t="s">
        <v>2597</v>
      </c>
      <c r="J618" s="35"/>
    </row>
    <row r="619" spans="1:16" ht="86.4" x14ac:dyDescent="0.3">
      <c r="A619" s="27" t="s">
        <v>105</v>
      </c>
      <c r="B619" s="34"/>
      <c r="E619" s="29" t="s">
        <v>2598</v>
      </c>
      <c r="J619" s="35"/>
    </row>
    <row r="620" spans="1:16" x14ac:dyDescent="0.3">
      <c r="A620" s="27" t="s">
        <v>95</v>
      </c>
      <c r="B620" s="27">
        <v>36</v>
      </c>
      <c r="C620" s="28" t="s">
        <v>2590</v>
      </c>
      <c r="D620" s="27" t="s">
        <v>2622</v>
      </c>
      <c r="E620" s="29" t="s">
        <v>2591</v>
      </c>
      <c r="F620" s="30" t="s">
        <v>117</v>
      </c>
      <c r="G620" s="31">
        <v>4</v>
      </c>
      <c r="H620" s="32">
        <v>0</v>
      </c>
      <c r="I620" s="32">
        <f>ROUND(4*H620,P4)</f>
        <v>0</v>
      </c>
      <c r="J620" s="30" t="s">
        <v>118</v>
      </c>
      <c r="O620" s="33">
        <f>I620*0.21</f>
        <v>0</v>
      </c>
      <c r="P620">
        <v>3</v>
      </c>
    </row>
    <row r="621" spans="1:16" ht="302.39999999999998" x14ac:dyDescent="0.3">
      <c r="A621" s="27" t="s">
        <v>101</v>
      </c>
      <c r="B621" s="34"/>
      <c r="E621" s="29" t="s">
        <v>2623</v>
      </c>
      <c r="J621" s="35"/>
    </row>
    <row r="622" spans="1:16" x14ac:dyDescent="0.3">
      <c r="A622" s="27" t="s">
        <v>103</v>
      </c>
      <c r="B622" s="34"/>
      <c r="E622" s="36" t="s">
        <v>2624</v>
      </c>
      <c r="J622" s="35"/>
    </row>
    <row r="623" spans="1:16" x14ac:dyDescent="0.3">
      <c r="A623" s="27" t="s">
        <v>103</v>
      </c>
      <c r="B623" s="34"/>
      <c r="E623" s="36" t="s">
        <v>2625</v>
      </c>
      <c r="J623" s="35"/>
    </row>
    <row r="624" spans="1:16" x14ac:dyDescent="0.3">
      <c r="A624" s="27" t="s">
        <v>103</v>
      </c>
      <c r="B624" s="34"/>
      <c r="E624" s="36" t="s">
        <v>2626</v>
      </c>
      <c r="J624" s="35"/>
    </row>
    <row r="625" spans="1:16" x14ac:dyDescent="0.3">
      <c r="A625" s="27" t="s">
        <v>103</v>
      </c>
      <c r="B625" s="34"/>
      <c r="E625" s="36" t="s">
        <v>2627</v>
      </c>
      <c r="J625" s="35"/>
    </row>
    <row r="626" spans="1:16" x14ac:dyDescent="0.3">
      <c r="A626" s="27" t="s">
        <v>103</v>
      </c>
      <c r="B626" s="34"/>
      <c r="E626" s="36" t="s">
        <v>2597</v>
      </c>
      <c r="J626" s="35"/>
    </row>
    <row r="627" spans="1:16" ht="86.4" x14ac:dyDescent="0.3">
      <c r="A627" s="27" t="s">
        <v>105</v>
      </c>
      <c r="B627" s="34"/>
      <c r="E627" s="29" t="s">
        <v>2598</v>
      </c>
      <c r="J627" s="35"/>
    </row>
    <row r="628" spans="1:16" x14ac:dyDescent="0.3">
      <c r="A628" s="27" t="s">
        <v>95</v>
      </c>
      <c r="B628" s="27">
        <v>37</v>
      </c>
      <c r="C628" s="28" t="s">
        <v>2590</v>
      </c>
      <c r="D628" s="27" t="s">
        <v>233</v>
      </c>
      <c r="E628" s="29" t="s">
        <v>2591</v>
      </c>
      <c r="F628" s="30" t="s">
        <v>117</v>
      </c>
      <c r="G628" s="31">
        <v>3</v>
      </c>
      <c r="H628" s="32">
        <v>0</v>
      </c>
      <c r="I628" s="32">
        <f>ROUND(3*H628,P4)</f>
        <v>0</v>
      </c>
      <c r="J628" s="30" t="s">
        <v>118</v>
      </c>
      <c r="O628" s="33">
        <f>I628*0.21</f>
        <v>0</v>
      </c>
      <c r="P628">
        <v>3</v>
      </c>
    </row>
    <row r="629" spans="1:16" ht="302.39999999999998" x14ac:dyDescent="0.3">
      <c r="A629" s="27" t="s">
        <v>101</v>
      </c>
      <c r="B629" s="34"/>
      <c r="E629" s="29" t="s">
        <v>2628</v>
      </c>
      <c r="J629" s="35"/>
    </row>
    <row r="630" spans="1:16" x14ac:dyDescent="0.3">
      <c r="A630" s="27" t="s">
        <v>103</v>
      </c>
      <c r="B630" s="34"/>
      <c r="E630" s="36" t="s">
        <v>2629</v>
      </c>
      <c r="J630" s="35"/>
    </row>
    <row r="631" spans="1:16" x14ac:dyDescent="0.3">
      <c r="A631" s="27" t="s">
        <v>103</v>
      </c>
      <c r="B631" s="34"/>
      <c r="E631" s="36" t="s">
        <v>2630</v>
      </c>
      <c r="J631" s="35"/>
    </row>
    <row r="632" spans="1:16" x14ac:dyDescent="0.3">
      <c r="A632" s="27" t="s">
        <v>103</v>
      </c>
      <c r="B632" s="34"/>
      <c r="E632" s="36" t="s">
        <v>2631</v>
      </c>
      <c r="J632" s="35"/>
    </row>
    <row r="633" spans="1:16" x14ac:dyDescent="0.3">
      <c r="A633" s="27" t="s">
        <v>103</v>
      </c>
      <c r="B633" s="34"/>
      <c r="E633" s="36" t="s">
        <v>1187</v>
      </c>
      <c r="J633" s="35"/>
    </row>
    <row r="634" spans="1:16" ht="86.4" x14ac:dyDescent="0.3">
      <c r="A634" s="27" t="s">
        <v>105</v>
      </c>
      <c r="B634" s="34"/>
      <c r="E634" s="29" t="s">
        <v>2598</v>
      </c>
      <c r="J634" s="35"/>
    </row>
    <row r="635" spans="1:16" x14ac:dyDescent="0.3">
      <c r="A635" s="27" t="s">
        <v>95</v>
      </c>
      <c r="B635" s="27">
        <v>38</v>
      </c>
      <c r="C635" s="28" t="s">
        <v>2632</v>
      </c>
      <c r="D635" s="27" t="s">
        <v>129</v>
      </c>
      <c r="E635" s="29" t="s">
        <v>2633</v>
      </c>
      <c r="F635" s="30" t="s">
        <v>237</v>
      </c>
      <c r="G635" s="31">
        <v>222.89500000000001</v>
      </c>
      <c r="H635" s="32">
        <v>0</v>
      </c>
      <c r="I635" s="32">
        <f>ROUND(222.895*H635,P4)</f>
        <v>0</v>
      </c>
      <c r="J635" s="30" t="s">
        <v>118</v>
      </c>
      <c r="O635" s="33">
        <f>I635*0.21</f>
        <v>0</v>
      </c>
      <c r="P635">
        <v>3</v>
      </c>
    </row>
    <row r="636" spans="1:16" ht="302.39999999999998" x14ac:dyDescent="0.3">
      <c r="A636" s="27" t="s">
        <v>101</v>
      </c>
      <c r="B636" s="34"/>
      <c r="E636" s="29" t="s">
        <v>2634</v>
      </c>
      <c r="J636" s="35"/>
    </row>
    <row r="637" spans="1:16" ht="28.8" x14ac:dyDescent="0.3">
      <c r="A637" s="27" t="s">
        <v>103</v>
      </c>
      <c r="B637" s="34"/>
      <c r="E637" s="36" t="s">
        <v>2635</v>
      </c>
      <c r="J637" s="35"/>
    </row>
    <row r="638" spans="1:16" ht="28.8" x14ac:dyDescent="0.3">
      <c r="A638" s="27" t="s">
        <v>103</v>
      </c>
      <c r="B638" s="34"/>
      <c r="E638" s="36" t="s">
        <v>2636</v>
      </c>
      <c r="J638" s="35"/>
    </row>
    <row r="639" spans="1:16" ht="28.8" x14ac:dyDescent="0.3">
      <c r="A639" s="27" t="s">
        <v>103</v>
      </c>
      <c r="B639" s="34"/>
      <c r="E639" s="36" t="s">
        <v>2637</v>
      </c>
      <c r="J639" s="35"/>
    </row>
    <row r="640" spans="1:16" ht="28.8" x14ac:dyDescent="0.3">
      <c r="A640" s="27" t="s">
        <v>103</v>
      </c>
      <c r="B640" s="34"/>
      <c r="E640" s="36" t="s">
        <v>2638</v>
      </c>
      <c r="J640" s="35"/>
    </row>
    <row r="641" spans="1:10" ht="28.8" x14ac:dyDescent="0.3">
      <c r="A641" s="27" t="s">
        <v>103</v>
      </c>
      <c r="B641" s="34"/>
      <c r="E641" s="36" t="s">
        <v>2639</v>
      </c>
      <c r="J641" s="35"/>
    </row>
    <row r="642" spans="1:10" ht="28.8" x14ac:dyDescent="0.3">
      <c r="A642" s="27" t="s">
        <v>103</v>
      </c>
      <c r="B642" s="34"/>
      <c r="E642" s="36" t="s">
        <v>2640</v>
      </c>
      <c r="J642" s="35"/>
    </row>
    <row r="643" spans="1:10" ht="28.8" x14ac:dyDescent="0.3">
      <c r="A643" s="27" t="s">
        <v>103</v>
      </c>
      <c r="B643" s="34"/>
      <c r="E643" s="36" t="s">
        <v>2641</v>
      </c>
      <c r="J643" s="35"/>
    </row>
    <row r="644" spans="1:10" ht="28.8" x14ac:dyDescent="0.3">
      <c r="A644" s="27" t="s">
        <v>103</v>
      </c>
      <c r="B644" s="34"/>
      <c r="E644" s="36" t="s">
        <v>2642</v>
      </c>
      <c r="J644" s="35"/>
    </row>
    <row r="645" spans="1:10" ht="28.8" x14ac:dyDescent="0.3">
      <c r="A645" s="27" t="s">
        <v>103</v>
      </c>
      <c r="B645" s="34"/>
      <c r="E645" s="36" t="s">
        <v>2643</v>
      </c>
      <c r="J645" s="35"/>
    </row>
    <row r="646" spans="1:10" ht="28.8" x14ac:dyDescent="0.3">
      <c r="A646" s="27" t="s">
        <v>103</v>
      </c>
      <c r="B646" s="34"/>
      <c r="E646" s="36" t="s">
        <v>2644</v>
      </c>
      <c r="J646" s="35"/>
    </row>
    <row r="647" spans="1:10" ht="28.8" x14ac:dyDescent="0.3">
      <c r="A647" s="27" t="s">
        <v>103</v>
      </c>
      <c r="B647" s="34"/>
      <c r="E647" s="36" t="s">
        <v>2645</v>
      </c>
      <c r="J647" s="35"/>
    </row>
    <row r="648" spans="1:10" ht="28.8" x14ac:dyDescent="0.3">
      <c r="A648" s="27" t="s">
        <v>103</v>
      </c>
      <c r="B648" s="34"/>
      <c r="E648" s="36" t="s">
        <v>2646</v>
      </c>
      <c r="J648" s="35"/>
    </row>
    <row r="649" spans="1:10" ht="28.8" x14ac:dyDescent="0.3">
      <c r="A649" s="27" t="s">
        <v>103</v>
      </c>
      <c r="B649" s="34"/>
      <c r="E649" s="36" t="s">
        <v>2647</v>
      </c>
      <c r="J649" s="35"/>
    </row>
    <row r="650" spans="1:10" ht="28.8" x14ac:dyDescent="0.3">
      <c r="A650" s="27" t="s">
        <v>103</v>
      </c>
      <c r="B650" s="34"/>
      <c r="E650" s="36" t="s">
        <v>2648</v>
      </c>
      <c r="J650" s="35"/>
    </row>
    <row r="651" spans="1:10" ht="28.8" x14ac:dyDescent="0.3">
      <c r="A651" s="27" t="s">
        <v>103</v>
      </c>
      <c r="B651" s="34"/>
      <c r="E651" s="36" t="s">
        <v>2649</v>
      </c>
      <c r="J651" s="35"/>
    </row>
    <row r="652" spans="1:10" ht="28.8" x14ac:dyDescent="0.3">
      <c r="A652" s="27" t="s">
        <v>103</v>
      </c>
      <c r="B652" s="34"/>
      <c r="E652" s="36" t="s">
        <v>2650</v>
      </c>
      <c r="J652" s="35"/>
    </row>
    <row r="653" spans="1:10" ht="28.8" x14ac:dyDescent="0.3">
      <c r="A653" s="27" t="s">
        <v>103</v>
      </c>
      <c r="B653" s="34"/>
      <c r="E653" s="36" t="s">
        <v>2651</v>
      </c>
      <c r="J653" s="35"/>
    </row>
    <row r="654" spans="1:10" ht="28.8" x14ac:dyDescent="0.3">
      <c r="A654" s="27" t="s">
        <v>103</v>
      </c>
      <c r="B654" s="34"/>
      <c r="E654" s="36" t="s">
        <v>2652</v>
      </c>
      <c r="J654" s="35"/>
    </row>
    <row r="655" spans="1:10" ht="28.8" x14ac:dyDescent="0.3">
      <c r="A655" s="27" t="s">
        <v>103</v>
      </c>
      <c r="B655" s="34"/>
      <c r="E655" s="36" t="s">
        <v>2653</v>
      </c>
      <c r="J655" s="35"/>
    </row>
    <row r="656" spans="1:10" ht="28.8" x14ac:dyDescent="0.3">
      <c r="A656" s="27" t="s">
        <v>103</v>
      </c>
      <c r="B656" s="34"/>
      <c r="E656" s="36" t="s">
        <v>2654</v>
      </c>
      <c r="J656" s="35"/>
    </row>
    <row r="657" spans="1:16" ht="28.8" x14ac:dyDescent="0.3">
      <c r="A657" s="27" t="s">
        <v>103</v>
      </c>
      <c r="B657" s="34"/>
      <c r="E657" s="36" t="s">
        <v>2655</v>
      </c>
      <c r="J657" s="35"/>
    </row>
    <row r="658" spans="1:16" ht="28.8" x14ac:dyDescent="0.3">
      <c r="A658" s="27" t="s">
        <v>103</v>
      </c>
      <c r="B658" s="34"/>
      <c r="E658" s="36" t="s">
        <v>2656</v>
      </c>
      <c r="J658" s="35"/>
    </row>
    <row r="659" spans="1:16" ht="28.8" x14ac:dyDescent="0.3">
      <c r="A659" s="27" t="s">
        <v>103</v>
      </c>
      <c r="B659" s="34"/>
      <c r="E659" s="36" t="s">
        <v>2657</v>
      </c>
      <c r="J659" s="35"/>
    </row>
    <row r="660" spans="1:16" ht="28.8" x14ac:dyDescent="0.3">
      <c r="A660" s="27" t="s">
        <v>103</v>
      </c>
      <c r="B660" s="34"/>
      <c r="E660" s="36" t="s">
        <v>2658</v>
      </c>
      <c r="J660" s="35"/>
    </row>
    <row r="661" spans="1:16" x14ac:dyDescent="0.3">
      <c r="A661" s="27" t="s">
        <v>103</v>
      </c>
      <c r="B661" s="34"/>
      <c r="E661" s="36" t="s">
        <v>2659</v>
      </c>
      <c r="J661" s="35"/>
    </row>
    <row r="662" spans="1:16" ht="28.8" x14ac:dyDescent="0.3">
      <c r="A662" s="27" t="s">
        <v>103</v>
      </c>
      <c r="B662" s="34"/>
      <c r="E662" s="36" t="s">
        <v>2660</v>
      </c>
      <c r="J662" s="35"/>
    </row>
    <row r="663" spans="1:16" ht="28.8" x14ac:dyDescent="0.3">
      <c r="A663" s="27" t="s">
        <v>103</v>
      </c>
      <c r="B663" s="34"/>
      <c r="E663" s="36" t="s">
        <v>2661</v>
      </c>
      <c r="J663" s="35"/>
    </row>
    <row r="664" spans="1:16" ht="28.8" x14ac:dyDescent="0.3">
      <c r="A664" s="27" t="s">
        <v>103</v>
      </c>
      <c r="B664" s="34"/>
      <c r="E664" s="36" t="s">
        <v>2662</v>
      </c>
      <c r="J664" s="35"/>
    </row>
    <row r="665" spans="1:16" x14ac:dyDescent="0.3">
      <c r="A665" s="27" t="s">
        <v>103</v>
      </c>
      <c r="B665" s="34"/>
      <c r="E665" s="36" t="s">
        <v>2663</v>
      </c>
      <c r="J665" s="35"/>
    </row>
    <row r="666" spans="1:16" ht="43.2" x14ac:dyDescent="0.3">
      <c r="A666" s="27" t="s">
        <v>105</v>
      </c>
      <c r="B666" s="34"/>
      <c r="E666" s="29" t="s">
        <v>2664</v>
      </c>
      <c r="J666" s="35"/>
    </row>
    <row r="667" spans="1:16" x14ac:dyDescent="0.3">
      <c r="A667" s="27" t="s">
        <v>95</v>
      </c>
      <c r="B667" s="27">
        <v>39</v>
      </c>
      <c r="C667" s="28" t="s">
        <v>2665</v>
      </c>
      <c r="D667" s="27" t="s">
        <v>129</v>
      </c>
      <c r="E667" s="29" t="s">
        <v>2666</v>
      </c>
      <c r="F667" s="30" t="s">
        <v>229</v>
      </c>
      <c r="G667" s="31">
        <v>11.839</v>
      </c>
      <c r="H667" s="32">
        <v>0</v>
      </c>
      <c r="I667" s="32">
        <f>ROUND(11.839*H667,P4)</f>
        <v>0</v>
      </c>
      <c r="J667" s="30" t="s">
        <v>118</v>
      </c>
      <c r="O667" s="33">
        <f>I667*0.21</f>
        <v>0</v>
      </c>
      <c r="P667">
        <v>3</v>
      </c>
    </row>
    <row r="668" spans="1:16" ht="158.4" x14ac:dyDescent="0.3">
      <c r="A668" s="27" t="s">
        <v>101</v>
      </c>
      <c r="B668" s="34"/>
      <c r="E668" s="29" t="s">
        <v>2667</v>
      </c>
      <c r="J668" s="35"/>
    </row>
    <row r="669" spans="1:16" ht="28.8" x14ac:dyDescent="0.3">
      <c r="A669" s="27" t="s">
        <v>103</v>
      </c>
      <c r="B669" s="34"/>
      <c r="E669" s="36" t="s">
        <v>2668</v>
      </c>
      <c r="J669" s="35"/>
    </row>
    <row r="670" spans="1:16" x14ac:dyDescent="0.3">
      <c r="A670" s="27" t="s">
        <v>103</v>
      </c>
      <c r="B670" s="34"/>
      <c r="E670" s="36" t="s">
        <v>2669</v>
      </c>
      <c r="J670" s="35"/>
    </row>
    <row r="671" spans="1:16" ht="409.6" x14ac:dyDescent="0.3">
      <c r="A671" s="27" t="s">
        <v>105</v>
      </c>
      <c r="B671" s="37"/>
      <c r="C671" s="38"/>
      <c r="D671" s="38"/>
      <c r="E671" s="29" t="s">
        <v>680</v>
      </c>
      <c r="F671" s="38"/>
      <c r="G671" s="38"/>
      <c r="H671" s="38"/>
      <c r="I671" s="38"/>
      <c r="J671"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4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33</v>
      </c>
      <c r="I3" s="16">
        <f>SUMIFS(I9:I44,A9:A44,"SD")</f>
        <v>0</v>
      </c>
      <c r="J3" s="12"/>
      <c r="O3">
        <v>0</v>
      </c>
      <c r="P3">
        <v>2</v>
      </c>
    </row>
    <row r="4" spans="1:16" x14ac:dyDescent="0.3">
      <c r="A4" s="2" t="s">
        <v>79</v>
      </c>
      <c r="B4" s="13" t="s">
        <v>492</v>
      </c>
      <c r="C4" s="43" t="s">
        <v>493</v>
      </c>
      <c r="D4" s="44"/>
      <c r="E4" s="14" t="s">
        <v>494</v>
      </c>
      <c r="F4" s="2"/>
      <c r="G4" s="2"/>
      <c r="H4" s="2"/>
      <c r="I4" s="2"/>
      <c r="J4" s="12"/>
      <c r="O4">
        <v>0.15</v>
      </c>
      <c r="P4">
        <v>2</v>
      </c>
    </row>
    <row r="5" spans="1:16" x14ac:dyDescent="0.3">
      <c r="A5" s="2" t="s">
        <v>495</v>
      </c>
      <c r="B5" s="13" t="s">
        <v>80</v>
      </c>
      <c r="C5" s="43" t="s">
        <v>33</v>
      </c>
      <c r="D5" s="44"/>
      <c r="E5" s="14" t="s">
        <v>34</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SUMIFS(I10:I29,A10:A29,"P")</f>
        <v>0</v>
      </c>
      <c r="J9" s="26"/>
    </row>
    <row r="10" spans="1:16" x14ac:dyDescent="0.3">
      <c r="A10" s="27" t="s">
        <v>95</v>
      </c>
      <c r="B10" s="27">
        <v>1</v>
      </c>
      <c r="C10" s="28" t="s">
        <v>2147</v>
      </c>
      <c r="D10" s="27" t="s">
        <v>129</v>
      </c>
      <c r="E10" s="29" t="s">
        <v>2148</v>
      </c>
      <c r="F10" s="30" t="s">
        <v>229</v>
      </c>
      <c r="G10" s="31">
        <v>214.49</v>
      </c>
      <c r="H10" s="32">
        <v>0</v>
      </c>
      <c r="I10" s="32">
        <f>ROUND(214.49*H10,P4)</f>
        <v>0</v>
      </c>
      <c r="J10" s="30" t="s">
        <v>118</v>
      </c>
      <c r="O10" s="33">
        <f>I10*0.21</f>
        <v>0</v>
      </c>
      <c r="P10">
        <v>3</v>
      </c>
    </row>
    <row r="11" spans="1:16" ht="115.2" x14ac:dyDescent="0.3">
      <c r="A11" s="27" t="s">
        <v>101</v>
      </c>
      <c r="B11" s="34"/>
      <c r="E11" s="29" t="s">
        <v>2149</v>
      </c>
      <c r="J11" s="35"/>
    </row>
    <row r="12" spans="1:16" ht="28.8" x14ac:dyDescent="0.3">
      <c r="A12" s="27" t="s">
        <v>103</v>
      </c>
      <c r="B12" s="34"/>
      <c r="E12" s="36" t="s">
        <v>2670</v>
      </c>
      <c r="J12" s="35"/>
    </row>
    <row r="13" spans="1:16" x14ac:dyDescent="0.3">
      <c r="A13" s="27" t="s">
        <v>103</v>
      </c>
      <c r="B13" s="34"/>
      <c r="E13" s="36" t="s">
        <v>2671</v>
      </c>
      <c r="J13" s="35"/>
    </row>
    <row r="14" spans="1:16" ht="388.8" x14ac:dyDescent="0.3">
      <c r="A14" s="27" t="s">
        <v>105</v>
      </c>
      <c r="B14" s="34"/>
      <c r="E14" s="29" t="s">
        <v>590</v>
      </c>
      <c r="J14" s="35"/>
    </row>
    <row r="15" spans="1:16" x14ac:dyDescent="0.3">
      <c r="A15" s="27" t="s">
        <v>95</v>
      </c>
      <c r="B15" s="27">
        <v>2</v>
      </c>
      <c r="C15" s="28" t="s">
        <v>476</v>
      </c>
      <c r="D15" s="27" t="s">
        <v>129</v>
      </c>
      <c r="E15" s="29" t="s">
        <v>477</v>
      </c>
      <c r="F15" s="30" t="s">
        <v>229</v>
      </c>
      <c r="G15" s="31">
        <v>214.49</v>
      </c>
      <c r="H15" s="32">
        <v>0</v>
      </c>
      <c r="I15" s="32">
        <f>ROUND(214.49*H15,P4)</f>
        <v>0</v>
      </c>
      <c r="J15" s="30" t="s">
        <v>118</v>
      </c>
      <c r="O15" s="33">
        <f>I15*0.21</f>
        <v>0</v>
      </c>
      <c r="P15">
        <v>3</v>
      </c>
    </row>
    <row r="16" spans="1:16" ht="115.2" x14ac:dyDescent="0.3">
      <c r="A16" s="27" t="s">
        <v>101</v>
      </c>
      <c r="B16" s="34"/>
      <c r="E16" s="29" t="s">
        <v>2149</v>
      </c>
      <c r="J16" s="35"/>
    </row>
    <row r="17" spans="1:16" ht="28.8" x14ac:dyDescent="0.3">
      <c r="A17" s="27" t="s">
        <v>103</v>
      </c>
      <c r="B17" s="34"/>
      <c r="E17" s="36" t="s">
        <v>2670</v>
      </c>
      <c r="J17" s="35"/>
    </row>
    <row r="18" spans="1:16" x14ac:dyDescent="0.3">
      <c r="A18" s="27" t="s">
        <v>103</v>
      </c>
      <c r="B18" s="34"/>
      <c r="E18" s="36" t="s">
        <v>2671</v>
      </c>
      <c r="J18" s="35"/>
    </row>
    <row r="19" spans="1:16" ht="216" x14ac:dyDescent="0.3">
      <c r="A19" s="27" t="s">
        <v>105</v>
      </c>
      <c r="B19" s="34"/>
      <c r="E19" s="29" t="s">
        <v>481</v>
      </c>
      <c r="J19" s="35"/>
    </row>
    <row r="20" spans="1:16" x14ac:dyDescent="0.3">
      <c r="A20" s="27" t="s">
        <v>95</v>
      </c>
      <c r="B20" s="27">
        <v>3</v>
      </c>
      <c r="C20" s="28" t="s">
        <v>594</v>
      </c>
      <c r="D20" s="27" t="s">
        <v>107</v>
      </c>
      <c r="E20" s="29" t="s">
        <v>595</v>
      </c>
      <c r="F20" s="30" t="s">
        <v>229</v>
      </c>
      <c r="G20" s="31">
        <v>100.505</v>
      </c>
      <c r="H20" s="32">
        <v>0</v>
      </c>
      <c r="I20" s="32">
        <f>ROUND(100.505*H20,P4)</f>
        <v>0</v>
      </c>
      <c r="J20" s="30" t="s">
        <v>118</v>
      </c>
      <c r="O20" s="33">
        <f>I20*0.21</f>
        <v>0</v>
      </c>
      <c r="P20">
        <v>3</v>
      </c>
    </row>
    <row r="21" spans="1:16" ht="158.4" x14ac:dyDescent="0.3">
      <c r="A21" s="27" t="s">
        <v>101</v>
      </c>
      <c r="B21" s="34"/>
      <c r="E21" s="29" t="s">
        <v>2672</v>
      </c>
      <c r="J21" s="35"/>
    </row>
    <row r="22" spans="1:16" ht="28.8" x14ac:dyDescent="0.3">
      <c r="A22" s="27" t="s">
        <v>103</v>
      </c>
      <c r="B22" s="34"/>
      <c r="E22" s="36" t="s">
        <v>2673</v>
      </c>
      <c r="J22" s="35"/>
    </row>
    <row r="23" spans="1:16" x14ac:dyDescent="0.3">
      <c r="A23" s="27" t="s">
        <v>103</v>
      </c>
      <c r="B23" s="34"/>
      <c r="E23" s="36" t="s">
        <v>2674</v>
      </c>
      <c r="J23" s="35"/>
    </row>
    <row r="24" spans="1:16" ht="273.60000000000002" x14ac:dyDescent="0.3">
      <c r="A24" s="27" t="s">
        <v>105</v>
      </c>
      <c r="B24" s="34"/>
      <c r="E24" s="29" t="s">
        <v>609</v>
      </c>
      <c r="J24" s="35"/>
    </row>
    <row r="25" spans="1:16" x14ac:dyDescent="0.3">
      <c r="A25" s="27" t="s">
        <v>95</v>
      </c>
      <c r="B25" s="27">
        <v>4</v>
      </c>
      <c r="C25" s="28" t="s">
        <v>2313</v>
      </c>
      <c r="D25" s="27" t="s">
        <v>107</v>
      </c>
      <c r="E25" s="29" t="s">
        <v>2314</v>
      </c>
      <c r="F25" s="30" t="s">
        <v>229</v>
      </c>
      <c r="G25" s="31">
        <v>57.125999999999998</v>
      </c>
      <c r="H25" s="32">
        <v>0</v>
      </c>
      <c r="I25" s="32">
        <f>ROUND(57.126*H25,P4)</f>
        <v>0</v>
      </c>
      <c r="J25" s="30" t="s">
        <v>118</v>
      </c>
      <c r="O25" s="33">
        <f>I25*0.21</f>
        <v>0</v>
      </c>
      <c r="P25">
        <v>3</v>
      </c>
    </row>
    <row r="26" spans="1:16" ht="158.4" x14ac:dyDescent="0.3">
      <c r="A26" s="27" t="s">
        <v>101</v>
      </c>
      <c r="B26" s="34"/>
      <c r="E26" s="29" t="s">
        <v>2315</v>
      </c>
      <c r="J26" s="35"/>
    </row>
    <row r="27" spans="1:16" ht="28.8" x14ac:dyDescent="0.3">
      <c r="A27" s="27" t="s">
        <v>103</v>
      </c>
      <c r="B27" s="34"/>
      <c r="E27" s="36" t="s">
        <v>2675</v>
      </c>
      <c r="J27" s="35"/>
    </row>
    <row r="28" spans="1:16" x14ac:dyDescent="0.3">
      <c r="A28" s="27" t="s">
        <v>103</v>
      </c>
      <c r="B28" s="34"/>
      <c r="E28" s="36" t="s">
        <v>2676</v>
      </c>
      <c r="J28" s="35"/>
    </row>
    <row r="29" spans="1:16" ht="360" x14ac:dyDescent="0.3">
      <c r="A29" s="27" t="s">
        <v>105</v>
      </c>
      <c r="B29" s="34"/>
      <c r="E29" s="29" t="s">
        <v>2351</v>
      </c>
      <c r="J29" s="35"/>
    </row>
    <row r="30" spans="1:16" x14ac:dyDescent="0.3">
      <c r="A30" s="21" t="s">
        <v>92</v>
      </c>
      <c r="B30" s="22"/>
      <c r="C30" s="23" t="s">
        <v>121</v>
      </c>
      <c r="D30" s="24"/>
      <c r="E30" s="21" t="s">
        <v>669</v>
      </c>
      <c r="F30" s="24"/>
      <c r="G30" s="24"/>
      <c r="H30" s="24"/>
      <c r="I30" s="25">
        <f>SUMIFS(I31:I35,A31:A35,"P")</f>
        <v>0</v>
      </c>
      <c r="J30" s="26"/>
    </row>
    <row r="31" spans="1:16" x14ac:dyDescent="0.3">
      <c r="A31" s="27" t="s">
        <v>95</v>
      </c>
      <c r="B31" s="27">
        <v>5</v>
      </c>
      <c r="C31" s="28" t="s">
        <v>681</v>
      </c>
      <c r="D31" s="27" t="s">
        <v>116</v>
      </c>
      <c r="E31" s="29" t="s">
        <v>682</v>
      </c>
      <c r="F31" s="30" t="s">
        <v>229</v>
      </c>
      <c r="G31" s="31">
        <v>8.6999999999999993</v>
      </c>
      <c r="H31" s="32">
        <v>0</v>
      </c>
      <c r="I31" s="32">
        <f>ROUND(8.7*H31,P4)</f>
        <v>0</v>
      </c>
      <c r="J31" s="30" t="s">
        <v>118</v>
      </c>
      <c r="O31" s="33">
        <f>I31*0.21</f>
        <v>0</v>
      </c>
      <c r="P31">
        <v>3</v>
      </c>
    </row>
    <row r="32" spans="1:16" ht="158.4" x14ac:dyDescent="0.3">
      <c r="A32" s="27" t="s">
        <v>101</v>
      </c>
      <c r="B32" s="34"/>
      <c r="E32" s="29" t="s">
        <v>2451</v>
      </c>
      <c r="J32" s="35"/>
    </row>
    <row r="33" spans="1:16" ht="28.8" x14ac:dyDescent="0.3">
      <c r="A33" s="27" t="s">
        <v>103</v>
      </c>
      <c r="B33" s="34"/>
      <c r="E33" s="36" t="s">
        <v>2677</v>
      </c>
      <c r="J33" s="35"/>
    </row>
    <row r="34" spans="1:16" x14ac:dyDescent="0.3">
      <c r="A34" s="27" t="s">
        <v>103</v>
      </c>
      <c r="B34" s="34"/>
      <c r="E34" s="36" t="s">
        <v>2678</v>
      </c>
      <c r="J34" s="35"/>
    </row>
    <row r="35" spans="1:16" ht="57.6" x14ac:dyDescent="0.3">
      <c r="A35" s="27" t="s">
        <v>105</v>
      </c>
      <c r="B35" s="34"/>
      <c r="E35" s="29" t="s">
        <v>696</v>
      </c>
      <c r="J35" s="35"/>
    </row>
    <row r="36" spans="1:16" x14ac:dyDescent="0.3">
      <c r="A36" s="21" t="s">
        <v>92</v>
      </c>
      <c r="B36" s="22"/>
      <c r="C36" s="23" t="s">
        <v>1179</v>
      </c>
      <c r="D36" s="24"/>
      <c r="E36" s="21" t="s">
        <v>1180</v>
      </c>
      <c r="F36" s="24"/>
      <c r="G36" s="24"/>
      <c r="H36" s="24"/>
      <c r="I36" s="25">
        <f>SUMIFS(I37:I44,A37:A44,"P")</f>
        <v>0</v>
      </c>
      <c r="J36" s="26"/>
    </row>
    <row r="37" spans="1:16" x14ac:dyDescent="0.3">
      <c r="A37" s="27" t="s">
        <v>95</v>
      </c>
      <c r="B37" s="27">
        <v>6</v>
      </c>
      <c r="C37" s="28" t="s">
        <v>2679</v>
      </c>
      <c r="D37" s="27" t="s">
        <v>129</v>
      </c>
      <c r="E37" s="29" t="s">
        <v>2680</v>
      </c>
      <c r="F37" s="30" t="s">
        <v>237</v>
      </c>
      <c r="G37" s="31">
        <v>120</v>
      </c>
      <c r="H37" s="32">
        <v>0</v>
      </c>
      <c r="I37" s="32">
        <f>ROUND(120*H37,P4)</f>
        <v>0</v>
      </c>
      <c r="J37" s="30" t="s">
        <v>118</v>
      </c>
      <c r="O37" s="33">
        <f>I37*0.21</f>
        <v>0</v>
      </c>
      <c r="P37">
        <v>3</v>
      </c>
    </row>
    <row r="38" spans="1:16" ht="288" x14ac:dyDescent="0.3">
      <c r="A38" s="27" t="s">
        <v>101</v>
      </c>
      <c r="B38" s="34"/>
      <c r="E38" s="29" t="s">
        <v>2681</v>
      </c>
      <c r="J38" s="35"/>
    </row>
    <row r="39" spans="1:16" ht="28.8" x14ac:dyDescent="0.3">
      <c r="A39" s="27" t="s">
        <v>103</v>
      </c>
      <c r="B39" s="34"/>
      <c r="E39" s="36" t="s">
        <v>2682</v>
      </c>
      <c r="J39" s="35"/>
    </row>
    <row r="40" spans="1:16" ht="28.8" x14ac:dyDescent="0.3">
      <c r="A40" s="27" t="s">
        <v>103</v>
      </c>
      <c r="B40" s="34"/>
      <c r="E40" s="36" t="s">
        <v>2683</v>
      </c>
      <c r="J40" s="35"/>
    </row>
    <row r="41" spans="1:16" ht="28.8" x14ac:dyDescent="0.3">
      <c r="A41" s="27" t="s">
        <v>103</v>
      </c>
      <c r="B41" s="34"/>
      <c r="E41" s="36" t="s">
        <v>2684</v>
      </c>
      <c r="J41" s="35"/>
    </row>
    <row r="42" spans="1:16" ht="28.8" x14ac:dyDescent="0.3">
      <c r="A42" s="27" t="s">
        <v>103</v>
      </c>
      <c r="B42" s="34"/>
      <c r="E42" s="36" t="s">
        <v>2685</v>
      </c>
      <c r="J42" s="35"/>
    </row>
    <row r="43" spans="1:16" x14ac:dyDescent="0.3">
      <c r="A43" s="27" t="s">
        <v>103</v>
      </c>
      <c r="B43" s="34"/>
      <c r="E43" s="36" t="s">
        <v>2686</v>
      </c>
      <c r="J43" s="35"/>
    </row>
    <row r="44" spans="1:16" ht="288" x14ac:dyDescent="0.3">
      <c r="A44" s="27" t="s">
        <v>105</v>
      </c>
      <c r="B44" s="37"/>
      <c r="C44" s="38"/>
      <c r="D44" s="38"/>
      <c r="E44" s="29" t="s">
        <v>2687</v>
      </c>
      <c r="F44" s="38"/>
      <c r="G44" s="38"/>
      <c r="H44" s="38"/>
      <c r="I44" s="38"/>
      <c r="J44"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49"/>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35</v>
      </c>
      <c r="I3" s="16">
        <f>SUMIFS(I9:I349,A9:A349,"SD")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35</v>
      </c>
      <c r="D5" s="44"/>
      <c r="E5" s="14" t="s">
        <v>26</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SUMIFS(I10:I58,A10:A58,"P")</f>
        <v>0</v>
      </c>
      <c r="J9" s="26"/>
    </row>
    <row r="10" spans="1:16" x14ac:dyDescent="0.3">
      <c r="A10" s="27" t="s">
        <v>95</v>
      </c>
      <c r="B10" s="27">
        <v>1</v>
      </c>
      <c r="C10" s="28" t="s">
        <v>496</v>
      </c>
      <c r="D10" s="27" t="s">
        <v>129</v>
      </c>
      <c r="E10" s="29" t="s">
        <v>497</v>
      </c>
      <c r="F10" s="30" t="s">
        <v>229</v>
      </c>
      <c r="G10" s="31">
        <v>4.7439999999999998</v>
      </c>
      <c r="H10" s="32">
        <v>0</v>
      </c>
      <c r="I10" s="32">
        <f>ROUND(4.744*H10,P4)</f>
        <v>0</v>
      </c>
      <c r="J10" s="30" t="s">
        <v>118</v>
      </c>
      <c r="O10" s="33">
        <f>I10*0.21</f>
        <v>0</v>
      </c>
      <c r="P10">
        <v>3</v>
      </c>
    </row>
    <row r="11" spans="1:16" ht="158.4" x14ac:dyDescent="0.3">
      <c r="A11" s="27" t="s">
        <v>101</v>
      </c>
      <c r="B11" s="34"/>
      <c r="E11" s="29" t="s">
        <v>2690</v>
      </c>
      <c r="J11" s="35"/>
    </row>
    <row r="12" spans="1:16" ht="28.8" x14ac:dyDescent="0.3">
      <c r="A12" s="27" t="s">
        <v>103</v>
      </c>
      <c r="B12" s="34"/>
      <c r="E12" s="36" t="s">
        <v>2691</v>
      </c>
      <c r="J12" s="35"/>
    </row>
    <row r="13" spans="1:16" ht="28.8" x14ac:dyDescent="0.3">
      <c r="A13" s="27" t="s">
        <v>103</v>
      </c>
      <c r="B13" s="34"/>
      <c r="E13" s="36" t="s">
        <v>2692</v>
      </c>
      <c r="J13" s="35"/>
    </row>
    <row r="14" spans="1:16" ht="28.8" x14ac:dyDescent="0.3">
      <c r="A14" s="27" t="s">
        <v>103</v>
      </c>
      <c r="B14" s="34"/>
      <c r="E14" s="36" t="s">
        <v>2693</v>
      </c>
      <c r="J14" s="35"/>
    </row>
    <row r="15" spans="1:16" ht="28.8" x14ac:dyDescent="0.3">
      <c r="A15" s="27" t="s">
        <v>103</v>
      </c>
      <c r="B15" s="34"/>
      <c r="E15" s="36" t="s">
        <v>2694</v>
      </c>
      <c r="J15" s="35"/>
    </row>
    <row r="16" spans="1:16" ht="28.8" x14ac:dyDescent="0.3">
      <c r="A16" s="27" t="s">
        <v>103</v>
      </c>
      <c r="B16" s="34"/>
      <c r="E16" s="36" t="s">
        <v>2695</v>
      </c>
      <c r="J16" s="35"/>
    </row>
    <row r="17" spans="1:16" ht="28.8" x14ac:dyDescent="0.3">
      <c r="A17" s="27" t="s">
        <v>103</v>
      </c>
      <c r="B17" s="34"/>
      <c r="E17" s="36" t="s">
        <v>2696</v>
      </c>
      <c r="J17" s="35"/>
    </row>
    <row r="18" spans="1:16" ht="28.8" x14ac:dyDescent="0.3">
      <c r="A18" s="27" t="s">
        <v>103</v>
      </c>
      <c r="B18" s="34"/>
      <c r="E18" s="36" t="s">
        <v>2697</v>
      </c>
      <c r="J18" s="35"/>
    </row>
    <row r="19" spans="1:16" ht="28.8" x14ac:dyDescent="0.3">
      <c r="A19" s="27" t="s">
        <v>103</v>
      </c>
      <c r="B19" s="34"/>
      <c r="E19" s="36" t="s">
        <v>2698</v>
      </c>
      <c r="J19" s="35"/>
    </row>
    <row r="20" spans="1:16" ht="28.8" x14ac:dyDescent="0.3">
      <c r="A20" s="27" t="s">
        <v>103</v>
      </c>
      <c r="B20" s="34"/>
      <c r="E20" s="36" t="s">
        <v>2699</v>
      </c>
      <c r="J20" s="35"/>
    </row>
    <row r="21" spans="1:16" ht="28.8" x14ac:dyDescent="0.3">
      <c r="A21" s="27" t="s">
        <v>103</v>
      </c>
      <c r="B21" s="34"/>
      <c r="E21" s="36" t="s">
        <v>2700</v>
      </c>
      <c r="J21" s="35"/>
    </row>
    <row r="22" spans="1:16" ht="28.8" x14ac:dyDescent="0.3">
      <c r="A22" s="27" t="s">
        <v>103</v>
      </c>
      <c r="B22" s="34"/>
      <c r="E22" s="36" t="s">
        <v>2701</v>
      </c>
      <c r="J22" s="35"/>
    </row>
    <row r="23" spans="1:16" ht="28.8" x14ac:dyDescent="0.3">
      <c r="A23" s="27" t="s">
        <v>103</v>
      </c>
      <c r="B23" s="34"/>
      <c r="E23" s="36" t="s">
        <v>2702</v>
      </c>
      <c r="J23" s="35"/>
    </row>
    <row r="24" spans="1:16" ht="28.8" x14ac:dyDescent="0.3">
      <c r="A24" s="27" t="s">
        <v>103</v>
      </c>
      <c r="B24" s="34"/>
      <c r="E24" s="36" t="s">
        <v>2703</v>
      </c>
      <c r="J24" s="35"/>
    </row>
    <row r="25" spans="1:16" ht="28.8" x14ac:dyDescent="0.3">
      <c r="A25" s="27" t="s">
        <v>103</v>
      </c>
      <c r="B25" s="34"/>
      <c r="E25" s="36" t="s">
        <v>2704</v>
      </c>
      <c r="J25" s="35"/>
    </row>
    <row r="26" spans="1:16" ht="28.8" x14ac:dyDescent="0.3">
      <c r="A26" s="27" t="s">
        <v>103</v>
      </c>
      <c r="B26" s="34"/>
      <c r="E26" s="36" t="s">
        <v>2705</v>
      </c>
      <c r="J26" s="35"/>
    </row>
    <row r="27" spans="1:16" ht="28.8" x14ac:dyDescent="0.3">
      <c r="A27" s="27" t="s">
        <v>103</v>
      </c>
      <c r="B27" s="34"/>
      <c r="E27" s="36" t="s">
        <v>2706</v>
      </c>
      <c r="J27" s="35"/>
    </row>
    <row r="28" spans="1:16" ht="28.8" x14ac:dyDescent="0.3">
      <c r="A28" s="27" t="s">
        <v>103</v>
      </c>
      <c r="B28" s="34"/>
      <c r="E28" s="36" t="s">
        <v>2707</v>
      </c>
      <c r="J28" s="35"/>
    </row>
    <row r="29" spans="1:16" ht="28.8" x14ac:dyDescent="0.3">
      <c r="A29" s="27" t="s">
        <v>103</v>
      </c>
      <c r="B29" s="34"/>
      <c r="E29" s="36" t="s">
        <v>2708</v>
      </c>
      <c r="J29" s="35"/>
    </row>
    <row r="30" spans="1:16" x14ac:dyDescent="0.3">
      <c r="A30" s="27" t="s">
        <v>103</v>
      </c>
      <c r="B30" s="34"/>
      <c r="E30" s="36" t="s">
        <v>2709</v>
      </c>
      <c r="J30" s="35"/>
    </row>
    <row r="31" spans="1:16" ht="374.4" x14ac:dyDescent="0.3">
      <c r="A31" s="27" t="s">
        <v>105</v>
      </c>
      <c r="B31" s="34"/>
      <c r="E31" s="29" t="s">
        <v>434</v>
      </c>
      <c r="J31" s="35"/>
    </row>
    <row r="32" spans="1:16" x14ac:dyDescent="0.3">
      <c r="A32" s="27" t="s">
        <v>95</v>
      </c>
      <c r="B32" s="27">
        <v>2</v>
      </c>
      <c r="C32" s="28" t="s">
        <v>591</v>
      </c>
      <c r="D32" s="27" t="s">
        <v>129</v>
      </c>
      <c r="E32" s="29" t="s">
        <v>592</v>
      </c>
      <c r="F32" s="30" t="s">
        <v>229</v>
      </c>
      <c r="G32" s="31">
        <v>4.7439999999999998</v>
      </c>
      <c r="H32" s="32">
        <v>0</v>
      </c>
      <c r="I32" s="32">
        <f>ROUND(4.744*H32,P4)</f>
        <v>0</v>
      </c>
      <c r="J32" s="30" t="s">
        <v>118</v>
      </c>
      <c r="O32" s="33">
        <f>I32*0.21</f>
        <v>0</v>
      </c>
      <c r="P32">
        <v>3</v>
      </c>
    </row>
    <row r="33" spans="1:10" ht="158.4" x14ac:dyDescent="0.3">
      <c r="A33" s="27" t="s">
        <v>101</v>
      </c>
      <c r="B33" s="34"/>
      <c r="E33" s="29" t="s">
        <v>2690</v>
      </c>
      <c r="J33" s="35"/>
    </row>
    <row r="34" spans="1:10" ht="28.8" x14ac:dyDescent="0.3">
      <c r="A34" s="27" t="s">
        <v>103</v>
      </c>
      <c r="B34" s="34"/>
      <c r="E34" s="36" t="s">
        <v>2691</v>
      </c>
      <c r="J34" s="35"/>
    </row>
    <row r="35" spans="1:10" ht="28.8" x14ac:dyDescent="0.3">
      <c r="A35" s="27" t="s">
        <v>103</v>
      </c>
      <c r="B35" s="34"/>
      <c r="E35" s="36" t="s">
        <v>2692</v>
      </c>
      <c r="J35" s="35"/>
    </row>
    <row r="36" spans="1:10" ht="28.8" x14ac:dyDescent="0.3">
      <c r="A36" s="27" t="s">
        <v>103</v>
      </c>
      <c r="B36" s="34"/>
      <c r="E36" s="36" t="s">
        <v>2693</v>
      </c>
      <c r="J36" s="35"/>
    </row>
    <row r="37" spans="1:10" ht="28.8" x14ac:dyDescent="0.3">
      <c r="A37" s="27" t="s">
        <v>103</v>
      </c>
      <c r="B37" s="34"/>
      <c r="E37" s="36" t="s">
        <v>2694</v>
      </c>
      <c r="J37" s="35"/>
    </row>
    <row r="38" spans="1:10" ht="28.8" x14ac:dyDescent="0.3">
      <c r="A38" s="27" t="s">
        <v>103</v>
      </c>
      <c r="B38" s="34"/>
      <c r="E38" s="36" t="s">
        <v>2695</v>
      </c>
      <c r="J38" s="35"/>
    </row>
    <row r="39" spans="1:10" ht="28.8" x14ac:dyDescent="0.3">
      <c r="A39" s="27" t="s">
        <v>103</v>
      </c>
      <c r="B39" s="34"/>
      <c r="E39" s="36" t="s">
        <v>2696</v>
      </c>
      <c r="J39" s="35"/>
    </row>
    <row r="40" spans="1:10" ht="28.8" x14ac:dyDescent="0.3">
      <c r="A40" s="27" t="s">
        <v>103</v>
      </c>
      <c r="B40" s="34"/>
      <c r="E40" s="36" t="s">
        <v>2697</v>
      </c>
      <c r="J40" s="35"/>
    </row>
    <row r="41" spans="1:10" ht="28.8" x14ac:dyDescent="0.3">
      <c r="A41" s="27" t="s">
        <v>103</v>
      </c>
      <c r="B41" s="34"/>
      <c r="E41" s="36" t="s">
        <v>2698</v>
      </c>
      <c r="J41" s="35"/>
    </row>
    <row r="42" spans="1:10" ht="28.8" x14ac:dyDescent="0.3">
      <c r="A42" s="27" t="s">
        <v>103</v>
      </c>
      <c r="B42" s="34"/>
      <c r="E42" s="36" t="s">
        <v>2699</v>
      </c>
      <c r="J42" s="35"/>
    </row>
    <row r="43" spans="1:10" ht="28.8" x14ac:dyDescent="0.3">
      <c r="A43" s="27" t="s">
        <v>103</v>
      </c>
      <c r="B43" s="34"/>
      <c r="E43" s="36" t="s">
        <v>2700</v>
      </c>
      <c r="J43" s="35"/>
    </row>
    <row r="44" spans="1:10" ht="28.8" x14ac:dyDescent="0.3">
      <c r="A44" s="27" t="s">
        <v>103</v>
      </c>
      <c r="B44" s="34"/>
      <c r="E44" s="36" t="s">
        <v>2701</v>
      </c>
      <c r="J44" s="35"/>
    </row>
    <row r="45" spans="1:10" ht="28.8" x14ac:dyDescent="0.3">
      <c r="A45" s="27" t="s">
        <v>103</v>
      </c>
      <c r="B45" s="34"/>
      <c r="E45" s="36" t="s">
        <v>2702</v>
      </c>
      <c r="J45" s="35"/>
    </row>
    <row r="46" spans="1:10" ht="28.8" x14ac:dyDescent="0.3">
      <c r="A46" s="27" t="s">
        <v>103</v>
      </c>
      <c r="B46" s="34"/>
      <c r="E46" s="36" t="s">
        <v>2703</v>
      </c>
      <c r="J46" s="35"/>
    </row>
    <row r="47" spans="1:10" ht="28.8" x14ac:dyDescent="0.3">
      <c r="A47" s="27" t="s">
        <v>103</v>
      </c>
      <c r="B47" s="34"/>
      <c r="E47" s="36" t="s">
        <v>2704</v>
      </c>
      <c r="J47" s="35"/>
    </row>
    <row r="48" spans="1:10" ht="28.8" x14ac:dyDescent="0.3">
      <c r="A48" s="27" t="s">
        <v>103</v>
      </c>
      <c r="B48" s="34"/>
      <c r="E48" s="36" t="s">
        <v>2705</v>
      </c>
      <c r="J48" s="35"/>
    </row>
    <row r="49" spans="1:16" ht="28.8" x14ac:dyDescent="0.3">
      <c r="A49" s="27" t="s">
        <v>103</v>
      </c>
      <c r="B49" s="34"/>
      <c r="E49" s="36" t="s">
        <v>2706</v>
      </c>
      <c r="J49" s="35"/>
    </row>
    <row r="50" spans="1:16" ht="28.8" x14ac:dyDescent="0.3">
      <c r="A50" s="27" t="s">
        <v>103</v>
      </c>
      <c r="B50" s="34"/>
      <c r="E50" s="36" t="s">
        <v>2707</v>
      </c>
      <c r="J50" s="35"/>
    </row>
    <row r="51" spans="1:16" ht="28.8" x14ac:dyDescent="0.3">
      <c r="A51" s="27" t="s">
        <v>103</v>
      </c>
      <c r="B51" s="34"/>
      <c r="E51" s="36" t="s">
        <v>2708</v>
      </c>
      <c r="J51" s="35"/>
    </row>
    <row r="52" spans="1:16" x14ac:dyDescent="0.3">
      <c r="A52" s="27" t="s">
        <v>103</v>
      </c>
      <c r="B52" s="34"/>
      <c r="E52" s="36" t="s">
        <v>2709</v>
      </c>
      <c r="J52" s="35"/>
    </row>
    <row r="53" spans="1:16" ht="288" x14ac:dyDescent="0.3">
      <c r="A53" s="27" t="s">
        <v>105</v>
      </c>
      <c r="B53" s="34"/>
      <c r="E53" s="29" t="s">
        <v>593</v>
      </c>
      <c r="J53" s="35"/>
    </row>
    <row r="54" spans="1:16" x14ac:dyDescent="0.3">
      <c r="A54" s="27" t="s">
        <v>95</v>
      </c>
      <c r="B54" s="27">
        <v>3</v>
      </c>
      <c r="C54" s="28" t="s">
        <v>610</v>
      </c>
      <c r="D54" s="27" t="s">
        <v>129</v>
      </c>
      <c r="E54" s="29" t="s">
        <v>611</v>
      </c>
      <c r="F54" s="30" t="s">
        <v>248</v>
      </c>
      <c r="G54" s="31">
        <v>1086.9459999999999</v>
      </c>
      <c r="H54" s="32">
        <v>0</v>
      </c>
      <c r="I54" s="32">
        <f>ROUND(1086.946*H54,P4)</f>
        <v>0</v>
      </c>
      <c r="J54" s="30" t="s">
        <v>118</v>
      </c>
      <c r="O54" s="33">
        <f>I54*0.21</f>
        <v>0</v>
      </c>
      <c r="P54">
        <v>3</v>
      </c>
    </row>
    <row r="55" spans="1:16" ht="187.2" x14ac:dyDescent="0.3">
      <c r="A55" s="27" t="s">
        <v>101</v>
      </c>
      <c r="B55" s="34"/>
      <c r="E55" s="29" t="s">
        <v>2710</v>
      </c>
      <c r="J55" s="35"/>
    </row>
    <row r="56" spans="1:16" ht="28.8" x14ac:dyDescent="0.3">
      <c r="A56" s="27" t="s">
        <v>103</v>
      </c>
      <c r="B56" s="34"/>
      <c r="E56" s="36" t="s">
        <v>2711</v>
      </c>
      <c r="J56" s="35"/>
    </row>
    <row r="57" spans="1:16" x14ac:dyDescent="0.3">
      <c r="A57" s="27" t="s">
        <v>103</v>
      </c>
      <c r="B57" s="34"/>
      <c r="E57" s="36" t="s">
        <v>2712</v>
      </c>
      <c r="J57" s="35"/>
    </row>
    <row r="58" spans="1:16" ht="28.8" x14ac:dyDescent="0.3">
      <c r="A58" s="27" t="s">
        <v>105</v>
      </c>
      <c r="B58" s="34"/>
      <c r="E58" s="29" t="s">
        <v>617</v>
      </c>
      <c r="J58" s="35"/>
    </row>
    <row r="59" spans="1:16" x14ac:dyDescent="0.3">
      <c r="A59" s="21" t="s">
        <v>92</v>
      </c>
      <c r="B59" s="22"/>
      <c r="C59" s="23" t="s">
        <v>107</v>
      </c>
      <c r="D59" s="24"/>
      <c r="E59" s="21" t="s">
        <v>618</v>
      </c>
      <c r="F59" s="24"/>
      <c r="G59" s="24"/>
      <c r="H59" s="24"/>
      <c r="I59" s="25">
        <f>SUMIFS(I60:I73,A60:A73,"P")</f>
        <v>0</v>
      </c>
      <c r="J59" s="26"/>
    </row>
    <row r="60" spans="1:16" x14ac:dyDescent="0.3">
      <c r="A60" s="27" t="s">
        <v>95</v>
      </c>
      <c r="B60" s="27">
        <v>4</v>
      </c>
      <c r="C60" s="28" t="s">
        <v>619</v>
      </c>
      <c r="D60" s="27" t="s">
        <v>129</v>
      </c>
      <c r="E60" s="29" t="s">
        <v>620</v>
      </c>
      <c r="F60" s="30" t="s">
        <v>248</v>
      </c>
      <c r="G60" s="31">
        <v>613.47299999999996</v>
      </c>
      <c r="H60" s="32">
        <v>0</v>
      </c>
      <c r="I60" s="32">
        <f>ROUND(613.473*H60,P4)</f>
        <v>0</v>
      </c>
      <c r="J60" s="30" t="s">
        <v>118</v>
      </c>
      <c r="O60" s="33">
        <f>I60*0.21</f>
        <v>0</v>
      </c>
      <c r="P60">
        <v>3</v>
      </c>
    </row>
    <row r="61" spans="1:16" ht="331.2" x14ac:dyDescent="0.3">
      <c r="A61" s="27" t="s">
        <v>101</v>
      </c>
      <c r="B61" s="34"/>
      <c r="E61" s="29" t="s">
        <v>2713</v>
      </c>
      <c r="J61" s="35"/>
    </row>
    <row r="62" spans="1:16" ht="28.8" x14ac:dyDescent="0.3">
      <c r="A62" s="27" t="s">
        <v>103</v>
      </c>
      <c r="B62" s="34"/>
      <c r="E62" s="36" t="s">
        <v>2714</v>
      </c>
      <c r="J62" s="35"/>
    </row>
    <row r="63" spans="1:16" ht="28.8" x14ac:dyDescent="0.3">
      <c r="A63" s="27" t="s">
        <v>103</v>
      </c>
      <c r="B63" s="34"/>
      <c r="E63" s="36" t="s">
        <v>2715</v>
      </c>
      <c r="J63" s="35"/>
    </row>
    <row r="64" spans="1:16" ht="28.8" x14ac:dyDescent="0.3">
      <c r="A64" s="27" t="s">
        <v>103</v>
      </c>
      <c r="B64" s="34"/>
      <c r="E64" s="36" t="s">
        <v>2716</v>
      </c>
      <c r="J64" s="35"/>
    </row>
    <row r="65" spans="1:16" x14ac:dyDescent="0.3">
      <c r="A65" s="27" t="s">
        <v>103</v>
      </c>
      <c r="B65" s="34"/>
      <c r="E65" s="36" t="s">
        <v>2717</v>
      </c>
      <c r="J65" s="35"/>
    </row>
    <row r="66" spans="1:16" ht="43.2" x14ac:dyDescent="0.3">
      <c r="A66" s="27" t="s">
        <v>105</v>
      </c>
      <c r="B66" s="34"/>
      <c r="E66" s="29" t="s">
        <v>628</v>
      </c>
      <c r="J66" s="35"/>
    </row>
    <row r="67" spans="1:16" x14ac:dyDescent="0.3">
      <c r="A67" s="27" t="s">
        <v>95</v>
      </c>
      <c r="B67" s="27">
        <v>5</v>
      </c>
      <c r="C67" s="28" t="s">
        <v>629</v>
      </c>
      <c r="D67" s="27" t="s">
        <v>129</v>
      </c>
      <c r="E67" s="29" t="s">
        <v>630</v>
      </c>
      <c r="F67" s="30" t="s">
        <v>237</v>
      </c>
      <c r="G67" s="31">
        <v>292.13</v>
      </c>
      <c r="H67" s="32">
        <v>0</v>
      </c>
      <c r="I67" s="32">
        <f>ROUND(292.13*H67,P4)</f>
        <v>0</v>
      </c>
      <c r="J67" s="30" t="s">
        <v>118</v>
      </c>
      <c r="O67" s="33">
        <f>I67*0.21</f>
        <v>0</v>
      </c>
      <c r="P67">
        <v>3</v>
      </c>
    </row>
    <row r="68" spans="1:16" ht="331.2" x14ac:dyDescent="0.3">
      <c r="A68" s="27" t="s">
        <v>101</v>
      </c>
      <c r="B68" s="34"/>
      <c r="E68" s="29" t="s">
        <v>2713</v>
      </c>
      <c r="J68" s="35"/>
    </row>
    <row r="69" spans="1:16" ht="28.8" x14ac:dyDescent="0.3">
      <c r="A69" s="27" t="s">
        <v>103</v>
      </c>
      <c r="B69" s="34"/>
      <c r="E69" s="36" t="s">
        <v>2718</v>
      </c>
      <c r="J69" s="35"/>
    </row>
    <row r="70" spans="1:16" ht="28.8" x14ac:dyDescent="0.3">
      <c r="A70" s="27" t="s">
        <v>103</v>
      </c>
      <c r="B70" s="34"/>
      <c r="E70" s="36" t="s">
        <v>2719</v>
      </c>
      <c r="J70" s="35"/>
    </row>
    <row r="71" spans="1:16" ht="28.8" x14ac:dyDescent="0.3">
      <c r="A71" s="27" t="s">
        <v>103</v>
      </c>
      <c r="B71" s="34"/>
      <c r="E71" s="36" t="s">
        <v>2720</v>
      </c>
      <c r="J71" s="35"/>
    </row>
    <row r="72" spans="1:16" x14ac:dyDescent="0.3">
      <c r="A72" s="27" t="s">
        <v>103</v>
      </c>
      <c r="B72" s="34"/>
      <c r="E72" s="36" t="s">
        <v>2721</v>
      </c>
      <c r="J72" s="35"/>
    </row>
    <row r="73" spans="1:16" ht="187.2" x14ac:dyDescent="0.3">
      <c r="A73" s="27" t="s">
        <v>105</v>
      </c>
      <c r="B73" s="34"/>
      <c r="E73" s="29" t="s">
        <v>668</v>
      </c>
      <c r="J73" s="35"/>
    </row>
    <row r="74" spans="1:16" x14ac:dyDescent="0.3">
      <c r="A74" s="21" t="s">
        <v>92</v>
      </c>
      <c r="B74" s="22"/>
      <c r="C74" s="23" t="s">
        <v>124</v>
      </c>
      <c r="D74" s="24"/>
      <c r="E74" s="21" t="s">
        <v>226</v>
      </c>
      <c r="F74" s="24"/>
      <c r="G74" s="24"/>
      <c r="H74" s="24"/>
      <c r="I74" s="25">
        <f>SUMIFS(I75:I235,A75:A235,"P")</f>
        <v>0</v>
      </c>
      <c r="J74" s="26"/>
    </row>
    <row r="75" spans="1:16" x14ac:dyDescent="0.3">
      <c r="A75" s="27" t="s">
        <v>95</v>
      </c>
      <c r="B75" s="27">
        <v>6</v>
      </c>
      <c r="C75" s="28" t="s">
        <v>697</v>
      </c>
      <c r="D75" s="27" t="s">
        <v>97</v>
      </c>
      <c r="E75" s="29" t="s">
        <v>698</v>
      </c>
      <c r="F75" s="30" t="s">
        <v>229</v>
      </c>
      <c r="G75" s="31">
        <v>139.768</v>
      </c>
      <c r="H75" s="32">
        <v>0</v>
      </c>
      <c r="I75" s="32">
        <f>ROUND(139.768*H75,P4)</f>
        <v>0</v>
      </c>
      <c r="J75" s="30" t="s">
        <v>118</v>
      </c>
      <c r="O75" s="33">
        <f>I75*0.21</f>
        <v>0</v>
      </c>
      <c r="P75">
        <v>3</v>
      </c>
    </row>
    <row r="76" spans="1:16" ht="158.4" x14ac:dyDescent="0.3">
      <c r="A76" s="27" t="s">
        <v>101</v>
      </c>
      <c r="B76" s="34"/>
      <c r="E76" s="29" t="s">
        <v>2722</v>
      </c>
      <c r="J76" s="35"/>
    </row>
    <row r="77" spans="1:16" ht="28.8" x14ac:dyDescent="0.3">
      <c r="A77" s="27" t="s">
        <v>103</v>
      </c>
      <c r="B77" s="34"/>
      <c r="E77" s="36" t="s">
        <v>2723</v>
      </c>
      <c r="J77" s="35"/>
    </row>
    <row r="78" spans="1:16" ht="28.8" x14ac:dyDescent="0.3">
      <c r="A78" s="27" t="s">
        <v>103</v>
      </c>
      <c r="B78" s="34"/>
      <c r="E78" s="36" t="s">
        <v>2724</v>
      </c>
      <c r="J78" s="35"/>
    </row>
    <row r="79" spans="1:16" ht="28.8" x14ac:dyDescent="0.3">
      <c r="A79" s="27" t="s">
        <v>103</v>
      </c>
      <c r="B79" s="34"/>
      <c r="E79" s="36" t="s">
        <v>2725</v>
      </c>
      <c r="J79" s="35"/>
    </row>
    <row r="80" spans="1:16" ht="28.8" x14ac:dyDescent="0.3">
      <c r="A80" s="27" t="s">
        <v>103</v>
      </c>
      <c r="B80" s="34"/>
      <c r="E80" s="36" t="s">
        <v>2726</v>
      </c>
      <c r="J80" s="35"/>
    </row>
    <row r="81" spans="1:16" ht="28.8" x14ac:dyDescent="0.3">
      <c r="A81" s="27" t="s">
        <v>103</v>
      </c>
      <c r="B81" s="34"/>
      <c r="E81" s="36" t="s">
        <v>2727</v>
      </c>
      <c r="J81" s="35"/>
    </row>
    <row r="82" spans="1:16" ht="28.8" x14ac:dyDescent="0.3">
      <c r="A82" s="27" t="s">
        <v>103</v>
      </c>
      <c r="B82" s="34"/>
      <c r="E82" s="36" t="s">
        <v>2728</v>
      </c>
      <c r="J82" s="35"/>
    </row>
    <row r="83" spans="1:16" ht="28.8" x14ac:dyDescent="0.3">
      <c r="A83" s="27" t="s">
        <v>103</v>
      </c>
      <c r="B83" s="34"/>
      <c r="E83" s="36" t="s">
        <v>2729</v>
      </c>
      <c r="J83" s="35"/>
    </row>
    <row r="84" spans="1:16" ht="28.8" x14ac:dyDescent="0.3">
      <c r="A84" s="27" t="s">
        <v>103</v>
      </c>
      <c r="B84" s="34"/>
      <c r="E84" s="36" t="s">
        <v>2730</v>
      </c>
      <c r="J84" s="35"/>
    </row>
    <row r="85" spans="1:16" ht="28.8" x14ac:dyDescent="0.3">
      <c r="A85" s="27" t="s">
        <v>103</v>
      </c>
      <c r="B85" s="34"/>
      <c r="E85" s="36" t="s">
        <v>2731</v>
      </c>
      <c r="J85" s="35"/>
    </row>
    <row r="86" spans="1:16" ht="28.8" x14ac:dyDescent="0.3">
      <c r="A86" s="27" t="s">
        <v>103</v>
      </c>
      <c r="B86" s="34"/>
      <c r="E86" s="36" t="s">
        <v>2732</v>
      </c>
      <c r="J86" s="35"/>
    </row>
    <row r="87" spans="1:16" ht="28.8" x14ac:dyDescent="0.3">
      <c r="A87" s="27" t="s">
        <v>103</v>
      </c>
      <c r="B87" s="34"/>
      <c r="E87" s="36" t="s">
        <v>2733</v>
      </c>
      <c r="J87" s="35"/>
    </row>
    <row r="88" spans="1:16" ht="28.8" x14ac:dyDescent="0.3">
      <c r="A88" s="27" t="s">
        <v>103</v>
      </c>
      <c r="B88" s="34"/>
      <c r="E88" s="36" t="s">
        <v>2734</v>
      </c>
      <c r="J88" s="35"/>
    </row>
    <row r="89" spans="1:16" ht="28.8" x14ac:dyDescent="0.3">
      <c r="A89" s="27" t="s">
        <v>103</v>
      </c>
      <c r="B89" s="34"/>
      <c r="E89" s="36" t="s">
        <v>2735</v>
      </c>
      <c r="J89" s="35"/>
    </row>
    <row r="90" spans="1:16" ht="28.8" x14ac:dyDescent="0.3">
      <c r="A90" s="27" t="s">
        <v>103</v>
      </c>
      <c r="B90" s="34"/>
      <c r="E90" s="36" t="s">
        <v>2736</v>
      </c>
      <c r="J90" s="35"/>
    </row>
    <row r="91" spans="1:16" x14ac:dyDescent="0.3">
      <c r="A91" s="27" t="s">
        <v>103</v>
      </c>
      <c r="B91" s="34"/>
      <c r="E91" s="36" t="s">
        <v>2737</v>
      </c>
      <c r="J91" s="35"/>
    </row>
    <row r="92" spans="1:16" ht="57.6" x14ac:dyDescent="0.3">
      <c r="A92" s="27" t="s">
        <v>105</v>
      </c>
      <c r="B92" s="34"/>
      <c r="E92" s="29" t="s">
        <v>765</v>
      </c>
      <c r="J92" s="35"/>
    </row>
    <row r="93" spans="1:16" x14ac:dyDescent="0.3">
      <c r="A93" s="27" t="s">
        <v>95</v>
      </c>
      <c r="B93" s="27">
        <v>7</v>
      </c>
      <c r="C93" s="28" t="s">
        <v>697</v>
      </c>
      <c r="D93" s="27" t="s">
        <v>107</v>
      </c>
      <c r="E93" s="29" t="s">
        <v>698</v>
      </c>
      <c r="F93" s="30" t="s">
        <v>229</v>
      </c>
      <c r="G93" s="31">
        <v>174.08500000000001</v>
      </c>
      <c r="H93" s="32">
        <v>0</v>
      </c>
      <c r="I93" s="32">
        <f>ROUND(1.881*H93,P4)+ROUND(172.204*H93,P4)</f>
        <v>0</v>
      </c>
      <c r="J93" s="30" t="s">
        <v>118</v>
      </c>
      <c r="O93" s="33">
        <f>I93*0.21</f>
        <v>0</v>
      </c>
      <c r="P93">
        <v>3</v>
      </c>
    </row>
    <row r="94" spans="1:16" ht="158.4" x14ac:dyDescent="0.3">
      <c r="A94" s="27" t="s">
        <v>101</v>
      </c>
      <c r="B94" s="34"/>
      <c r="E94" s="29" t="s">
        <v>2722</v>
      </c>
      <c r="J94" s="35"/>
    </row>
    <row r="95" spans="1:16" ht="28.8" x14ac:dyDescent="0.3">
      <c r="A95" s="27" t="s">
        <v>103</v>
      </c>
      <c r="B95" s="34"/>
      <c r="E95" s="36" t="s">
        <v>2738</v>
      </c>
      <c r="J95" s="35"/>
    </row>
    <row r="96" spans="1:16" ht="28.8" x14ac:dyDescent="0.3">
      <c r="A96" s="27" t="s">
        <v>103</v>
      </c>
      <c r="B96" s="34"/>
      <c r="E96" s="36" t="s">
        <v>2739</v>
      </c>
      <c r="J96" s="35"/>
    </row>
    <row r="97" spans="1:10" ht="28.8" x14ac:dyDescent="0.3">
      <c r="A97" s="27" t="s">
        <v>103</v>
      </c>
      <c r="B97" s="34"/>
      <c r="E97" s="36" t="s">
        <v>2740</v>
      </c>
      <c r="J97" s="35"/>
    </row>
    <row r="98" spans="1:10" ht="28.8" x14ac:dyDescent="0.3">
      <c r="A98" s="27" t="s">
        <v>103</v>
      </c>
      <c r="B98" s="34"/>
      <c r="E98" s="36" t="s">
        <v>2741</v>
      </c>
      <c r="J98" s="35"/>
    </row>
    <row r="99" spans="1:10" ht="28.8" x14ac:dyDescent="0.3">
      <c r="A99" s="27" t="s">
        <v>103</v>
      </c>
      <c r="B99" s="34"/>
      <c r="E99" s="36" t="s">
        <v>2742</v>
      </c>
      <c r="J99" s="35"/>
    </row>
    <row r="100" spans="1:10" ht="28.8" x14ac:dyDescent="0.3">
      <c r="A100" s="27" t="s">
        <v>103</v>
      </c>
      <c r="B100" s="34"/>
      <c r="E100" s="36" t="s">
        <v>2743</v>
      </c>
      <c r="J100" s="35"/>
    </row>
    <row r="101" spans="1:10" ht="28.8" x14ac:dyDescent="0.3">
      <c r="A101" s="27" t="s">
        <v>103</v>
      </c>
      <c r="B101" s="34"/>
      <c r="E101" s="36" t="s">
        <v>2744</v>
      </c>
      <c r="J101" s="35"/>
    </row>
    <row r="102" spans="1:10" x14ac:dyDescent="0.3">
      <c r="A102" s="27" t="s">
        <v>103</v>
      </c>
      <c r="B102" s="34"/>
      <c r="E102" s="36" t="s">
        <v>2745</v>
      </c>
      <c r="J102" s="35"/>
    </row>
    <row r="103" spans="1:10" ht="28.8" x14ac:dyDescent="0.3">
      <c r="A103" s="27" t="s">
        <v>103</v>
      </c>
      <c r="B103" s="34"/>
      <c r="E103" s="36" t="s">
        <v>2746</v>
      </c>
      <c r="J103" s="35"/>
    </row>
    <row r="104" spans="1:10" ht="28.8" x14ac:dyDescent="0.3">
      <c r="A104" s="27" t="s">
        <v>103</v>
      </c>
      <c r="B104" s="34"/>
      <c r="E104" s="36" t="s">
        <v>2747</v>
      </c>
      <c r="J104" s="35"/>
    </row>
    <row r="105" spans="1:10" ht="28.8" x14ac:dyDescent="0.3">
      <c r="A105" s="27" t="s">
        <v>103</v>
      </c>
      <c r="B105" s="34"/>
      <c r="E105" s="36" t="s">
        <v>2748</v>
      </c>
      <c r="J105" s="35"/>
    </row>
    <row r="106" spans="1:10" ht="28.8" x14ac:dyDescent="0.3">
      <c r="A106" s="27" t="s">
        <v>103</v>
      </c>
      <c r="B106" s="34"/>
      <c r="E106" s="36" t="s">
        <v>2749</v>
      </c>
      <c r="J106" s="35"/>
    </row>
    <row r="107" spans="1:10" ht="28.8" x14ac:dyDescent="0.3">
      <c r="A107" s="27" t="s">
        <v>103</v>
      </c>
      <c r="B107" s="34"/>
      <c r="E107" s="36" t="s">
        <v>2750</v>
      </c>
      <c r="J107" s="35"/>
    </row>
    <row r="108" spans="1:10" ht="28.8" x14ac:dyDescent="0.3">
      <c r="A108" s="27" t="s">
        <v>103</v>
      </c>
      <c r="B108" s="34"/>
      <c r="E108" s="36" t="s">
        <v>2751</v>
      </c>
      <c r="J108" s="35"/>
    </row>
    <row r="109" spans="1:10" ht="28.8" x14ac:dyDescent="0.3">
      <c r="A109" s="27" t="s">
        <v>103</v>
      </c>
      <c r="B109" s="34"/>
      <c r="E109" s="36" t="s">
        <v>2752</v>
      </c>
      <c r="J109" s="35"/>
    </row>
    <row r="110" spans="1:10" ht="28.8" x14ac:dyDescent="0.3">
      <c r="A110" s="27" t="s">
        <v>103</v>
      </c>
      <c r="B110" s="34"/>
      <c r="E110" s="36" t="s">
        <v>2753</v>
      </c>
      <c r="J110" s="35"/>
    </row>
    <row r="111" spans="1:10" ht="28.8" x14ac:dyDescent="0.3">
      <c r="A111" s="27" t="s">
        <v>103</v>
      </c>
      <c r="B111" s="34"/>
      <c r="E111" s="36" t="s">
        <v>2754</v>
      </c>
      <c r="J111" s="35"/>
    </row>
    <row r="112" spans="1:10" ht="28.8" x14ac:dyDescent="0.3">
      <c r="A112" s="27" t="s">
        <v>103</v>
      </c>
      <c r="B112" s="34"/>
      <c r="E112" s="36" t="s">
        <v>2755</v>
      </c>
      <c r="J112" s="35"/>
    </row>
    <row r="113" spans="1:10" ht="28.8" x14ac:dyDescent="0.3">
      <c r="A113" s="27" t="s">
        <v>103</v>
      </c>
      <c r="B113" s="34"/>
      <c r="E113" s="36" t="s">
        <v>2756</v>
      </c>
      <c r="J113" s="35"/>
    </row>
    <row r="114" spans="1:10" ht="28.8" x14ac:dyDescent="0.3">
      <c r="A114" s="27" t="s">
        <v>103</v>
      </c>
      <c r="B114" s="34"/>
      <c r="E114" s="36" t="s">
        <v>2757</v>
      </c>
      <c r="J114" s="35"/>
    </row>
    <row r="115" spans="1:10" ht="28.8" x14ac:dyDescent="0.3">
      <c r="A115" s="27" t="s">
        <v>103</v>
      </c>
      <c r="B115" s="34"/>
      <c r="E115" s="36" t="s">
        <v>2758</v>
      </c>
      <c r="J115" s="35"/>
    </row>
    <row r="116" spans="1:10" ht="28.8" x14ac:dyDescent="0.3">
      <c r="A116" s="27" t="s">
        <v>103</v>
      </c>
      <c r="B116" s="34"/>
      <c r="E116" s="36" t="s">
        <v>2759</v>
      </c>
      <c r="J116" s="35"/>
    </row>
    <row r="117" spans="1:10" ht="28.8" x14ac:dyDescent="0.3">
      <c r="A117" s="27" t="s">
        <v>103</v>
      </c>
      <c r="B117" s="34"/>
      <c r="E117" s="36" t="s">
        <v>2760</v>
      </c>
      <c r="J117" s="35"/>
    </row>
    <row r="118" spans="1:10" ht="28.8" x14ac:dyDescent="0.3">
      <c r="A118" s="27" t="s">
        <v>103</v>
      </c>
      <c r="B118" s="34"/>
      <c r="E118" s="36" t="s">
        <v>2761</v>
      </c>
      <c r="J118" s="35"/>
    </row>
    <row r="119" spans="1:10" ht="28.8" x14ac:dyDescent="0.3">
      <c r="A119" s="27" t="s">
        <v>103</v>
      </c>
      <c r="B119" s="34"/>
      <c r="E119" s="36" t="s">
        <v>2762</v>
      </c>
      <c r="J119" s="35"/>
    </row>
    <row r="120" spans="1:10" ht="28.8" x14ac:dyDescent="0.3">
      <c r="A120" s="27" t="s">
        <v>103</v>
      </c>
      <c r="B120" s="34"/>
      <c r="E120" s="36" t="s">
        <v>2763</v>
      </c>
      <c r="J120" s="35"/>
    </row>
    <row r="121" spans="1:10" ht="28.8" x14ac:dyDescent="0.3">
      <c r="A121" s="27" t="s">
        <v>103</v>
      </c>
      <c r="B121" s="34"/>
      <c r="E121" s="36" t="s">
        <v>2764</v>
      </c>
      <c r="J121" s="35"/>
    </row>
    <row r="122" spans="1:10" ht="28.8" x14ac:dyDescent="0.3">
      <c r="A122" s="27" t="s">
        <v>103</v>
      </c>
      <c r="B122" s="34"/>
      <c r="E122" s="36" t="s">
        <v>2765</v>
      </c>
      <c r="J122" s="35"/>
    </row>
    <row r="123" spans="1:10" ht="28.8" x14ac:dyDescent="0.3">
      <c r="A123" s="27" t="s">
        <v>103</v>
      </c>
      <c r="B123" s="34"/>
      <c r="E123" s="36" t="s">
        <v>2766</v>
      </c>
      <c r="J123" s="35"/>
    </row>
    <row r="124" spans="1:10" ht="28.8" x14ac:dyDescent="0.3">
      <c r="A124" s="27" t="s">
        <v>103</v>
      </c>
      <c r="B124" s="34"/>
      <c r="E124" s="36" t="s">
        <v>2767</v>
      </c>
      <c r="J124" s="35"/>
    </row>
    <row r="125" spans="1:10" ht="28.8" x14ac:dyDescent="0.3">
      <c r="A125" s="27" t="s">
        <v>103</v>
      </c>
      <c r="B125" s="34"/>
      <c r="E125" s="36" t="s">
        <v>2768</v>
      </c>
      <c r="J125" s="35"/>
    </row>
    <row r="126" spans="1:10" ht="28.8" x14ac:dyDescent="0.3">
      <c r="A126" s="27" t="s">
        <v>103</v>
      </c>
      <c r="B126" s="34"/>
      <c r="E126" s="36" t="s">
        <v>2769</v>
      </c>
      <c r="J126" s="35"/>
    </row>
    <row r="127" spans="1:10" ht="28.8" x14ac:dyDescent="0.3">
      <c r="A127" s="27" t="s">
        <v>103</v>
      </c>
      <c r="B127" s="34"/>
      <c r="E127" s="36" t="s">
        <v>2770</v>
      </c>
      <c r="J127" s="35"/>
    </row>
    <row r="128" spans="1:10" ht="28.8" x14ac:dyDescent="0.3">
      <c r="A128" s="27" t="s">
        <v>103</v>
      </c>
      <c r="B128" s="34"/>
      <c r="E128" s="36" t="s">
        <v>2771</v>
      </c>
      <c r="J128" s="35"/>
    </row>
    <row r="129" spans="1:10" ht="28.8" x14ac:dyDescent="0.3">
      <c r="A129" s="27" t="s">
        <v>103</v>
      </c>
      <c r="B129" s="34"/>
      <c r="E129" s="36" t="s">
        <v>2772</v>
      </c>
      <c r="J129" s="35"/>
    </row>
    <row r="130" spans="1:10" ht="28.8" x14ac:dyDescent="0.3">
      <c r="A130" s="27" t="s">
        <v>103</v>
      </c>
      <c r="B130" s="34"/>
      <c r="E130" s="36" t="s">
        <v>2773</v>
      </c>
      <c r="J130" s="35"/>
    </row>
    <row r="131" spans="1:10" ht="28.8" x14ac:dyDescent="0.3">
      <c r="A131" s="27" t="s">
        <v>103</v>
      </c>
      <c r="B131" s="34"/>
      <c r="E131" s="36" t="s">
        <v>2774</v>
      </c>
      <c r="J131" s="35"/>
    </row>
    <row r="132" spans="1:10" ht="28.8" x14ac:dyDescent="0.3">
      <c r="A132" s="27" t="s">
        <v>103</v>
      </c>
      <c r="B132" s="34"/>
      <c r="E132" s="36" t="s">
        <v>2775</v>
      </c>
      <c r="J132" s="35"/>
    </row>
    <row r="133" spans="1:10" ht="28.8" x14ac:dyDescent="0.3">
      <c r="A133" s="27" t="s">
        <v>103</v>
      </c>
      <c r="B133" s="34"/>
      <c r="E133" s="36" t="s">
        <v>2776</v>
      </c>
      <c r="J133" s="35"/>
    </row>
    <row r="134" spans="1:10" ht="28.8" x14ac:dyDescent="0.3">
      <c r="A134" s="27" t="s">
        <v>103</v>
      </c>
      <c r="B134" s="34"/>
      <c r="E134" s="36" t="s">
        <v>2777</v>
      </c>
      <c r="J134" s="35"/>
    </row>
    <row r="135" spans="1:10" ht="28.8" x14ac:dyDescent="0.3">
      <c r="A135" s="27" t="s">
        <v>103</v>
      </c>
      <c r="B135" s="34"/>
      <c r="E135" s="36" t="s">
        <v>2778</v>
      </c>
      <c r="J135" s="35"/>
    </row>
    <row r="136" spans="1:10" ht="28.8" x14ac:dyDescent="0.3">
      <c r="A136" s="27" t="s">
        <v>103</v>
      </c>
      <c r="B136" s="34"/>
      <c r="E136" s="36" t="s">
        <v>2779</v>
      </c>
      <c r="J136" s="35"/>
    </row>
    <row r="137" spans="1:10" ht="28.8" x14ac:dyDescent="0.3">
      <c r="A137" s="27" t="s">
        <v>103</v>
      </c>
      <c r="B137" s="34"/>
      <c r="E137" s="36" t="s">
        <v>2780</v>
      </c>
      <c r="J137" s="35"/>
    </row>
    <row r="138" spans="1:10" ht="28.8" x14ac:dyDescent="0.3">
      <c r="A138" s="27" t="s">
        <v>103</v>
      </c>
      <c r="B138" s="34"/>
      <c r="E138" s="36" t="s">
        <v>2781</v>
      </c>
      <c r="J138" s="35"/>
    </row>
    <row r="139" spans="1:10" ht="28.8" x14ac:dyDescent="0.3">
      <c r="A139" s="27" t="s">
        <v>103</v>
      </c>
      <c r="B139" s="34"/>
      <c r="E139" s="36" t="s">
        <v>2782</v>
      </c>
      <c r="J139" s="35"/>
    </row>
    <row r="140" spans="1:10" ht="28.8" x14ac:dyDescent="0.3">
      <c r="A140" s="27" t="s">
        <v>103</v>
      </c>
      <c r="B140" s="34"/>
      <c r="E140" s="36" t="s">
        <v>2783</v>
      </c>
      <c r="J140" s="35"/>
    </row>
    <row r="141" spans="1:10" ht="28.8" x14ac:dyDescent="0.3">
      <c r="A141" s="27" t="s">
        <v>103</v>
      </c>
      <c r="B141" s="34"/>
      <c r="E141" s="36" t="s">
        <v>2784</v>
      </c>
      <c r="J141" s="35"/>
    </row>
    <row r="142" spans="1:10" ht="28.8" x14ac:dyDescent="0.3">
      <c r="A142" s="27" t="s">
        <v>103</v>
      </c>
      <c r="B142" s="34"/>
      <c r="E142" s="36" t="s">
        <v>2785</v>
      </c>
      <c r="J142" s="35"/>
    </row>
    <row r="143" spans="1:10" ht="28.8" x14ac:dyDescent="0.3">
      <c r="A143" s="27" t="s">
        <v>103</v>
      </c>
      <c r="B143" s="34"/>
      <c r="E143" s="36" t="s">
        <v>2786</v>
      </c>
      <c r="J143" s="35"/>
    </row>
    <row r="144" spans="1:10" ht="28.8" x14ac:dyDescent="0.3">
      <c r="A144" s="27" t="s">
        <v>103</v>
      </c>
      <c r="B144" s="34"/>
      <c r="E144" s="36" t="s">
        <v>2787</v>
      </c>
      <c r="J144" s="35"/>
    </row>
    <row r="145" spans="1:10" ht="28.8" x14ac:dyDescent="0.3">
      <c r="A145" s="27" t="s">
        <v>103</v>
      </c>
      <c r="B145" s="34"/>
      <c r="E145" s="36" t="s">
        <v>2788</v>
      </c>
      <c r="J145" s="35"/>
    </row>
    <row r="146" spans="1:10" ht="28.8" x14ac:dyDescent="0.3">
      <c r="A146" s="27" t="s">
        <v>103</v>
      </c>
      <c r="B146" s="34"/>
      <c r="E146" s="36" t="s">
        <v>2789</v>
      </c>
      <c r="J146" s="35"/>
    </row>
    <row r="147" spans="1:10" ht="28.8" x14ac:dyDescent="0.3">
      <c r="A147" s="27" t="s">
        <v>103</v>
      </c>
      <c r="B147" s="34"/>
      <c r="E147" s="36" t="s">
        <v>2790</v>
      </c>
      <c r="J147" s="35"/>
    </row>
    <row r="148" spans="1:10" ht="28.8" x14ac:dyDescent="0.3">
      <c r="A148" s="27" t="s">
        <v>103</v>
      </c>
      <c r="B148" s="34"/>
      <c r="E148" s="36" t="s">
        <v>2791</v>
      </c>
      <c r="J148" s="35"/>
    </row>
    <row r="149" spans="1:10" ht="28.8" x14ac:dyDescent="0.3">
      <c r="A149" s="27" t="s">
        <v>103</v>
      </c>
      <c r="B149" s="34"/>
      <c r="E149" s="36" t="s">
        <v>2792</v>
      </c>
      <c r="J149" s="35"/>
    </row>
    <row r="150" spans="1:10" ht="28.8" x14ac:dyDescent="0.3">
      <c r="A150" s="27" t="s">
        <v>103</v>
      </c>
      <c r="B150" s="34"/>
      <c r="E150" s="36" t="s">
        <v>2793</v>
      </c>
      <c r="J150" s="35"/>
    </row>
    <row r="151" spans="1:10" ht="28.8" x14ac:dyDescent="0.3">
      <c r="A151" s="27" t="s">
        <v>103</v>
      </c>
      <c r="B151" s="34"/>
      <c r="E151" s="36" t="s">
        <v>2794</v>
      </c>
      <c r="J151" s="35"/>
    </row>
    <row r="152" spans="1:10" ht="28.8" x14ac:dyDescent="0.3">
      <c r="A152" s="27" t="s">
        <v>103</v>
      </c>
      <c r="B152" s="34"/>
      <c r="E152" s="36" t="s">
        <v>2795</v>
      </c>
      <c r="J152" s="35"/>
    </row>
    <row r="153" spans="1:10" ht="28.8" x14ac:dyDescent="0.3">
      <c r="A153" s="27" t="s">
        <v>103</v>
      </c>
      <c r="B153" s="34"/>
      <c r="E153" s="36" t="s">
        <v>2796</v>
      </c>
      <c r="J153" s="35"/>
    </row>
    <row r="154" spans="1:10" ht="28.8" x14ac:dyDescent="0.3">
      <c r="A154" s="27" t="s">
        <v>103</v>
      </c>
      <c r="B154" s="34"/>
      <c r="E154" s="36" t="s">
        <v>2797</v>
      </c>
      <c r="J154" s="35"/>
    </row>
    <row r="155" spans="1:10" ht="28.8" x14ac:dyDescent="0.3">
      <c r="A155" s="27" t="s">
        <v>103</v>
      </c>
      <c r="B155" s="34"/>
      <c r="E155" s="36" t="s">
        <v>2798</v>
      </c>
      <c r="J155" s="35"/>
    </row>
    <row r="156" spans="1:10" ht="28.8" x14ac:dyDescent="0.3">
      <c r="A156" s="27" t="s">
        <v>103</v>
      </c>
      <c r="B156" s="34"/>
      <c r="E156" s="36" t="s">
        <v>2799</v>
      </c>
      <c r="J156" s="35"/>
    </row>
    <row r="157" spans="1:10" ht="28.8" x14ac:dyDescent="0.3">
      <c r="A157" s="27" t="s">
        <v>103</v>
      </c>
      <c r="B157" s="34"/>
      <c r="E157" s="36" t="s">
        <v>2800</v>
      </c>
      <c r="J157" s="35"/>
    </row>
    <row r="158" spans="1:10" ht="28.8" x14ac:dyDescent="0.3">
      <c r="A158" s="27" t="s">
        <v>103</v>
      </c>
      <c r="B158" s="34"/>
      <c r="E158" s="36" t="s">
        <v>2801</v>
      </c>
      <c r="J158" s="35"/>
    </row>
    <row r="159" spans="1:10" ht="28.8" x14ac:dyDescent="0.3">
      <c r="A159" s="27" t="s">
        <v>103</v>
      </c>
      <c r="B159" s="34"/>
      <c r="E159" s="36" t="s">
        <v>2802</v>
      </c>
      <c r="J159" s="35"/>
    </row>
    <row r="160" spans="1:10" ht="28.8" x14ac:dyDescent="0.3">
      <c r="A160" s="27" t="s">
        <v>103</v>
      </c>
      <c r="B160" s="34"/>
      <c r="E160" s="36" t="s">
        <v>2803</v>
      </c>
      <c r="J160" s="35"/>
    </row>
    <row r="161" spans="1:16" ht="28.8" x14ac:dyDescent="0.3">
      <c r="A161" s="27" t="s">
        <v>103</v>
      </c>
      <c r="B161" s="34"/>
      <c r="E161" s="36" t="s">
        <v>2804</v>
      </c>
      <c r="J161" s="35"/>
    </row>
    <row r="162" spans="1:16" ht="28.8" x14ac:dyDescent="0.3">
      <c r="A162" s="27" t="s">
        <v>103</v>
      </c>
      <c r="B162" s="34"/>
      <c r="E162" s="36" t="s">
        <v>2805</v>
      </c>
      <c r="J162" s="35"/>
    </row>
    <row r="163" spans="1:16" ht="28.8" x14ac:dyDescent="0.3">
      <c r="A163" s="27" t="s">
        <v>103</v>
      </c>
      <c r="B163" s="34"/>
      <c r="E163" s="36" t="s">
        <v>2806</v>
      </c>
      <c r="J163" s="35"/>
    </row>
    <row r="164" spans="1:16" ht="28.8" x14ac:dyDescent="0.3">
      <c r="A164" s="27" t="s">
        <v>103</v>
      </c>
      <c r="B164" s="34"/>
      <c r="E164" s="36" t="s">
        <v>2807</v>
      </c>
      <c r="J164" s="35"/>
    </row>
    <row r="165" spans="1:16" ht="28.8" x14ac:dyDescent="0.3">
      <c r="A165" s="27" t="s">
        <v>103</v>
      </c>
      <c r="B165" s="34"/>
      <c r="E165" s="36" t="s">
        <v>2808</v>
      </c>
      <c r="J165" s="35"/>
    </row>
    <row r="166" spans="1:16" ht="28.8" x14ac:dyDescent="0.3">
      <c r="A166" s="27" t="s">
        <v>103</v>
      </c>
      <c r="B166" s="34"/>
      <c r="E166" s="36" t="s">
        <v>2809</v>
      </c>
      <c r="J166" s="35"/>
    </row>
    <row r="167" spans="1:16" ht="28.8" x14ac:dyDescent="0.3">
      <c r="A167" s="27" t="s">
        <v>103</v>
      </c>
      <c r="B167" s="34"/>
      <c r="E167" s="36" t="s">
        <v>2810</v>
      </c>
      <c r="J167" s="35"/>
    </row>
    <row r="168" spans="1:16" ht="28.8" x14ac:dyDescent="0.3">
      <c r="A168" s="27" t="s">
        <v>103</v>
      </c>
      <c r="B168" s="34"/>
      <c r="E168" s="36" t="s">
        <v>2811</v>
      </c>
      <c r="J168" s="35"/>
    </row>
    <row r="169" spans="1:16" ht="28.8" x14ac:dyDescent="0.3">
      <c r="A169" s="27" t="s">
        <v>103</v>
      </c>
      <c r="B169" s="34"/>
      <c r="E169" s="36" t="s">
        <v>2812</v>
      </c>
      <c r="J169" s="35"/>
    </row>
    <row r="170" spans="1:16" x14ac:dyDescent="0.3">
      <c r="A170" s="27" t="s">
        <v>103</v>
      </c>
      <c r="B170" s="34"/>
      <c r="E170" s="36" t="s">
        <v>2813</v>
      </c>
      <c r="J170" s="35"/>
    </row>
    <row r="171" spans="1:16" ht="57.6" x14ac:dyDescent="0.3">
      <c r="A171" s="27" t="s">
        <v>105</v>
      </c>
      <c r="B171" s="34"/>
      <c r="E171" s="29" t="s">
        <v>765</v>
      </c>
      <c r="J171" s="35"/>
    </row>
    <row r="172" spans="1:16" x14ac:dyDescent="0.3">
      <c r="A172" s="27" t="s">
        <v>95</v>
      </c>
      <c r="B172" s="27">
        <v>8</v>
      </c>
      <c r="C172" s="28" t="s">
        <v>990</v>
      </c>
      <c r="D172" s="27" t="s">
        <v>97</v>
      </c>
      <c r="E172" s="29" t="s">
        <v>991</v>
      </c>
      <c r="F172" s="30" t="s">
        <v>248</v>
      </c>
      <c r="G172" s="31">
        <v>935.06799999999998</v>
      </c>
      <c r="H172" s="32">
        <v>0</v>
      </c>
      <c r="I172" s="32">
        <f>ROUND(935.068*H172,P4)</f>
        <v>0</v>
      </c>
      <c r="J172" s="30" t="s">
        <v>118</v>
      </c>
      <c r="O172" s="33">
        <f>I172*0.21</f>
        <v>0</v>
      </c>
      <c r="P172">
        <v>3</v>
      </c>
    </row>
    <row r="173" spans="1:16" ht="158.4" x14ac:dyDescent="0.3">
      <c r="A173" s="27" t="s">
        <v>101</v>
      </c>
      <c r="B173" s="34"/>
      <c r="E173" s="29" t="s">
        <v>2814</v>
      </c>
      <c r="J173" s="35"/>
    </row>
    <row r="174" spans="1:16" ht="28.8" x14ac:dyDescent="0.3">
      <c r="A174" s="27" t="s">
        <v>103</v>
      </c>
      <c r="B174" s="34"/>
      <c r="E174" s="36" t="s">
        <v>2815</v>
      </c>
      <c r="J174" s="35"/>
    </row>
    <row r="175" spans="1:16" x14ac:dyDescent="0.3">
      <c r="A175" s="27" t="s">
        <v>103</v>
      </c>
      <c r="B175" s="34"/>
      <c r="E175" s="36" t="s">
        <v>2816</v>
      </c>
      <c r="J175" s="35"/>
    </row>
    <row r="176" spans="1:16" ht="72" x14ac:dyDescent="0.3">
      <c r="A176" s="27" t="s">
        <v>105</v>
      </c>
      <c r="B176" s="34"/>
      <c r="E176" s="29" t="s">
        <v>997</v>
      </c>
      <c r="J176" s="35"/>
    </row>
    <row r="177" spans="1:16" x14ac:dyDescent="0.3">
      <c r="A177" s="27" t="s">
        <v>95</v>
      </c>
      <c r="B177" s="27">
        <v>9</v>
      </c>
      <c r="C177" s="28" t="s">
        <v>998</v>
      </c>
      <c r="D177" s="27" t="s">
        <v>129</v>
      </c>
      <c r="E177" s="29" t="s">
        <v>999</v>
      </c>
      <c r="F177" s="30" t="s">
        <v>248</v>
      </c>
      <c r="G177" s="31">
        <v>934.34100000000001</v>
      </c>
      <c r="H177" s="32">
        <v>0</v>
      </c>
      <c r="I177" s="32">
        <f>ROUND(934.341*H177,P4)</f>
        <v>0</v>
      </c>
      <c r="J177" s="30" t="s">
        <v>118</v>
      </c>
      <c r="O177" s="33">
        <f>I177*0.21</f>
        <v>0</v>
      </c>
      <c r="P177">
        <v>3</v>
      </c>
    </row>
    <row r="178" spans="1:16" ht="158.4" x14ac:dyDescent="0.3">
      <c r="A178" s="27" t="s">
        <v>101</v>
      </c>
      <c r="B178" s="34"/>
      <c r="E178" s="29" t="s">
        <v>2817</v>
      </c>
      <c r="J178" s="35"/>
    </row>
    <row r="179" spans="1:16" ht="28.8" x14ac:dyDescent="0.3">
      <c r="A179" s="27" t="s">
        <v>103</v>
      </c>
      <c r="B179" s="34"/>
      <c r="E179" s="36" t="s">
        <v>2818</v>
      </c>
      <c r="J179" s="35"/>
    </row>
    <row r="180" spans="1:16" x14ac:dyDescent="0.3">
      <c r="A180" s="27" t="s">
        <v>103</v>
      </c>
      <c r="B180" s="34"/>
      <c r="E180" s="36" t="s">
        <v>2819</v>
      </c>
      <c r="J180" s="35"/>
    </row>
    <row r="181" spans="1:16" ht="72" x14ac:dyDescent="0.3">
      <c r="A181" s="27" t="s">
        <v>105</v>
      </c>
      <c r="B181" s="34"/>
      <c r="E181" s="29" t="s">
        <v>997</v>
      </c>
      <c r="J181" s="35"/>
    </row>
    <row r="182" spans="1:16" x14ac:dyDescent="0.3">
      <c r="A182" s="27" t="s">
        <v>95</v>
      </c>
      <c r="B182" s="27">
        <v>10</v>
      </c>
      <c r="C182" s="28" t="s">
        <v>1012</v>
      </c>
      <c r="D182" s="27" t="s">
        <v>97</v>
      </c>
      <c r="E182" s="29" t="s">
        <v>1013</v>
      </c>
      <c r="F182" s="30" t="s">
        <v>229</v>
      </c>
      <c r="G182" s="31">
        <v>37.325000000000003</v>
      </c>
      <c r="H182" s="32">
        <v>0</v>
      </c>
      <c r="I182" s="32">
        <f>ROUND(37.325*H182,P4)</f>
        <v>0</v>
      </c>
      <c r="J182" s="30" t="s">
        <v>100</v>
      </c>
      <c r="O182" s="33">
        <f>I182*0.21</f>
        <v>0</v>
      </c>
      <c r="P182">
        <v>3</v>
      </c>
    </row>
    <row r="183" spans="1:16" ht="158.4" x14ac:dyDescent="0.3">
      <c r="A183" s="27" t="s">
        <v>101</v>
      </c>
      <c r="B183" s="34"/>
      <c r="E183" s="29" t="s">
        <v>2820</v>
      </c>
      <c r="J183" s="35"/>
    </row>
    <row r="184" spans="1:16" ht="28.8" x14ac:dyDescent="0.3">
      <c r="A184" s="27" t="s">
        <v>103</v>
      </c>
      <c r="B184" s="34"/>
      <c r="E184" s="36" t="s">
        <v>2821</v>
      </c>
      <c r="J184" s="35"/>
    </row>
    <row r="185" spans="1:16" ht="28.8" x14ac:dyDescent="0.3">
      <c r="A185" s="27" t="s">
        <v>103</v>
      </c>
      <c r="B185" s="34"/>
      <c r="E185" s="36" t="s">
        <v>2822</v>
      </c>
      <c r="J185" s="35"/>
    </row>
    <row r="186" spans="1:16" ht="28.8" x14ac:dyDescent="0.3">
      <c r="A186" s="27" t="s">
        <v>103</v>
      </c>
      <c r="B186" s="34"/>
      <c r="E186" s="36" t="s">
        <v>2823</v>
      </c>
      <c r="J186" s="35"/>
    </row>
    <row r="187" spans="1:16" ht="28.8" x14ac:dyDescent="0.3">
      <c r="A187" s="27" t="s">
        <v>103</v>
      </c>
      <c r="B187" s="34"/>
      <c r="E187" s="36" t="s">
        <v>2824</v>
      </c>
      <c r="J187" s="35"/>
    </row>
    <row r="188" spans="1:16" ht="28.8" x14ac:dyDescent="0.3">
      <c r="A188" s="27" t="s">
        <v>103</v>
      </c>
      <c r="B188" s="34"/>
      <c r="E188" s="36" t="s">
        <v>2825</v>
      </c>
      <c r="J188" s="35"/>
    </row>
    <row r="189" spans="1:16" ht="28.8" x14ac:dyDescent="0.3">
      <c r="A189" s="27" t="s">
        <v>103</v>
      </c>
      <c r="B189" s="34"/>
      <c r="E189" s="36" t="s">
        <v>2826</v>
      </c>
      <c r="J189" s="35"/>
    </row>
    <row r="190" spans="1:16" ht="28.8" x14ac:dyDescent="0.3">
      <c r="A190" s="27" t="s">
        <v>103</v>
      </c>
      <c r="B190" s="34"/>
      <c r="E190" s="36" t="s">
        <v>2827</v>
      </c>
      <c r="J190" s="35"/>
    </row>
    <row r="191" spans="1:16" ht="28.8" x14ac:dyDescent="0.3">
      <c r="A191" s="27" t="s">
        <v>103</v>
      </c>
      <c r="B191" s="34"/>
      <c r="E191" s="36" t="s">
        <v>2828</v>
      </c>
      <c r="J191" s="35"/>
    </row>
    <row r="192" spans="1:16" ht="28.8" x14ac:dyDescent="0.3">
      <c r="A192" s="27" t="s">
        <v>103</v>
      </c>
      <c r="B192" s="34"/>
      <c r="E192" s="36" t="s">
        <v>2829</v>
      </c>
      <c r="J192" s="35"/>
    </row>
    <row r="193" spans="1:16" ht="28.8" x14ac:dyDescent="0.3">
      <c r="A193" s="27" t="s">
        <v>103</v>
      </c>
      <c r="B193" s="34"/>
      <c r="E193" s="36" t="s">
        <v>2830</v>
      </c>
      <c r="J193" s="35"/>
    </row>
    <row r="194" spans="1:16" ht="28.8" x14ac:dyDescent="0.3">
      <c r="A194" s="27" t="s">
        <v>103</v>
      </c>
      <c r="B194" s="34"/>
      <c r="E194" s="36" t="s">
        <v>2831</v>
      </c>
      <c r="J194" s="35"/>
    </row>
    <row r="195" spans="1:16" ht="28.8" x14ac:dyDescent="0.3">
      <c r="A195" s="27" t="s">
        <v>103</v>
      </c>
      <c r="B195" s="34"/>
      <c r="E195" s="36" t="s">
        <v>2832</v>
      </c>
      <c r="J195" s="35"/>
    </row>
    <row r="196" spans="1:16" ht="28.8" x14ac:dyDescent="0.3">
      <c r="A196" s="27" t="s">
        <v>103</v>
      </c>
      <c r="B196" s="34"/>
      <c r="E196" s="36" t="s">
        <v>2833</v>
      </c>
      <c r="J196" s="35"/>
    </row>
    <row r="197" spans="1:16" ht="28.8" x14ac:dyDescent="0.3">
      <c r="A197" s="27" t="s">
        <v>103</v>
      </c>
      <c r="B197" s="34"/>
      <c r="E197" s="36" t="s">
        <v>2834</v>
      </c>
      <c r="J197" s="35"/>
    </row>
    <row r="198" spans="1:16" x14ac:dyDescent="0.3">
      <c r="A198" s="27" t="s">
        <v>103</v>
      </c>
      <c r="B198" s="34"/>
      <c r="E198" s="36" t="s">
        <v>2835</v>
      </c>
      <c r="J198" s="35"/>
    </row>
    <row r="199" spans="1:16" ht="187.2" x14ac:dyDescent="0.3">
      <c r="A199" s="27" t="s">
        <v>105</v>
      </c>
      <c r="B199" s="34"/>
      <c r="E199" s="29" t="s">
        <v>1066</v>
      </c>
      <c r="J199" s="35"/>
    </row>
    <row r="200" spans="1:16" x14ac:dyDescent="0.3">
      <c r="A200" s="27" t="s">
        <v>95</v>
      </c>
      <c r="B200" s="27">
        <v>11</v>
      </c>
      <c r="C200" s="28" t="s">
        <v>1067</v>
      </c>
      <c r="D200" s="27" t="s">
        <v>129</v>
      </c>
      <c r="E200" s="29" t="s">
        <v>1068</v>
      </c>
      <c r="F200" s="30" t="s">
        <v>229</v>
      </c>
      <c r="G200" s="31">
        <v>55.987000000000002</v>
      </c>
      <c r="H200" s="32">
        <v>0</v>
      </c>
      <c r="I200" s="32">
        <f>ROUND(55.987*H200,P4)</f>
        <v>0</v>
      </c>
      <c r="J200" s="30" t="s">
        <v>100</v>
      </c>
      <c r="O200" s="33">
        <f>I200*0.21</f>
        <v>0</v>
      </c>
      <c r="P200">
        <v>3</v>
      </c>
    </row>
    <row r="201" spans="1:16" ht="172.8" x14ac:dyDescent="0.3">
      <c r="A201" s="27" t="s">
        <v>101</v>
      </c>
      <c r="B201" s="34"/>
      <c r="E201" s="29" t="s">
        <v>2836</v>
      </c>
      <c r="J201" s="35"/>
    </row>
    <row r="202" spans="1:16" ht="28.8" x14ac:dyDescent="0.3">
      <c r="A202" s="27" t="s">
        <v>103</v>
      </c>
      <c r="B202" s="34"/>
      <c r="E202" s="36" t="s">
        <v>2837</v>
      </c>
      <c r="J202" s="35"/>
    </row>
    <row r="203" spans="1:16" ht="28.8" x14ac:dyDescent="0.3">
      <c r="A203" s="27" t="s">
        <v>103</v>
      </c>
      <c r="B203" s="34"/>
      <c r="E203" s="36" t="s">
        <v>2838</v>
      </c>
      <c r="J203" s="35"/>
    </row>
    <row r="204" spans="1:16" ht="28.8" x14ac:dyDescent="0.3">
      <c r="A204" s="27" t="s">
        <v>103</v>
      </c>
      <c r="B204" s="34"/>
      <c r="E204" s="36" t="s">
        <v>2839</v>
      </c>
      <c r="J204" s="35"/>
    </row>
    <row r="205" spans="1:16" ht="28.8" x14ac:dyDescent="0.3">
      <c r="A205" s="27" t="s">
        <v>103</v>
      </c>
      <c r="B205" s="34"/>
      <c r="E205" s="36" t="s">
        <v>2840</v>
      </c>
      <c r="J205" s="35"/>
    </row>
    <row r="206" spans="1:16" ht="28.8" x14ac:dyDescent="0.3">
      <c r="A206" s="27" t="s">
        <v>103</v>
      </c>
      <c r="B206" s="34"/>
      <c r="E206" s="36" t="s">
        <v>2841</v>
      </c>
      <c r="J206" s="35"/>
    </row>
    <row r="207" spans="1:16" ht="28.8" x14ac:dyDescent="0.3">
      <c r="A207" s="27" t="s">
        <v>103</v>
      </c>
      <c r="B207" s="34"/>
      <c r="E207" s="36" t="s">
        <v>2842</v>
      </c>
      <c r="J207" s="35"/>
    </row>
    <row r="208" spans="1:16" ht="28.8" x14ac:dyDescent="0.3">
      <c r="A208" s="27" t="s">
        <v>103</v>
      </c>
      <c r="B208" s="34"/>
      <c r="E208" s="36" t="s">
        <v>2843</v>
      </c>
      <c r="J208" s="35"/>
    </row>
    <row r="209" spans="1:16" ht="28.8" x14ac:dyDescent="0.3">
      <c r="A209" s="27" t="s">
        <v>103</v>
      </c>
      <c r="B209" s="34"/>
      <c r="E209" s="36" t="s">
        <v>2844</v>
      </c>
      <c r="J209" s="35"/>
    </row>
    <row r="210" spans="1:16" ht="28.8" x14ac:dyDescent="0.3">
      <c r="A210" s="27" t="s">
        <v>103</v>
      </c>
      <c r="B210" s="34"/>
      <c r="E210" s="36" t="s">
        <v>2845</v>
      </c>
      <c r="J210" s="35"/>
    </row>
    <row r="211" spans="1:16" ht="28.8" x14ac:dyDescent="0.3">
      <c r="A211" s="27" t="s">
        <v>103</v>
      </c>
      <c r="B211" s="34"/>
      <c r="E211" s="36" t="s">
        <v>2846</v>
      </c>
      <c r="J211" s="35"/>
    </row>
    <row r="212" spans="1:16" ht="28.8" x14ac:dyDescent="0.3">
      <c r="A212" s="27" t="s">
        <v>103</v>
      </c>
      <c r="B212" s="34"/>
      <c r="E212" s="36" t="s">
        <v>2847</v>
      </c>
      <c r="J212" s="35"/>
    </row>
    <row r="213" spans="1:16" ht="28.8" x14ac:dyDescent="0.3">
      <c r="A213" s="27" t="s">
        <v>103</v>
      </c>
      <c r="B213" s="34"/>
      <c r="E213" s="36" t="s">
        <v>2848</v>
      </c>
      <c r="J213" s="35"/>
    </row>
    <row r="214" spans="1:16" ht="28.8" x14ac:dyDescent="0.3">
      <c r="A214" s="27" t="s">
        <v>103</v>
      </c>
      <c r="B214" s="34"/>
      <c r="E214" s="36" t="s">
        <v>2849</v>
      </c>
      <c r="J214" s="35"/>
    </row>
    <row r="215" spans="1:16" ht="28.8" x14ac:dyDescent="0.3">
      <c r="A215" s="27" t="s">
        <v>103</v>
      </c>
      <c r="B215" s="34"/>
      <c r="E215" s="36" t="s">
        <v>2850</v>
      </c>
      <c r="J215" s="35"/>
    </row>
    <row r="216" spans="1:16" x14ac:dyDescent="0.3">
      <c r="A216" s="27" t="s">
        <v>103</v>
      </c>
      <c r="B216" s="34"/>
      <c r="E216" s="36" t="s">
        <v>2851</v>
      </c>
      <c r="J216" s="35"/>
    </row>
    <row r="217" spans="1:16" ht="187.2" x14ac:dyDescent="0.3">
      <c r="A217" s="27" t="s">
        <v>105</v>
      </c>
      <c r="B217" s="34"/>
      <c r="E217" s="29" t="s">
        <v>1066</v>
      </c>
      <c r="J217" s="35"/>
    </row>
    <row r="218" spans="1:16" x14ac:dyDescent="0.3">
      <c r="A218" s="27" t="s">
        <v>95</v>
      </c>
      <c r="B218" s="27">
        <v>12</v>
      </c>
      <c r="C218" s="28" t="s">
        <v>2852</v>
      </c>
      <c r="D218" s="27" t="s">
        <v>129</v>
      </c>
      <c r="E218" s="29" t="s">
        <v>2853</v>
      </c>
      <c r="F218" s="30" t="s">
        <v>229</v>
      </c>
      <c r="G218" s="31">
        <v>46.655000000000001</v>
      </c>
      <c r="H218" s="32">
        <v>0</v>
      </c>
      <c r="I218" s="32">
        <f>ROUND(46.655*H218,P4)</f>
        <v>0</v>
      </c>
      <c r="J218" s="30" t="s">
        <v>100</v>
      </c>
      <c r="O218" s="33">
        <f>I218*0.21</f>
        <v>0</v>
      </c>
      <c r="P218">
        <v>3</v>
      </c>
    </row>
    <row r="219" spans="1:16" ht="158.4" x14ac:dyDescent="0.3">
      <c r="A219" s="27" t="s">
        <v>101</v>
      </c>
      <c r="B219" s="34"/>
      <c r="E219" s="29" t="s">
        <v>2854</v>
      </c>
      <c r="J219" s="35"/>
    </row>
    <row r="220" spans="1:16" ht="28.8" x14ac:dyDescent="0.3">
      <c r="A220" s="27" t="s">
        <v>103</v>
      </c>
      <c r="B220" s="34"/>
      <c r="E220" s="36" t="s">
        <v>2855</v>
      </c>
      <c r="J220" s="35"/>
    </row>
    <row r="221" spans="1:16" ht="28.8" x14ac:dyDescent="0.3">
      <c r="A221" s="27" t="s">
        <v>103</v>
      </c>
      <c r="B221" s="34"/>
      <c r="E221" s="36" t="s">
        <v>2856</v>
      </c>
      <c r="J221" s="35"/>
    </row>
    <row r="222" spans="1:16" ht="28.8" x14ac:dyDescent="0.3">
      <c r="A222" s="27" t="s">
        <v>103</v>
      </c>
      <c r="B222" s="34"/>
      <c r="E222" s="36" t="s">
        <v>2857</v>
      </c>
      <c r="J222" s="35"/>
    </row>
    <row r="223" spans="1:16" ht="28.8" x14ac:dyDescent="0.3">
      <c r="A223" s="27" t="s">
        <v>103</v>
      </c>
      <c r="B223" s="34"/>
      <c r="E223" s="36" t="s">
        <v>2858</v>
      </c>
      <c r="J223" s="35"/>
    </row>
    <row r="224" spans="1:16" ht="28.8" x14ac:dyDescent="0.3">
      <c r="A224" s="27" t="s">
        <v>103</v>
      </c>
      <c r="B224" s="34"/>
      <c r="E224" s="36" t="s">
        <v>2859</v>
      </c>
      <c r="J224" s="35"/>
    </row>
    <row r="225" spans="1:16" ht="28.8" x14ac:dyDescent="0.3">
      <c r="A225" s="27" t="s">
        <v>103</v>
      </c>
      <c r="B225" s="34"/>
      <c r="E225" s="36" t="s">
        <v>2860</v>
      </c>
      <c r="J225" s="35"/>
    </row>
    <row r="226" spans="1:16" ht="28.8" x14ac:dyDescent="0.3">
      <c r="A226" s="27" t="s">
        <v>103</v>
      </c>
      <c r="B226" s="34"/>
      <c r="E226" s="36" t="s">
        <v>2861</v>
      </c>
      <c r="J226" s="35"/>
    </row>
    <row r="227" spans="1:16" ht="28.8" x14ac:dyDescent="0.3">
      <c r="A227" s="27" t="s">
        <v>103</v>
      </c>
      <c r="B227" s="34"/>
      <c r="E227" s="36" t="s">
        <v>2862</v>
      </c>
      <c r="J227" s="35"/>
    </row>
    <row r="228" spans="1:16" ht="28.8" x14ac:dyDescent="0.3">
      <c r="A228" s="27" t="s">
        <v>103</v>
      </c>
      <c r="B228" s="34"/>
      <c r="E228" s="36" t="s">
        <v>2863</v>
      </c>
      <c r="J228" s="35"/>
    </row>
    <row r="229" spans="1:16" ht="28.8" x14ac:dyDescent="0.3">
      <c r="A229" s="27" t="s">
        <v>103</v>
      </c>
      <c r="B229" s="34"/>
      <c r="E229" s="36" t="s">
        <v>2864</v>
      </c>
      <c r="J229" s="35"/>
    </row>
    <row r="230" spans="1:16" ht="28.8" x14ac:dyDescent="0.3">
      <c r="A230" s="27" t="s">
        <v>103</v>
      </c>
      <c r="B230" s="34"/>
      <c r="E230" s="36" t="s">
        <v>2865</v>
      </c>
      <c r="J230" s="35"/>
    </row>
    <row r="231" spans="1:16" ht="28.8" x14ac:dyDescent="0.3">
      <c r="A231" s="27" t="s">
        <v>103</v>
      </c>
      <c r="B231" s="34"/>
      <c r="E231" s="36" t="s">
        <v>2866</v>
      </c>
      <c r="J231" s="35"/>
    </row>
    <row r="232" spans="1:16" ht="28.8" x14ac:dyDescent="0.3">
      <c r="A232" s="27" t="s">
        <v>103</v>
      </c>
      <c r="B232" s="34"/>
      <c r="E232" s="36" t="s">
        <v>2867</v>
      </c>
      <c r="J232" s="35"/>
    </row>
    <row r="233" spans="1:16" ht="28.8" x14ac:dyDescent="0.3">
      <c r="A233" s="27" t="s">
        <v>103</v>
      </c>
      <c r="B233" s="34"/>
      <c r="E233" s="36" t="s">
        <v>2868</v>
      </c>
      <c r="J233" s="35"/>
    </row>
    <row r="234" spans="1:16" x14ac:dyDescent="0.3">
      <c r="A234" s="27" t="s">
        <v>103</v>
      </c>
      <c r="B234" s="34"/>
      <c r="E234" s="36" t="s">
        <v>2869</v>
      </c>
      <c r="J234" s="35"/>
    </row>
    <row r="235" spans="1:16" ht="187.2" x14ac:dyDescent="0.3">
      <c r="A235" s="27" t="s">
        <v>105</v>
      </c>
      <c r="B235" s="34"/>
      <c r="E235" s="29" t="s">
        <v>1066</v>
      </c>
      <c r="J235" s="35"/>
    </row>
    <row r="236" spans="1:16" x14ac:dyDescent="0.3">
      <c r="A236" s="21" t="s">
        <v>92</v>
      </c>
      <c r="B236" s="22"/>
      <c r="C236" s="23" t="s">
        <v>252</v>
      </c>
      <c r="D236" s="24"/>
      <c r="E236" s="21" t="s">
        <v>253</v>
      </c>
      <c r="F236" s="24"/>
      <c r="G236" s="24"/>
      <c r="H236" s="24"/>
      <c r="I236" s="25">
        <f>SUMIFS(I237:I349,A237:A349,"P")</f>
        <v>0</v>
      </c>
      <c r="J236" s="26"/>
    </row>
    <row r="237" spans="1:16" ht="28.8" x14ac:dyDescent="0.3">
      <c r="A237" s="27" t="s">
        <v>95</v>
      </c>
      <c r="B237" s="27">
        <v>13</v>
      </c>
      <c r="C237" s="28" t="s">
        <v>2870</v>
      </c>
      <c r="D237" s="27" t="s">
        <v>97</v>
      </c>
      <c r="E237" s="29" t="s">
        <v>2871</v>
      </c>
      <c r="F237" s="30" t="s">
        <v>237</v>
      </c>
      <c r="G237" s="31">
        <v>195.73</v>
      </c>
      <c r="H237" s="32">
        <v>0</v>
      </c>
      <c r="I237" s="32">
        <f>ROUND(195.73*H237,P4)</f>
        <v>0</v>
      </c>
      <c r="J237" s="30" t="s">
        <v>118</v>
      </c>
      <c r="O237" s="33">
        <f>I237*0.21</f>
        <v>0</v>
      </c>
      <c r="P237">
        <v>3</v>
      </c>
    </row>
    <row r="238" spans="1:16" ht="288" x14ac:dyDescent="0.3">
      <c r="A238" s="27" t="s">
        <v>101</v>
      </c>
      <c r="B238" s="34"/>
      <c r="E238" s="29" t="s">
        <v>2872</v>
      </c>
      <c r="J238" s="35"/>
    </row>
    <row r="239" spans="1:16" ht="28.8" x14ac:dyDescent="0.3">
      <c r="A239" s="27" t="s">
        <v>103</v>
      </c>
      <c r="B239" s="34"/>
      <c r="E239" s="36" t="s">
        <v>2873</v>
      </c>
      <c r="J239" s="35"/>
    </row>
    <row r="240" spans="1:16" x14ac:dyDescent="0.3">
      <c r="A240" s="27" t="s">
        <v>103</v>
      </c>
      <c r="B240" s="34"/>
      <c r="E240" s="36" t="s">
        <v>2874</v>
      </c>
      <c r="J240" s="35"/>
    </row>
    <row r="241" spans="1:10" x14ac:dyDescent="0.3">
      <c r="A241" s="27" t="s">
        <v>103</v>
      </c>
      <c r="B241" s="34"/>
      <c r="E241" s="36" t="s">
        <v>2875</v>
      </c>
      <c r="J241" s="35"/>
    </row>
    <row r="242" spans="1:10" x14ac:dyDescent="0.3">
      <c r="A242" s="27" t="s">
        <v>103</v>
      </c>
      <c r="B242" s="34"/>
      <c r="E242" s="36" t="s">
        <v>2876</v>
      </c>
      <c r="J242" s="35"/>
    </row>
    <row r="243" spans="1:10" ht="28.8" x14ac:dyDescent="0.3">
      <c r="A243" s="27" t="s">
        <v>103</v>
      </c>
      <c r="B243" s="34"/>
      <c r="E243" s="36" t="s">
        <v>2877</v>
      </c>
      <c r="J243" s="35"/>
    </row>
    <row r="244" spans="1:10" x14ac:dyDescent="0.3">
      <c r="A244" s="27" t="s">
        <v>103</v>
      </c>
      <c r="B244" s="34"/>
      <c r="E244" s="36" t="s">
        <v>2878</v>
      </c>
      <c r="J244" s="35"/>
    </row>
    <row r="245" spans="1:10" x14ac:dyDescent="0.3">
      <c r="A245" s="27" t="s">
        <v>103</v>
      </c>
      <c r="B245" s="34"/>
      <c r="E245" s="36" t="s">
        <v>2879</v>
      </c>
      <c r="J245" s="35"/>
    </row>
    <row r="246" spans="1:10" x14ac:dyDescent="0.3">
      <c r="A246" s="27" t="s">
        <v>103</v>
      </c>
      <c r="B246" s="34"/>
      <c r="E246" s="36" t="s">
        <v>2880</v>
      </c>
      <c r="J246" s="35"/>
    </row>
    <row r="247" spans="1:10" x14ac:dyDescent="0.3">
      <c r="A247" s="27" t="s">
        <v>103</v>
      </c>
      <c r="B247" s="34"/>
      <c r="E247" s="36" t="s">
        <v>2881</v>
      </c>
      <c r="J247" s="35"/>
    </row>
    <row r="248" spans="1:10" ht="28.8" x14ac:dyDescent="0.3">
      <c r="A248" s="27" t="s">
        <v>103</v>
      </c>
      <c r="B248" s="34"/>
      <c r="E248" s="36" t="s">
        <v>2882</v>
      </c>
      <c r="J248" s="35"/>
    </row>
    <row r="249" spans="1:10" x14ac:dyDescent="0.3">
      <c r="A249" s="27" t="s">
        <v>103</v>
      </c>
      <c r="B249" s="34"/>
      <c r="E249" s="36" t="s">
        <v>2883</v>
      </c>
      <c r="J249" s="35"/>
    </row>
    <row r="250" spans="1:10" ht="28.8" x14ac:dyDescent="0.3">
      <c r="A250" s="27" t="s">
        <v>103</v>
      </c>
      <c r="B250" s="34"/>
      <c r="E250" s="36" t="s">
        <v>2884</v>
      </c>
      <c r="J250" s="35"/>
    </row>
    <row r="251" spans="1:10" ht="28.8" x14ac:dyDescent="0.3">
      <c r="A251" s="27" t="s">
        <v>103</v>
      </c>
      <c r="B251" s="34"/>
      <c r="E251" s="36" t="s">
        <v>2885</v>
      </c>
      <c r="J251" s="35"/>
    </row>
    <row r="252" spans="1:10" ht="28.8" x14ac:dyDescent="0.3">
      <c r="A252" s="27" t="s">
        <v>103</v>
      </c>
      <c r="B252" s="34"/>
      <c r="E252" s="36" t="s">
        <v>2886</v>
      </c>
      <c r="J252" s="35"/>
    </row>
    <row r="253" spans="1:10" x14ac:dyDescent="0.3">
      <c r="A253" s="27" t="s">
        <v>103</v>
      </c>
      <c r="B253" s="34"/>
      <c r="E253" s="36" t="s">
        <v>2887</v>
      </c>
      <c r="J253" s="35"/>
    </row>
    <row r="254" spans="1:10" x14ac:dyDescent="0.3">
      <c r="A254" s="27" t="s">
        <v>103</v>
      </c>
      <c r="B254" s="34"/>
      <c r="E254" s="36" t="s">
        <v>2888</v>
      </c>
      <c r="J254" s="35"/>
    </row>
    <row r="255" spans="1:10" x14ac:dyDescent="0.3">
      <c r="A255" s="27" t="s">
        <v>103</v>
      </c>
      <c r="B255" s="34"/>
      <c r="E255" s="36" t="s">
        <v>2889</v>
      </c>
      <c r="J255" s="35"/>
    </row>
    <row r="256" spans="1:10" ht="28.8" x14ac:dyDescent="0.3">
      <c r="A256" s="27" t="s">
        <v>103</v>
      </c>
      <c r="B256" s="34"/>
      <c r="E256" s="36" t="s">
        <v>2890</v>
      </c>
      <c r="J256" s="35"/>
    </row>
    <row r="257" spans="1:16" x14ac:dyDescent="0.3">
      <c r="A257" s="27" t="s">
        <v>103</v>
      </c>
      <c r="B257" s="34"/>
      <c r="E257" s="36" t="s">
        <v>2891</v>
      </c>
      <c r="J257" s="35"/>
    </row>
    <row r="258" spans="1:16" x14ac:dyDescent="0.3">
      <c r="A258" s="27" t="s">
        <v>103</v>
      </c>
      <c r="B258" s="34"/>
      <c r="E258" s="36" t="s">
        <v>2892</v>
      </c>
      <c r="J258" s="35"/>
    </row>
    <row r="259" spans="1:16" x14ac:dyDescent="0.3">
      <c r="A259" s="27" t="s">
        <v>103</v>
      </c>
      <c r="B259" s="34"/>
      <c r="E259" s="36" t="s">
        <v>2893</v>
      </c>
      <c r="J259" s="35"/>
    </row>
    <row r="260" spans="1:16" ht="57.6" x14ac:dyDescent="0.3">
      <c r="A260" s="27" t="s">
        <v>105</v>
      </c>
      <c r="B260" s="34"/>
      <c r="E260" s="29" t="s">
        <v>2894</v>
      </c>
      <c r="J260" s="35"/>
    </row>
    <row r="261" spans="1:16" ht="28.8" x14ac:dyDescent="0.3">
      <c r="A261" s="27" t="s">
        <v>95</v>
      </c>
      <c r="B261" s="27">
        <v>14</v>
      </c>
      <c r="C261" s="28" t="s">
        <v>2870</v>
      </c>
      <c r="D261" s="27" t="s">
        <v>107</v>
      </c>
      <c r="E261" s="29" t="s">
        <v>2871</v>
      </c>
      <c r="F261" s="30" t="s">
        <v>237</v>
      </c>
      <c r="G261" s="31">
        <v>93.98</v>
      </c>
      <c r="H261" s="32">
        <v>0</v>
      </c>
      <c r="I261" s="32">
        <f>ROUND(93.98*H261,P4)</f>
        <v>0</v>
      </c>
      <c r="J261" s="30" t="s">
        <v>118</v>
      </c>
      <c r="O261" s="33">
        <f>I261*0.21</f>
        <v>0</v>
      </c>
      <c r="P261">
        <v>3</v>
      </c>
    </row>
    <row r="262" spans="1:16" ht="288" x14ac:dyDescent="0.3">
      <c r="A262" s="27" t="s">
        <v>101</v>
      </c>
      <c r="B262" s="34"/>
      <c r="E262" s="29" t="s">
        <v>2895</v>
      </c>
      <c r="J262" s="35"/>
    </row>
    <row r="263" spans="1:16" ht="28.8" x14ac:dyDescent="0.3">
      <c r="A263" s="27" t="s">
        <v>103</v>
      </c>
      <c r="B263" s="34"/>
      <c r="E263" s="36" t="s">
        <v>2896</v>
      </c>
      <c r="J263" s="35"/>
    </row>
    <row r="264" spans="1:16" x14ac:dyDescent="0.3">
      <c r="A264" s="27" t="s">
        <v>103</v>
      </c>
      <c r="B264" s="34"/>
      <c r="E264" s="36" t="s">
        <v>2897</v>
      </c>
      <c r="J264" s="35"/>
    </row>
    <row r="265" spans="1:16" x14ac:dyDescent="0.3">
      <c r="A265" s="27" t="s">
        <v>103</v>
      </c>
      <c r="B265" s="34"/>
      <c r="E265" s="36" t="s">
        <v>2898</v>
      </c>
      <c r="J265" s="35"/>
    </row>
    <row r="266" spans="1:16" ht="28.8" x14ac:dyDescent="0.3">
      <c r="A266" s="27" t="s">
        <v>103</v>
      </c>
      <c r="B266" s="34"/>
      <c r="E266" s="36" t="s">
        <v>2899</v>
      </c>
      <c r="J266" s="35"/>
    </row>
    <row r="267" spans="1:16" x14ac:dyDescent="0.3">
      <c r="A267" s="27" t="s">
        <v>103</v>
      </c>
      <c r="B267" s="34"/>
      <c r="E267" s="36" t="s">
        <v>2900</v>
      </c>
      <c r="J267" s="35"/>
    </row>
    <row r="268" spans="1:16" x14ac:dyDescent="0.3">
      <c r="A268" s="27" t="s">
        <v>103</v>
      </c>
      <c r="B268" s="34"/>
      <c r="E268" s="36" t="s">
        <v>2901</v>
      </c>
      <c r="J268" s="35"/>
    </row>
    <row r="269" spans="1:16" x14ac:dyDescent="0.3">
      <c r="A269" s="27" t="s">
        <v>103</v>
      </c>
      <c r="B269" s="34"/>
      <c r="E269" s="36" t="s">
        <v>2902</v>
      </c>
      <c r="J269" s="35"/>
    </row>
    <row r="270" spans="1:16" x14ac:dyDescent="0.3">
      <c r="A270" s="27" t="s">
        <v>103</v>
      </c>
      <c r="B270" s="34"/>
      <c r="E270" s="36" t="s">
        <v>2903</v>
      </c>
      <c r="J270" s="35"/>
    </row>
    <row r="271" spans="1:16" x14ac:dyDescent="0.3">
      <c r="A271" s="27" t="s">
        <v>103</v>
      </c>
      <c r="B271" s="34"/>
      <c r="E271" s="36" t="s">
        <v>2904</v>
      </c>
      <c r="J271" s="35"/>
    </row>
    <row r="272" spans="1:16" x14ac:dyDescent="0.3">
      <c r="A272" s="27" t="s">
        <v>103</v>
      </c>
      <c r="B272" s="34"/>
      <c r="E272" s="36" t="s">
        <v>2905</v>
      </c>
      <c r="J272" s="35"/>
    </row>
    <row r="273" spans="1:10" x14ac:dyDescent="0.3">
      <c r="A273" s="27" t="s">
        <v>103</v>
      </c>
      <c r="B273" s="34"/>
      <c r="E273" s="36" t="s">
        <v>2906</v>
      </c>
      <c r="J273" s="35"/>
    </row>
    <row r="274" spans="1:10" x14ac:dyDescent="0.3">
      <c r="A274" s="27" t="s">
        <v>103</v>
      </c>
      <c r="B274" s="34"/>
      <c r="E274" s="36" t="s">
        <v>2907</v>
      </c>
      <c r="J274" s="35"/>
    </row>
    <row r="275" spans="1:10" x14ac:dyDescent="0.3">
      <c r="A275" s="27" t="s">
        <v>103</v>
      </c>
      <c r="B275" s="34"/>
      <c r="E275" s="36" t="s">
        <v>2908</v>
      </c>
      <c r="J275" s="35"/>
    </row>
    <row r="276" spans="1:10" x14ac:dyDescent="0.3">
      <c r="A276" s="27" t="s">
        <v>103</v>
      </c>
      <c r="B276" s="34"/>
      <c r="E276" s="36" t="s">
        <v>2909</v>
      </c>
      <c r="J276" s="35"/>
    </row>
    <row r="277" spans="1:10" x14ac:dyDescent="0.3">
      <c r="A277" s="27" t="s">
        <v>103</v>
      </c>
      <c r="B277" s="34"/>
      <c r="E277" s="36" t="s">
        <v>2910</v>
      </c>
      <c r="J277" s="35"/>
    </row>
    <row r="278" spans="1:10" x14ac:dyDescent="0.3">
      <c r="A278" s="27" t="s">
        <v>103</v>
      </c>
      <c r="B278" s="34"/>
      <c r="E278" s="36" t="s">
        <v>2911</v>
      </c>
      <c r="J278" s="35"/>
    </row>
    <row r="279" spans="1:10" x14ac:dyDescent="0.3">
      <c r="A279" s="27" t="s">
        <v>103</v>
      </c>
      <c r="B279" s="34"/>
      <c r="E279" s="36" t="s">
        <v>2912</v>
      </c>
      <c r="J279" s="35"/>
    </row>
    <row r="280" spans="1:10" x14ac:dyDescent="0.3">
      <c r="A280" s="27" t="s">
        <v>103</v>
      </c>
      <c r="B280" s="34"/>
      <c r="E280" s="36" t="s">
        <v>2913</v>
      </c>
      <c r="J280" s="35"/>
    </row>
    <row r="281" spans="1:10" x14ac:dyDescent="0.3">
      <c r="A281" s="27" t="s">
        <v>103</v>
      </c>
      <c r="B281" s="34"/>
      <c r="E281" s="36" t="s">
        <v>2914</v>
      </c>
      <c r="J281" s="35"/>
    </row>
    <row r="282" spans="1:10" ht="28.8" x14ac:dyDescent="0.3">
      <c r="A282" s="27" t="s">
        <v>103</v>
      </c>
      <c r="B282" s="34"/>
      <c r="E282" s="36" t="s">
        <v>2915</v>
      </c>
      <c r="J282" s="35"/>
    </row>
    <row r="283" spans="1:10" x14ac:dyDescent="0.3">
      <c r="A283" s="27" t="s">
        <v>103</v>
      </c>
      <c r="B283" s="34"/>
      <c r="E283" s="36" t="s">
        <v>2916</v>
      </c>
      <c r="J283" s="35"/>
    </row>
    <row r="284" spans="1:10" x14ac:dyDescent="0.3">
      <c r="A284" s="27" t="s">
        <v>103</v>
      </c>
      <c r="B284" s="34"/>
      <c r="E284" s="36" t="s">
        <v>2917</v>
      </c>
      <c r="J284" s="35"/>
    </row>
    <row r="285" spans="1:10" x14ac:dyDescent="0.3">
      <c r="A285" s="27" t="s">
        <v>103</v>
      </c>
      <c r="B285" s="34"/>
      <c r="E285" s="36" t="s">
        <v>2918</v>
      </c>
      <c r="J285" s="35"/>
    </row>
    <row r="286" spans="1:10" x14ac:dyDescent="0.3">
      <c r="A286" s="27" t="s">
        <v>103</v>
      </c>
      <c r="B286" s="34"/>
      <c r="E286" s="36" t="s">
        <v>2919</v>
      </c>
      <c r="J286" s="35"/>
    </row>
    <row r="287" spans="1:10" x14ac:dyDescent="0.3">
      <c r="A287" s="27" t="s">
        <v>103</v>
      </c>
      <c r="B287" s="34"/>
      <c r="E287" s="36" t="s">
        <v>2920</v>
      </c>
      <c r="J287" s="35"/>
    </row>
    <row r="288" spans="1:10" x14ac:dyDescent="0.3">
      <c r="A288" s="27" t="s">
        <v>103</v>
      </c>
      <c r="B288" s="34"/>
      <c r="E288" s="36" t="s">
        <v>2921</v>
      </c>
      <c r="J288" s="35"/>
    </row>
    <row r="289" spans="1:16" ht="57.6" x14ac:dyDescent="0.3">
      <c r="A289" s="27" t="s">
        <v>105</v>
      </c>
      <c r="B289" s="34"/>
      <c r="E289" s="29" t="s">
        <v>2894</v>
      </c>
      <c r="J289" s="35"/>
    </row>
    <row r="290" spans="1:16" x14ac:dyDescent="0.3">
      <c r="A290" s="27" t="s">
        <v>95</v>
      </c>
      <c r="B290" s="27">
        <v>15</v>
      </c>
      <c r="C290" s="28" t="s">
        <v>1217</v>
      </c>
      <c r="D290" s="27" t="s">
        <v>129</v>
      </c>
      <c r="E290" s="29" t="s">
        <v>1218</v>
      </c>
      <c r="F290" s="30" t="s">
        <v>237</v>
      </c>
      <c r="G290" s="31">
        <v>20.14</v>
      </c>
      <c r="H290" s="32">
        <v>0</v>
      </c>
      <c r="I290" s="32">
        <f>ROUND(20.14*H290,P4)</f>
        <v>0</v>
      </c>
      <c r="J290" s="30" t="s">
        <v>118</v>
      </c>
      <c r="O290" s="33">
        <f>I290*0.21</f>
        <v>0</v>
      </c>
      <c r="P290">
        <v>3</v>
      </c>
    </row>
    <row r="291" spans="1:16" ht="172.8" x14ac:dyDescent="0.3">
      <c r="A291" s="27" t="s">
        <v>101</v>
      </c>
      <c r="B291" s="34"/>
      <c r="E291" s="29" t="s">
        <v>2922</v>
      </c>
      <c r="J291" s="35"/>
    </row>
    <row r="292" spans="1:16" x14ac:dyDescent="0.3">
      <c r="A292" s="27" t="s">
        <v>103</v>
      </c>
      <c r="B292" s="34"/>
      <c r="E292" s="36" t="s">
        <v>2923</v>
      </c>
      <c r="J292" s="35"/>
    </row>
    <row r="293" spans="1:16" ht="28.8" x14ac:dyDescent="0.3">
      <c r="A293" s="27" t="s">
        <v>103</v>
      </c>
      <c r="B293" s="34"/>
      <c r="E293" s="36" t="s">
        <v>2924</v>
      </c>
      <c r="J293" s="35"/>
    </row>
    <row r="294" spans="1:16" x14ac:dyDescent="0.3">
      <c r="A294" s="27" t="s">
        <v>103</v>
      </c>
      <c r="B294" s="34"/>
      <c r="E294" s="36" t="s">
        <v>2925</v>
      </c>
      <c r="J294" s="35"/>
    </row>
    <row r="295" spans="1:16" ht="28.8" x14ac:dyDescent="0.3">
      <c r="A295" s="27" t="s">
        <v>105</v>
      </c>
      <c r="B295" s="34"/>
      <c r="E295" s="29" t="s">
        <v>1241</v>
      </c>
      <c r="J295" s="35"/>
    </row>
    <row r="296" spans="1:16" x14ac:dyDescent="0.3">
      <c r="A296" s="27" t="s">
        <v>95</v>
      </c>
      <c r="B296" s="27">
        <v>16</v>
      </c>
      <c r="C296" s="28" t="s">
        <v>1242</v>
      </c>
      <c r="D296" s="27" t="s">
        <v>129</v>
      </c>
      <c r="E296" s="29" t="s">
        <v>1243</v>
      </c>
      <c r="F296" s="30" t="s">
        <v>237</v>
      </c>
      <c r="G296" s="31">
        <v>20.14</v>
      </c>
      <c r="H296" s="32">
        <v>0</v>
      </c>
      <c r="I296" s="32">
        <f>ROUND(20.14*H296,P4)</f>
        <v>0</v>
      </c>
      <c r="J296" s="30" t="s">
        <v>118</v>
      </c>
      <c r="O296" s="33">
        <f>I296*0.21</f>
        <v>0</v>
      </c>
      <c r="P296">
        <v>3</v>
      </c>
    </row>
    <row r="297" spans="1:16" ht="172.8" x14ac:dyDescent="0.3">
      <c r="A297" s="27" t="s">
        <v>101</v>
      </c>
      <c r="B297" s="34"/>
      <c r="E297" s="29" t="s">
        <v>2922</v>
      </c>
      <c r="J297" s="35"/>
    </row>
    <row r="298" spans="1:16" x14ac:dyDescent="0.3">
      <c r="A298" s="27" t="s">
        <v>103</v>
      </c>
      <c r="B298" s="34"/>
      <c r="E298" s="36" t="s">
        <v>2923</v>
      </c>
      <c r="J298" s="35"/>
    </row>
    <row r="299" spans="1:16" ht="28.8" x14ac:dyDescent="0.3">
      <c r="A299" s="27" t="s">
        <v>103</v>
      </c>
      <c r="B299" s="34"/>
      <c r="E299" s="36" t="s">
        <v>2924</v>
      </c>
      <c r="J299" s="35"/>
    </row>
    <row r="300" spans="1:16" x14ac:dyDescent="0.3">
      <c r="A300" s="27" t="s">
        <v>103</v>
      </c>
      <c r="B300" s="34"/>
      <c r="E300" s="36" t="s">
        <v>2925</v>
      </c>
      <c r="J300" s="35"/>
    </row>
    <row r="301" spans="1:16" ht="43.2" x14ac:dyDescent="0.3">
      <c r="A301" s="27" t="s">
        <v>105</v>
      </c>
      <c r="B301" s="34"/>
      <c r="E301" s="29" t="s">
        <v>1244</v>
      </c>
      <c r="J301" s="35"/>
    </row>
    <row r="302" spans="1:16" x14ac:dyDescent="0.3">
      <c r="A302" s="27" t="s">
        <v>95</v>
      </c>
      <c r="B302" s="27">
        <v>17</v>
      </c>
      <c r="C302" s="28" t="s">
        <v>2072</v>
      </c>
      <c r="D302" s="27" t="s">
        <v>1198</v>
      </c>
      <c r="E302" s="29" t="s">
        <v>2926</v>
      </c>
      <c r="F302" s="30" t="s">
        <v>2927</v>
      </c>
      <c r="G302" s="31">
        <v>74.563999999999993</v>
      </c>
      <c r="H302" s="32">
        <v>0</v>
      </c>
      <c r="I302" s="32">
        <f>ROUND(74.564*H302,P4)</f>
        <v>0</v>
      </c>
      <c r="J302" s="30" t="s">
        <v>1200</v>
      </c>
      <c r="O302" s="33">
        <f>I302*0.21</f>
        <v>0</v>
      </c>
      <c r="P302">
        <v>3</v>
      </c>
    </row>
    <row r="303" spans="1:16" ht="302.39999999999998" x14ac:dyDescent="0.3">
      <c r="A303" s="27" t="s">
        <v>101</v>
      </c>
      <c r="B303" s="34"/>
      <c r="E303" s="29" t="s">
        <v>2928</v>
      </c>
      <c r="J303" s="35"/>
    </row>
    <row r="304" spans="1:16" ht="28.8" x14ac:dyDescent="0.3">
      <c r="A304" s="27" t="s">
        <v>103</v>
      </c>
      <c r="B304" s="34"/>
      <c r="E304" s="36" t="s">
        <v>2929</v>
      </c>
      <c r="J304" s="35"/>
    </row>
    <row r="305" spans="1:10" ht="28.8" x14ac:dyDescent="0.3">
      <c r="A305" s="27" t="s">
        <v>103</v>
      </c>
      <c r="B305" s="34"/>
      <c r="E305" s="36" t="s">
        <v>2930</v>
      </c>
      <c r="J305" s="35"/>
    </row>
    <row r="306" spans="1:10" ht="28.8" x14ac:dyDescent="0.3">
      <c r="A306" s="27" t="s">
        <v>103</v>
      </c>
      <c r="B306" s="34"/>
      <c r="E306" s="36" t="s">
        <v>2931</v>
      </c>
      <c r="J306" s="35"/>
    </row>
    <row r="307" spans="1:10" ht="28.8" x14ac:dyDescent="0.3">
      <c r="A307" s="27" t="s">
        <v>103</v>
      </c>
      <c r="B307" s="34"/>
      <c r="E307" s="36" t="s">
        <v>2932</v>
      </c>
      <c r="J307" s="35"/>
    </row>
    <row r="308" spans="1:10" ht="28.8" x14ac:dyDescent="0.3">
      <c r="A308" s="27" t="s">
        <v>103</v>
      </c>
      <c r="B308" s="34"/>
      <c r="E308" s="36" t="s">
        <v>2933</v>
      </c>
      <c r="J308" s="35"/>
    </row>
    <row r="309" spans="1:10" ht="28.8" x14ac:dyDescent="0.3">
      <c r="A309" s="27" t="s">
        <v>103</v>
      </c>
      <c r="B309" s="34"/>
      <c r="E309" s="36" t="s">
        <v>2934</v>
      </c>
      <c r="J309" s="35"/>
    </row>
    <row r="310" spans="1:10" ht="28.8" x14ac:dyDescent="0.3">
      <c r="A310" s="27" t="s">
        <v>103</v>
      </c>
      <c r="B310" s="34"/>
      <c r="E310" s="36" t="s">
        <v>2935</v>
      </c>
      <c r="J310" s="35"/>
    </row>
    <row r="311" spans="1:10" ht="28.8" x14ac:dyDescent="0.3">
      <c r="A311" s="27" t="s">
        <v>103</v>
      </c>
      <c r="B311" s="34"/>
      <c r="E311" s="36" t="s">
        <v>2936</v>
      </c>
      <c r="J311" s="35"/>
    </row>
    <row r="312" spans="1:10" ht="28.8" x14ac:dyDescent="0.3">
      <c r="A312" s="27" t="s">
        <v>103</v>
      </c>
      <c r="B312" s="34"/>
      <c r="E312" s="36" t="s">
        <v>2937</v>
      </c>
      <c r="J312" s="35"/>
    </row>
    <row r="313" spans="1:10" ht="28.8" x14ac:dyDescent="0.3">
      <c r="A313" s="27" t="s">
        <v>103</v>
      </c>
      <c r="B313" s="34"/>
      <c r="E313" s="36" t="s">
        <v>2938</v>
      </c>
      <c r="J313" s="35"/>
    </row>
    <row r="314" spans="1:10" ht="28.8" x14ac:dyDescent="0.3">
      <c r="A314" s="27" t="s">
        <v>103</v>
      </c>
      <c r="B314" s="34"/>
      <c r="E314" s="36" t="s">
        <v>2939</v>
      </c>
      <c r="J314" s="35"/>
    </row>
    <row r="315" spans="1:10" ht="28.8" x14ac:dyDescent="0.3">
      <c r="A315" s="27" t="s">
        <v>103</v>
      </c>
      <c r="B315" s="34"/>
      <c r="E315" s="36" t="s">
        <v>2940</v>
      </c>
      <c r="J315" s="35"/>
    </row>
    <row r="316" spans="1:10" ht="28.8" x14ac:dyDescent="0.3">
      <c r="A316" s="27" t="s">
        <v>103</v>
      </c>
      <c r="B316" s="34"/>
      <c r="E316" s="36" t="s">
        <v>2941</v>
      </c>
      <c r="J316" s="35"/>
    </row>
    <row r="317" spans="1:10" ht="28.8" x14ac:dyDescent="0.3">
      <c r="A317" s="27" t="s">
        <v>103</v>
      </c>
      <c r="B317" s="34"/>
      <c r="E317" s="36" t="s">
        <v>2942</v>
      </c>
      <c r="J317" s="35"/>
    </row>
    <row r="318" spans="1:10" ht="28.8" x14ac:dyDescent="0.3">
      <c r="A318" s="27" t="s">
        <v>103</v>
      </c>
      <c r="B318" s="34"/>
      <c r="E318" s="36" t="s">
        <v>2943</v>
      </c>
      <c r="J318" s="35"/>
    </row>
    <row r="319" spans="1:10" ht="28.8" x14ac:dyDescent="0.3">
      <c r="A319" s="27" t="s">
        <v>103</v>
      </c>
      <c r="B319" s="34"/>
      <c r="E319" s="36" t="s">
        <v>2944</v>
      </c>
      <c r="J319" s="35"/>
    </row>
    <row r="320" spans="1:10" ht="28.8" x14ac:dyDescent="0.3">
      <c r="A320" s="27" t="s">
        <v>103</v>
      </c>
      <c r="B320" s="34"/>
      <c r="E320" s="36" t="s">
        <v>2945</v>
      </c>
      <c r="J320" s="35"/>
    </row>
    <row r="321" spans="1:10" ht="28.8" x14ac:dyDescent="0.3">
      <c r="A321" s="27" t="s">
        <v>103</v>
      </c>
      <c r="B321" s="34"/>
      <c r="E321" s="36" t="s">
        <v>2946</v>
      </c>
      <c r="J321" s="35"/>
    </row>
    <row r="322" spans="1:10" ht="28.8" x14ac:dyDescent="0.3">
      <c r="A322" s="27" t="s">
        <v>103</v>
      </c>
      <c r="B322" s="34"/>
      <c r="E322" s="36" t="s">
        <v>2947</v>
      </c>
      <c r="J322" s="35"/>
    </row>
    <row r="323" spans="1:10" ht="28.8" x14ac:dyDescent="0.3">
      <c r="A323" s="27" t="s">
        <v>103</v>
      </c>
      <c r="B323" s="34"/>
      <c r="E323" s="36" t="s">
        <v>2948</v>
      </c>
      <c r="J323" s="35"/>
    </row>
    <row r="324" spans="1:10" ht="28.8" x14ac:dyDescent="0.3">
      <c r="A324" s="27" t="s">
        <v>103</v>
      </c>
      <c r="B324" s="34"/>
      <c r="E324" s="36" t="s">
        <v>2949</v>
      </c>
      <c r="J324" s="35"/>
    </row>
    <row r="325" spans="1:10" ht="28.8" x14ac:dyDescent="0.3">
      <c r="A325" s="27" t="s">
        <v>103</v>
      </c>
      <c r="B325" s="34"/>
      <c r="E325" s="36" t="s">
        <v>2950</v>
      </c>
      <c r="J325" s="35"/>
    </row>
    <row r="326" spans="1:10" ht="28.8" x14ac:dyDescent="0.3">
      <c r="A326" s="27" t="s">
        <v>103</v>
      </c>
      <c r="B326" s="34"/>
      <c r="E326" s="36" t="s">
        <v>2951</v>
      </c>
      <c r="J326" s="35"/>
    </row>
    <row r="327" spans="1:10" ht="28.8" x14ac:dyDescent="0.3">
      <c r="A327" s="27" t="s">
        <v>103</v>
      </c>
      <c r="B327" s="34"/>
      <c r="E327" s="36" t="s">
        <v>2952</v>
      </c>
      <c r="J327" s="35"/>
    </row>
    <row r="328" spans="1:10" ht="28.8" x14ac:dyDescent="0.3">
      <c r="A328" s="27" t="s">
        <v>103</v>
      </c>
      <c r="B328" s="34"/>
      <c r="E328" s="36" t="s">
        <v>2953</v>
      </c>
      <c r="J328" s="35"/>
    </row>
    <row r="329" spans="1:10" ht="28.8" x14ac:dyDescent="0.3">
      <c r="A329" s="27" t="s">
        <v>103</v>
      </c>
      <c r="B329" s="34"/>
      <c r="E329" s="36" t="s">
        <v>2954</v>
      </c>
      <c r="J329" s="35"/>
    </row>
    <row r="330" spans="1:10" ht="28.8" x14ac:dyDescent="0.3">
      <c r="A330" s="27" t="s">
        <v>103</v>
      </c>
      <c r="B330" s="34"/>
      <c r="E330" s="36" t="s">
        <v>2955</v>
      </c>
      <c r="J330" s="35"/>
    </row>
    <row r="331" spans="1:10" ht="28.8" x14ac:dyDescent="0.3">
      <c r="A331" s="27" t="s">
        <v>103</v>
      </c>
      <c r="B331" s="34"/>
      <c r="E331" s="36" t="s">
        <v>2956</v>
      </c>
      <c r="J331" s="35"/>
    </row>
    <row r="332" spans="1:10" ht="28.8" x14ac:dyDescent="0.3">
      <c r="A332" s="27" t="s">
        <v>103</v>
      </c>
      <c r="B332" s="34"/>
      <c r="E332" s="36" t="s">
        <v>2957</v>
      </c>
      <c r="J332" s="35"/>
    </row>
    <row r="333" spans="1:10" ht="28.8" x14ac:dyDescent="0.3">
      <c r="A333" s="27" t="s">
        <v>103</v>
      </c>
      <c r="B333" s="34"/>
      <c r="E333" s="36" t="s">
        <v>2958</v>
      </c>
      <c r="J333" s="35"/>
    </row>
    <row r="334" spans="1:10" ht="28.8" x14ac:dyDescent="0.3">
      <c r="A334" s="27" t="s">
        <v>103</v>
      </c>
      <c r="B334" s="34"/>
      <c r="E334" s="36" t="s">
        <v>2959</v>
      </c>
      <c r="J334" s="35"/>
    </row>
    <row r="335" spans="1:10" ht="28.8" x14ac:dyDescent="0.3">
      <c r="A335" s="27" t="s">
        <v>103</v>
      </c>
      <c r="B335" s="34"/>
      <c r="E335" s="36" t="s">
        <v>2960</v>
      </c>
      <c r="J335" s="35"/>
    </row>
    <row r="336" spans="1:10" ht="28.8" x14ac:dyDescent="0.3">
      <c r="A336" s="27" t="s">
        <v>103</v>
      </c>
      <c r="B336" s="34"/>
      <c r="E336" s="36" t="s">
        <v>2961</v>
      </c>
      <c r="J336" s="35"/>
    </row>
    <row r="337" spans="1:10" ht="28.8" x14ac:dyDescent="0.3">
      <c r="A337" s="27" t="s">
        <v>103</v>
      </c>
      <c r="B337" s="34"/>
      <c r="E337" s="36" t="s">
        <v>2962</v>
      </c>
      <c r="J337" s="35"/>
    </row>
    <row r="338" spans="1:10" ht="28.8" x14ac:dyDescent="0.3">
      <c r="A338" s="27" t="s">
        <v>103</v>
      </c>
      <c r="B338" s="34"/>
      <c r="E338" s="36" t="s">
        <v>2963</v>
      </c>
      <c r="J338" s="35"/>
    </row>
    <row r="339" spans="1:10" ht="28.8" x14ac:dyDescent="0.3">
      <c r="A339" s="27" t="s">
        <v>103</v>
      </c>
      <c r="B339" s="34"/>
      <c r="E339" s="36" t="s">
        <v>2964</v>
      </c>
      <c r="J339" s="35"/>
    </row>
    <row r="340" spans="1:10" ht="28.8" x14ac:dyDescent="0.3">
      <c r="A340" s="27" t="s">
        <v>103</v>
      </c>
      <c r="B340" s="34"/>
      <c r="E340" s="36" t="s">
        <v>2965</v>
      </c>
      <c r="J340" s="35"/>
    </row>
    <row r="341" spans="1:10" ht="28.8" x14ac:dyDescent="0.3">
      <c r="A341" s="27" t="s">
        <v>103</v>
      </c>
      <c r="B341" s="34"/>
      <c r="E341" s="36" t="s">
        <v>2966</v>
      </c>
      <c r="J341" s="35"/>
    </row>
    <row r="342" spans="1:10" ht="28.8" x14ac:dyDescent="0.3">
      <c r="A342" s="27" t="s">
        <v>103</v>
      </c>
      <c r="B342" s="34"/>
      <c r="E342" s="36" t="s">
        <v>2967</v>
      </c>
      <c r="J342" s="35"/>
    </row>
    <row r="343" spans="1:10" ht="28.8" x14ac:dyDescent="0.3">
      <c r="A343" s="27" t="s">
        <v>103</v>
      </c>
      <c r="B343" s="34"/>
      <c r="E343" s="36" t="s">
        <v>2968</v>
      </c>
      <c r="J343" s="35"/>
    </row>
    <row r="344" spans="1:10" ht="28.8" x14ac:dyDescent="0.3">
      <c r="A344" s="27" t="s">
        <v>103</v>
      </c>
      <c r="B344" s="34"/>
      <c r="E344" s="36" t="s">
        <v>2969</v>
      </c>
      <c r="J344" s="35"/>
    </row>
    <row r="345" spans="1:10" ht="28.8" x14ac:dyDescent="0.3">
      <c r="A345" s="27" t="s">
        <v>103</v>
      </c>
      <c r="B345" s="34"/>
      <c r="E345" s="36" t="s">
        <v>2970</v>
      </c>
      <c r="J345" s="35"/>
    </row>
    <row r="346" spans="1:10" ht="28.8" x14ac:dyDescent="0.3">
      <c r="A346" s="27" t="s">
        <v>103</v>
      </c>
      <c r="B346" s="34"/>
      <c r="E346" s="36" t="s">
        <v>2971</v>
      </c>
      <c r="J346" s="35"/>
    </row>
    <row r="347" spans="1:10" ht="28.8" x14ac:dyDescent="0.3">
      <c r="A347" s="27" t="s">
        <v>103</v>
      </c>
      <c r="B347" s="34"/>
      <c r="E347" s="36" t="s">
        <v>2972</v>
      </c>
      <c r="J347" s="35"/>
    </row>
    <row r="348" spans="1:10" x14ac:dyDescent="0.3">
      <c r="A348" s="27" t="s">
        <v>103</v>
      </c>
      <c r="B348" s="34"/>
      <c r="E348" s="36" t="s">
        <v>2973</v>
      </c>
      <c r="J348" s="35"/>
    </row>
    <row r="349" spans="1:10" ht="115.2" x14ac:dyDescent="0.3">
      <c r="A349" s="27" t="s">
        <v>105</v>
      </c>
      <c r="B349" s="37"/>
      <c r="C349" s="38"/>
      <c r="D349" s="38"/>
      <c r="E349" s="29" t="s">
        <v>2974</v>
      </c>
      <c r="F349" s="38"/>
      <c r="G349" s="38"/>
      <c r="H349" s="38"/>
      <c r="I349" s="38"/>
      <c r="J349"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92"/>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36</v>
      </c>
      <c r="I3" s="16">
        <f>SUMIFS(I9:I592,A9:A592,"SD")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36</v>
      </c>
      <c r="D5" s="44"/>
      <c r="E5" s="14" t="s">
        <v>28</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SUMIFS(I10:I437,A10:A437,"P")</f>
        <v>0</v>
      </c>
      <c r="J9" s="26"/>
    </row>
    <row r="10" spans="1:16" x14ac:dyDescent="0.3">
      <c r="A10" s="27" t="s">
        <v>95</v>
      </c>
      <c r="B10" s="27">
        <v>1</v>
      </c>
      <c r="C10" s="28" t="s">
        <v>452</v>
      </c>
      <c r="D10" s="27" t="s">
        <v>129</v>
      </c>
      <c r="E10" s="29" t="s">
        <v>453</v>
      </c>
      <c r="F10" s="30" t="s">
        <v>229</v>
      </c>
      <c r="G10" s="31">
        <v>1073.4349999999999</v>
      </c>
      <c r="H10" s="32">
        <v>0</v>
      </c>
      <c r="I10" s="32">
        <f>ROUND(1073.435*H10,P4)</f>
        <v>0</v>
      </c>
      <c r="J10" s="30" t="s">
        <v>118</v>
      </c>
      <c r="O10" s="33">
        <f>I10*0.21</f>
        <v>0</v>
      </c>
      <c r="P10">
        <v>3</v>
      </c>
    </row>
    <row r="11" spans="1:16" ht="115.2" x14ac:dyDescent="0.3">
      <c r="A11" s="27" t="s">
        <v>101</v>
      </c>
      <c r="B11" s="34"/>
      <c r="E11" s="29" t="s">
        <v>1299</v>
      </c>
      <c r="J11" s="35"/>
    </row>
    <row r="12" spans="1:16" ht="28.8" x14ac:dyDescent="0.3">
      <c r="A12" s="27" t="s">
        <v>103</v>
      </c>
      <c r="B12" s="34"/>
      <c r="E12" s="36" t="s">
        <v>2975</v>
      </c>
      <c r="J12" s="35"/>
    </row>
    <row r="13" spans="1:16" ht="28.8" x14ac:dyDescent="0.3">
      <c r="A13" s="27" t="s">
        <v>103</v>
      </c>
      <c r="B13" s="34"/>
      <c r="E13" s="36" t="s">
        <v>2976</v>
      </c>
      <c r="J13" s="35"/>
    </row>
    <row r="14" spans="1:16" ht="28.8" x14ac:dyDescent="0.3">
      <c r="A14" s="27" t="s">
        <v>103</v>
      </c>
      <c r="B14" s="34"/>
      <c r="E14" s="36" t="s">
        <v>2977</v>
      </c>
      <c r="J14" s="35"/>
    </row>
    <row r="15" spans="1:16" ht="28.8" x14ac:dyDescent="0.3">
      <c r="A15" s="27" t="s">
        <v>103</v>
      </c>
      <c r="B15" s="34"/>
      <c r="E15" s="36" t="s">
        <v>2978</v>
      </c>
      <c r="J15" s="35"/>
    </row>
    <row r="16" spans="1:16" ht="28.8" x14ac:dyDescent="0.3">
      <c r="A16" s="27" t="s">
        <v>103</v>
      </c>
      <c r="B16" s="34"/>
      <c r="E16" s="36" t="s">
        <v>2979</v>
      </c>
      <c r="J16" s="35"/>
    </row>
    <row r="17" spans="1:16" ht="28.8" x14ac:dyDescent="0.3">
      <c r="A17" s="27" t="s">
        <v>103</v>
      </c>
      <c r="B17" s="34"/>
      <c r="E17" s="36" t="s">
        <v>2980</v>
      </c>
      <c r="J17" s="35"/>
    </row>
    <row r="18" spans="1:16" ht="28.8" x14ac:dyDescent="0.3">
      <c r="A18" s="27" t="s">
        <v>103</v>
      </c>
      <c r="B18" s="34"/>
      <c r="E18" s="36" t="s">
        <v>2981</v>
      </c>
      <c r="J18" s="35"/>
    </row>
    <row r="19" spans="1:16" ht="28.8" x14ac:dyDescent="0.3">
      <c r="A19" s="27" t="s">
        <v>103</v>
      </c>
      <c r="B19" s="34"/>
      <c r="E19" s="36" t="s">
        <v>2982</v>
      </c>
      <c r="J19" s="35"/>
    </row>
    <row r="20" spans="1:16" ht="28.8" x14ac:dyDescent="0.3">
      <c r="A20" s="27" t="s">
        <v>103</v>
      </c>
      <c r="B20" s="34"/>
      <c r="E20" s="36" t="s">
        <v>2983</v>
      </c>
      <c r="J20" s="35"/>
    </row>
    <row r="21" spans="1:16" ht="28.8" x14ac:dyDescent="0.3">
      <c r="A21" s="27" t="s">
        <v>103</v>
      </c>
      <c r="B21" s="34"/>
      <c r="E21" s="36" t="s">
        <v>2984</v>
      </c>
      <c r="J21" s="35"/>
    </row>
    <row r="22" spans="1:16" ht="28.8" x14ac:dyDescent="0.3">
      <c r="A22" s="27" t="s">
        <v>103</v>
      </c>
      <c r="B22" s="34"/>
      <c r="E22" s="36" t="s">
        <v>2985</v>
      </c>
      <c r="J22" s="35"/>
    </row>
    <row r="23" spans="1:16" ht="28.8" x14ac:dyDescent="0.3">
      <c r="A23" s="27" t="s">
        <v>103</v>
      </c>
      <c r="B23" s="34"/>
      <c r="E23" s="36" t="s">
        <v>2986</v>
      </c>
      <c r="J23" s="35"/>
    </row>
    <row r="24" spans="1:16" ht="28.8" x14ac:dyDescent="0.3">
      <c r="A24" s="27" t="s">
        <v>103</v>
      </c>
      <c r="B24" s="34"/>
      <c r="E24" s="36" t="s">
        <v>2987</v>
      </c>
      <c r="J24" s="35"/>
    </row>
    <row r="25" spans="1:16" ht="28.8" x14ac:dyDescent="0.3">
      <c r="A25" s="27" t="s">
        <v>103</v>
      </c>
      <c r="B25" s="34"/>
      <c r="E25" s="36" t="s">
        <v>2988</v>
      </c>
      <c r="J25" s="35"/>
    </row>
    <row r="26" spans="1:16" ht="28.8" x14ac:dyDescent="0.3">
      <c r="A26" s="27" t="s">
        <v>103</v>
      </c>
      <c r="B26" s="34"/>
      <c r="E26" s="36" t="s">
        <v>2989</v>
      </c>
      <c r="J26" s="35"/>
    </row>
    <row r="27" spans="1:16" ht="28.8" x14ac:dyDescent="0.3">
      <c r="A27" s="27" t="s">
        <v>103</v>
      </c>
      <c r="B27" s="34"/>
      <c r="E27" s="36" t="s">
        <v>2990</v>
      </c>
      <c r="J27" s="35"/>
    </row>
    <row r="28" spans="1:16" x14ac:dyDescent="0.3">
      <c r="A28" s="27" t="s">
        <v>103</v>
      </c>
      <c r="B28" s="34"/>
      <c r="E28" s="36" t="s">
        <v>2991</v>
      </c>
      <c r="J28" s="35"/>
    </row>
    <row r="29" spans="1:16" ht="409.6" x14ac:dyDescent="0.3">
      <c r="A29" s="27" t="s">
        <v>105</v>
      </c>
      <c r="B29" s="34"/>
      <c r="E29" s="29" t="s">
        <v>472</v>
      </c>
      <c r="J29" s="35"/>
    </row>
    <row r="30" spans="1:16" x14ac:dyDescent="0.3">
      <c r="A30" s="27" t="s">
        <v>95</v>
      </c>
      <c r="B30" s="27">
        <v>2</v>
      </c>
      <c r="C30" s="28" t="s">
        <v>426</v>
      </c>
      <c r="D30" s="27" t="s">
        <v>97</v>
      </c>
      <c r="E30" s="29" t="s">
        <v>427</v>
      </c>
      <c r="F30" s="30" t="s">
        <v>229</v>
      </c>
      <c r="G30" s="31">
        <v>666.17899999999997</v>
      </c>
      <c r="H30" s="32">
        <v>0</v>
      </c>
      <c r="I30" s="32">
        <f>ROUND(33.546*H30,P4)+ROUND(632.633*H30,P4)</f>
        <v>0</v>
      </c>
      <c r="J30" s="30" t="s">
        <v>118</v>
      </c>
      <c r="O30" s="33">
        <f>I30*0.21</f>
        <v>0</v>
      </c>
      <c r="P30">
        <v>3</v>
      </c>
    </row>
    <row r="31" spans="1:16" ht="158.4" x14ac:dyDescent="0.3">
      <c r="A31" s="27" t="s">
        <v>101</v>
      </c>
      <c r="B31" s="34"/>
      <c r="E31" s="29" t="s">
        <v>2992</v>
      </c>
      <c r="J31" s="35"/>
    </row>
    <row r="32" spans="1:16" ht="28.8" x14ac:dyDescent="0.3">
      <c r="A32" s="27" t="s">
        <v>103</v>
      </c>
      <c r="B32" s="34"/>
      <c r="E32" s="36" t="s">
        <v>2993</v>
      </c>
      <c r="J32" s="35"/>
    </row>
    <row r="33" spans="1:10" ht="28.8" x14ac:dyDescent="0.3">
      <c r="A33" s="27" t="s">
        <v>103</v>
      </c>
      <c r="B33" s="34"/>
      <c r="E33" s="36" t="s">
        <v>2994</v>
      </c>
      <c r="J33" s="35"/>
    </row>
    <row r="34" spans="1:10" ht="28.8" x14ac:dyDescent="0.3">
      <c r="A34" s="27" t="s">
        <v>103</v>
      </c>
      <c r="B34" s="34"/>
      <c r="E34" s="36" t="s">
        <v>2995</v>
      </c>
      <c r="J34" s="35"/>
    </row>
    <row r="35" spans="1:10" ht="28.8" x14ac:dyDescent="0.3">
      <c r="A35" s="27" t="s">
        <v>103</v>
      </c>
      <c r="B35" s="34"/>
      <c r="E35" s="36" t="s">
        <v>2996</v>
      </c>
      <c r="J35" s="35"/>
    </row>
    <row r="36" spans="1:10" ht="28.8" x14ac:dyDescent="0.3">
      <c r="A36" s="27" t="s">
        <v>103</v>
      </c>
      <c r="B36" s="34"/>
      <c r="E36" s="36" t="s">
        <v>2997</v>
      </c>
      <c r="J36" s="35"/>
    </row>
    <row r="37" spans="1:10" ht="28.8" x14ac:dyDescent="0.3">
      <c r="A37" s="27" t="s">
        <v>103</v>
      </c>
      <c r="B37" s="34"/>
      <c r="E37" s="36" t="s">
        <v>2998</v>
      </c>
      <c r="J37" s="35"/>
    </row>
    <row r="38" spans="1:10" ht="28.8" x14ac:dyDescent="0.3">
      <c r="A38" s="27" t="s">
        <v>103</v>
      </c>
      <c r="B38" s="34"/>
      <c r="E38" s="36" t="s">
        <v>2999</v>
      </c>
      <c r="J38" s="35"/>
    </row>
    <row r="39" spans="1:10" ht="28.8" x14ac:dyDescent="0.3">
      <c r="A39" s="27" t="s">
        <v>103</v>
      </c>
      <c r="B39" s="34"/>
      <c r="E39" s="36" t="s">
        <v>3000</v>
      </c>
      <c r="J39" s="35"/>
    </row>
    <row r="40" spans="1:10" ht="28.8" x14ac:dyDescent="0.3">
      <c r="A40" s="27" t="s">
        <v>103</v>
      </c>
      <c r="B40" s="34"/>
      <c r="E40" s="36" t="s">
        <v>3001</v>
      </c>
      <c r="J40" s="35"/>
    </row>
    <row r="41" spans="1:10" ht="28.8" x14ac:dyDescent="0.3">
      <c r="A41" s="27" t="s">
        <v>103</v>
      </c>
      <c r="B41" s="34"/>
      <c r="E41" s="36" t="s">
        <v>3002</v>
      </c>
      <c r="J41" s="35"/>
    </row>
    <row r="42" spans="1:10" ht="28.8" x14ac:dyDescent="0.3">
      <c r="A42" s="27" t="s">
        <v>103</v>
      </c>
      <c r="B42" s="34"/>
      <c r="E42" s="36" t="s">
        <v>3003</v>
      </c>
      <c r="J42" s="35"/>
    </row>
    <row r="43" spans="1:10" ht="28.8" x14ac:dyDescent="0.3">
      <c r="A43" s="27" t="s">
        <v>103</v>
      </c>
      <c r="B43" s="34"/>
      <c r="E43" s="36" t="s">
        <v>3004</v>
      </c>
      <c r="J43" s="35"/>
    </row>
    <row r="44" spans="1:10" ht="28.8" x14ac:dyDescent="0.3">
      <c r="A44" s="27" t="s">
        <v>103</v>
      </c>
      <c r="B44" s="34"/>
      <c r="E44" s="36" t="s">
        <v>3005</v>
      </c>
      <c r="J44" s="35"/>
    </row>
    <row r="45" spans="1:10" ht="28.8" x14ac:dyDescent="0.3">
      <c r="A45" s="27" t="s">
        <v>103</v>
      </c>
      <c r="B45" s="34"/>
      <c r="E45" s="36" t="s">
        <v>3006</v>
      </c>
      <c r="J45" s="35"/>
    </row>
    <row r="46" spans="1:10" ht="28.8" x14ac:dyDescent="0.3">
      <c r="A46" s="27" t="s">
        <v>103</v>
      </c>
      <c r="B46" s="34"/>
      <c r="E46" s="36" t="s">
        <v>3007</v>
      </c>
      <c r="J46" s="35"/>
    </row>
    <row r="47" spans="1:10" ht="28.8" x14ac:dyDescent="0.3">
      <c r="A47" s="27" t="s">
        <v>103</v>
      </c>
      <c r="B47" s="34"/>
      <c r="E47" s="36" t="s">
        <v>3008</v>
      </c>
      <c r="J47" s="35"/>
    </row>
    <row r="48" spans="1:10" ht="28.8" x14ac:dyDescent="0.3">
      <c r="A48" s="27" t="s">
        <v>103</v>
      </c>
      <c r="B48" s="34"/>
      <c r="E48" s="36" t="s">
        <v>3009</v>
      </c>
      <c r="J48" s="35"/>
    </row>
    <row r="49" spans="1:10" ht="28.8" x14ac:dyDescent="0.3">
      <c r="A49" s="27" t="s">
        <v>103</v>
      </c>
      <c r="B49" s="34"/>
      <c r="E49" s="36" t="s">
        <v>3010</v>
      </c>
      <c r="J49" s="35"/>
    </row>
    <row r="50" spans="1:10" ht="28.8" x14ac:dyDescent="0.3">
      <c r="A50" s="27" t="s">
        <v>103</v>
      </c>
      <c r="B50" s="34"/>
      <c r="E50" s="36" t="s">
        <v>3011</v>
      </c>
      <c r="J50" s="35"/>
    </row>
    <row r="51" spans="1:10" ht="28.8" x14ac:dyDescent="0.3">
      <c r="A51" s="27" t="s">
        <v>103</v>
      </c>
      <c r="B51" s="34"/>
      <c r="E51" s="36" t="s">
        <v>3012</v>
      </c>
      <c r="J51" s="35"/>
    </row>
    <row r="52" spans="1:10" ht="28.8" x14ac:dyDescent="0.3">
      <c r="A52" s="27" t="s">
        <v>103</v>
      </c>
      <c r="B52" s="34"/>
      <c r="E52" s="36" t="s">
        <v>3013</v>
      </c>
      <c r="J52" s="35"/>
    </row>
    <row r="53" spans="1:10" ht="28.8" x14ac:dyDescent="0.3">
      <c r="A53" s="27" t="s">
        <v>103</v>
      </c>
      <c r="B53" s="34"/>
      <c r="E53" s="36" t="s">
        <v>3014</v>
      </c>
      <c r="J53" s="35"/>
    </row>
    <row r="54" spans="1:10" ht="28.8" x14ac:dyDescent="0.3">
      <c r="A54" s="27" t="s">
        <v>103</v>
      </c>
      <c r="B54" s="34"/>
      <c r="E54" s="36" t="s">
        <v>3015</v>
      </c>
      <c r="J54" s="35"/>
    </row>
    <row r="55" spans="1:10" ht="28.8" x14ac:dyDescent="0.3">
      <c r="A55" s="27" t="s">
        <v>103</v>
      </c>
      <c r="B55" s="34"/>
      <c r="E55" s="36" t="s">
        <v>3016</v>
      </c>
      <c r="J55" s="35"/>
    </row>
    <row r="56" spans="1:10" ht="28.8" x14ac:dyDescent="0.3">
      <c r="A56" s="27" t="s">
        <v>103</v>
      </c>
      <c r="B56" s="34"/>
      <c r="E56" s="36" t="s">
        <v>3017</v>
      </c>
      <c r="J56" s="35"/>
    </row>
    <row r="57" spans="1:10" ht="28.8" x14ac:dyDescent="0.3">
      <c r="A57" s="27" t="s">
        <v>103</v>
      </c>
      <c r="B57" s="34"/>
      <c r="E57" s="36" t="s">
        <v>3018</v>
      </c>
      <c r="J57" s="35"/>
    </row>
    <row r="58" spans="1:10" x14ac:dyDescent="0.3">
      <c r="A58" s="27" t="s">
        <v>103</v>
      </c>
      <c r="B58" s="34"/>
      <c r="E58" s="36" t="s">
        <v>3019</v>
      </c>
      <c r="J58" s="35"/>
    </row>
    <row r="59" spans="1:10" ht="28.8" x14ac:dyDescent="0.3">
      <c r="A59" s="27" t="s">
        <v>103</v>
      </c>
      <c r="B59" s="34"/>
      <c r="E59" s="36" t="s">
        <v>3020</v>
      </c>
      <c r="J59" s="35"/>
    </row>
    <row r="60" spans="1:10" ht="28.8" x14ac:dyDescent="0.3">
      <c r="A60" s="27" t="s">
        <v>103</v>
      </c>
      <c r="B60" s="34"/>
      <c r="E60" s="36" t="s">
        <v>3021</v>
      </c>
      <c r="J60" s="35"/>
    </row>
    <row r="61" spans="1:10" ht="28.8" x14ac:dyDescent="0.3">
      <c r="A61" s="27" t="s">
        <v>103</v>
      </c>
      <c r="B61" s="34"/>
      <c r="E61" s="36" t="s">
        <v>3022</v>
      </c>
      <c r="J61" s="35"/>
    </row>
    <row r="62" spans="1:10" ht="28.8" x14ac:dyDescent="0.3">
      <c r="A62" s="27" t="s">
        <v>103</v>
      </c>
      <c r="B62" s="34"/>
      <c r="E62" s="36" t="s">
        <v>3023</v>
      </c>
      <c r="J62" s="35"/>
    </row>
    <row r="63" spans="1:10" ht="28.8" x14ac:dyDescent="0.3">
      <c r="A63" s="27" t="s">
        <v>103</v>
      </c>
      <c r="B63" s="34"/>
      <c r="E63" s="36" t="s">
        <v>3024</v>
      </c>
      <c r="J63" s="35"/>
    </row>
    <row r="64" spans="1:10" ht="28.8" x14ac:dyDescent="0.3">
      <c r="A64" s="27" t="s">
        <v>103</v>
      </c>
      <c r="B64" s="34"/>
      <c r="E64" s="36" t="s">
        <v>3025</v>
      </c>
      <c r="J64" s="35"/>
    </row>
    <row r="65" spans="1:10" ht="28.8" x14ac:dyDescent="0.3">
      <c r="A65" s="27" t="s">
        <v>103</v>
      </c>
      <c r="B65" s="34"/>
      <c r="E65" s="36" t="s">
        <v>3026</v>
      </c>
      <c r="J65" s="35"/>
    </row>
    <row r="66" spans="1:10" ht="28.8" x14ac:dyDescent="0.3">
      <c r="A66" s="27" t="s">
        <v>103</v>
      </c>
      <c r="B66" s="34"/>
      <c r="E66" s="36" t="s">
        <v>3027</v>
      </c>
      <c r="J66" s="35"/>
    </row>
    <row r="67" spans="1:10" ht="28.8" x14ac:dyDescent="0.3">
      <c r="A67" s="27" t="s">
        <v>103</v>
      </c>
      <c r="B67" s="34"/>
      <c r="E67" s="36" t="s">
        <v>3028</v>
      </c>
      <c r="J67" s="35"/>
    </row>
    <row r="68" spans="1:10" ht="28.8" x14ac:dyDescent="0.3">
      <c r="A68" s="27" t="s">
        <v>103</v>
      </c>
      <c r="B68" s="34"/>
      <c r="E68" s="36" t="s">
        <v>3029</v>
      </c>
      <c r="J68" s="35"/>
    </row>
    <row r="69" spans="1:10" ht="28.8" x14ac:dyDescent="0.3">
      <c r="A69" s="27" t="s">
        <v>103</v>
      </c>
      <c r="B69" s="34"/>
      <c r="E69" s="36" t="s">
        <v>3030</v>
      </c>
      <c r="J69" s="35"/>
    </row>
    <row r="70" spans="1:10" ht="28.8" x14ac:dyDescent="0.3">
      <c r="A70" s="27" t="s">
        <v>103</v>
      </c>
      <c r="B70" s="34"/>
      <c r="E70" s="36" t="s">
        <v>3031</v>
      </c>
      <c r="J70" s="35"/>
    </row>
    <row r="71" spans="1:10" ht="28.8" x14ac:dyDescent="0.3">
      <c r="A71" s="27" t="s">
        <v>103</v>
      </c>
      <c r="B71" s="34"/>
      <c r="E71" s="36" t="s">
        <v>3032</v>
      </c>
      <c r="J71" s="35"/>
    </row>
    <row r="72" spans="1:10" ht="28.8" x14ac:dyDescent="0.3">
      <c r="A72" s="27" t="s">
        <v>103</v>
      </c>
      <c r="B72" s="34"/>
      <c r="E72" s="36" t="s">
        <v>3033</v>
      </c>
      <c r="J72" s="35"/>
    </row>
    <row r="73" spans="1:10" ht="28.8" x14ac:dyDescent="0.3">
      <c r="A73" s="27" t="s">
        <v>103</v>
      </c>
      <c r="B73" s="34"/>
      <c r="E73" s="36" t="s">
        <v>3034</v>
      </c>
      <c r="J73" s="35"/>
    </row>
    <row r="74" spans="1:10" ht="28.8" x14ac:dyDescent="0.3">
      <c r="A74" s="27" t="s">
        <v>103</v>
      </c>
      <c r="B74" s="34"/>
      <c r="E74" s="36" t="s">
        <v>3035</v>
      </c>
      <c r="J74" s="35"/>
    </row>
    <row r="75" spans="1:10" ht="28.8" x14ac:dyDescent="0.3">
      <c r="A75" s="27" t="s">
        <v>103</v>
      </c>
      <c r="B75" s="34"/>
      <c r="E75" s="36" t="s">
        <v>3036</v>
      </c>
      <c r="J75" s="35"/>
    </row>
    <row r="76" spans="1:10" ht="28.8" x14ac:dyDescent="0.3">
      <c r="A76" s="27" t="s">
        <v>103</v>
      </c>
      <c r="B76" s="34"/>
      <c r="E76" s="36" t="s">
        <v>3037</v>
      </c>
      <c r="J76" s="35"/>
    </row>
    <row r="77" spans="1:10" ht="28.8" x14ac:dyDescent="0.3">
      <c r="A77" s="27" t="s">
        <v>103</v>
      </c>
      <c r="B77" s="34"/>
      <c r="E77" s="36" t="s">
        <v>3038</v>
      </c>
      <c r="J77" s="35"/>
    </row>
    <row r="78" spans="1:10" ht="28.8" x14ac:dyDescent="0.3">
      <c r="A78" s="27" t="s">
        <v>103</v>
      </c>
      <c r="B78" s="34"/>
      <c r="E78" s="36" t="s">
        <v>3039</v>
      </c>
      <c r="J78" s="35"/>
    </row>
    <row r="79" spans="1:10" ht="28.8" x14ac:dyDescent="0.3">
      <c r="A79" s="27" t="s">
        <v>103</v>
      </c>
      <c r="B79" s="34"/>
      <c r="E79" s="36" t="s">
        <v>3040</v>
      </c>
      <c r="J79" s="35"/>
    </row>
    <row r="80" spans="1:10" ht="28.8" x14ac:dyDescent="0.3">
      <c r="A80" s="27" t="s">
        <v>103</v>
      </c>
      <c r="B80" s="34"/>
      <c r="E80" s="36" t="s">
        <v>3041</v>
      </c>
      <c r="J80" s="35"/>
    </row>
    <row r="81" spans="1:10" ht="28.8" x14ac:dyDescent="0.3">
      <c r="A81" s="27" t="s">
        <v>103</v>
      </c>
      <c r="B81" s="34"/>
      <c r="E81" s="36" t="s">
        <v>3042</v>
      </c>
      <c r="J81" s="35"/>
    </row>
    <row r="82" spans="1:10" ht="28.8" x14ac:dyDescent="0.3">
      <c r="A82" s="27" t="s">
        <v>103</v>
      </c>
      <c r="B82" s="34"/>
      <c r="E82" s="36" t="s">
        <v>3043</v>
      </c>
      <c r="J82" s="35"/>
    </row>
    <row r="83" spans="1:10" ht="28.8" x14ac:dyDescent="0.3">
      <c r="A83" s="27" t="s">
        <v>103</v>
      </c>
      <c r="B83" s="34"/>
      <c r="E83" s="36" t="s">
        <v>3044</v>
      </c>
      <c r="J83" s="35"/>
    </row>
    <row r="84" spans="1:10" ht="28.8" x14ac:dyDescent="0.3">
      <c r="A84" s="27" t="s">
        <v>103</v>
      </c>
      <c r="B84" s="34"/>
      <c r="E84" s="36" t="s">
        <v>3045</v>
      </c>
      <c r="J84" s="35"/>
    </row>
    <row r="85" spans="1:10" ht="28.8" x14ac:dyDescent="0.3">
      <c r="A85" s="27" t="s">
        <v>103</v>
      </c>
      <c r="B85" s="34"/>
      <c r="E85" s="36" t="s">
        <v>3046</v>
      </c>
      <c r="J85" s="35"/>
    </row>
    <row r="86" spans="1:10" ht="28.8" x14ac:dyDescent="0.3">
      <c r="A86" s="27" t="s">
        <v>103</v>
      </c>
      <c r="B86" s="34"/>
      <c r="E86" s="36" t="s">
        <v>3047</v>
      </c>
      <c r="J86" s="35"/>
    </row>
    <row r="87" spans="1:10" ht="28.8" x14ac:dyDescent="0.3">
      <c r="A87" s="27" t="s">
        <v>103</v>
      </c>
      <c r="B87" s="34"/>
      <c r="E87" s="36" t="s">
        <v>3048</v>
      </c>
      <c r="J87" s="35"/>
    </row>
    <row r="88" spans="1:10" ht="28.8" x14ac:dyDescent="0.3">
      <c r="A88" s="27" t="s">
        <v>103</v>
      </c>
      <c r="B88" s="34"/>
      <c r="E88" s="36" t="s">
        <v>3049</v>
      </c>
      <c r="J88" s="35"/>
    </row>
    <row r="89" spans="1:10" ht="28.8" x14ac:dyDescent="0.3">
      <c r="A89" s="27" t="s">
        <v>103</v>
      </c>
      <c r="B89" s="34"/>
      <c r="E89" s="36" t="s">
        <v>3050</v>
      </c>
      <c r="J89" s="35"/>
    </row>
    <row r="90" spans="1:10" ht="28.8" x14ac:dyDescent="0.3">
      <c r="A90" s="27" t="s">
        <v>103</v>
      </c>
      <c r="B90" s="34"/>
      <c r="E90" s="36" t="s">
        <v>3051</v>
      </c>
      <c r="J90" s="35"/>
    </row>
    <row r="91" spans="1:10" ht="28.8" x14ac:dyDescent="0.3">
      <c r="A91" s="27" t="s">
        <v>103</v>
      </c>
      <c r="B91" s="34"/>
      <c r="E91" s="36" t="s">
        <v>3052</v>
      </c>
      <c r="J91" s="35"/>
    </row>
    <row r="92" spans="1:10" ht="28.8" x14ac:dyDescent="0.3">
      <c r="A92" s="27" t="s">
        <v>103</v>
      </c>
      <c r="B92" s="34"/>
      <c r="E92" s="36" t="s">
        <v>3053</v>
      </c>
      <c r="J92" s="35"/>
    </row>
    <row r="93" spans="1:10" ht="28.8" x14ac:dyDescent="0.3">
      <c r="A93" s="27" t="s">
        <v>103</v>
      </c>
      <c r="B93" s="34"/>
      <c r="E93" s="36" t="s">
        <v>3054</v>
      </c>
      <c r="J93" s="35"/>
    </row>
    <row r="94" spans="1:10" ht="28.8" x14ac:dyDescent="0.3">
      <c r="A94" s="27" t="s">
        <v>103</v>
      </c>
      <c r="B94" s="34"/>
      <c r="E94" s="36" t="s">
        <v>3055</v>
      </c>
      <c r="J94" s="35"/>
    </row>
    <row r="95" spans="1:10" ht="28.8" x14ac:dyDescent="0.3">
      <c r="A95" s="27" t="s">
        <v>103</v>
      </c>
      <c r="B95" s="34"/>
      <c r="E95" s="36" t="s">
        <v>3056</v>
      </c>
      <c r="J95" s="35"/>
    </row>
    <row r="96" spans="1:10" ht="28.8" x14ac:dyDescent="0.3">
      <c r="A96" s="27" t="s">
        <v>103</v>
      </c>
      <c r="B96" s="34"/>
      <c r="E96" s="36" t="s">
        <v>3057</v>
      </c>
      <c r="J96" s="35"/>
    </row>
    <row r="97" spans="1:10" ht="28.8" x14ac:dyDescent="0.3">
      <c r="A97" s="27" t="s">
        <v>103</v>
      </c>
      <c r="B97" s="34"/>
      <c r="E97" s="36" t="s">
        <v>3058</v>
      </c>
      <c r="J97" s="35"/>
    </row>
    <row r="98" spans="1:10" ht="28.8" x14ac:dyDescent="0.3">
      <c r="A98" s="27" t="s">
        <v>103</v>
      </c>
      <c r="B98" s="34"/>
      <c r="E98" s="36" t="s">
        <v>3059</v>
      </c>
      <c r="J98" s="35"/>
    </row>
    <row r="99" spans="1:10" ht="28.8" x14ac:dyDescent="0.3">
      <c r="A99" s="27" t="s">
        <v>103</v>
      </c>
      <c r="B99" s="34"/>
      <c r="E99" s="36" t="s">
        <v>3060</v>
      </c>
      <c r="J99" s="35"/>
    </row>
    <row r="100" spans="1:10" ht="28.8" x14ac:dyDescent="0.3">
      <c r="A100" s="27" t="s">
        <v>103</v>
      </c>
      <c r="B100" s="34"/>
      <c r="E100" s="36" t="s">
        <v>3061</v>
      </c>
      <c r="J100" s="35"/>
    </row>
    <row r="101" spans="1:10" ht="28.8" x14ac:dyDescent="0.3">
      <c r="A101" s="27" t="s">
        <v>103</v>
      </c>
      <c r="B101" s="34"/>
      <c r="E101" s="36" t="s">
        <v>3062</v>
      </c>
      <c r="J101" s="35"/>
    </row>
    <row r="102" spans="1:10" ht="28.8" x14ac:dyDescent="0.3">
      <c r="A102" s="27" t="s">
        <v>103</v>
      </c>
      <c r="B102" s="34"/>
      <c r="E102" s="36" t="s">
        <v>3063</v>
      </c>
      <c r="J102" s="35"/>
    </row>
    <row r="103" spans="1:10" ht="28.8" x14ac:dyDescent="0.3">
      <c r="A103" s="27" t="s">
        <v>103</v>
      </c>
      <c r="B103" s="34"/>
      <c r="E103" s="36" t="s">
        <v>3064</v>
      </c>
      <c r="J103" s="35"/>
    </row>
    <row r="104" spans="1:10" ht="28.8" x14ac:dyDescent="0.3">
      <c r="A104" s="27" t="s">
        <v>103</v>
      </c>
      <c r="B104" s="34"/>
      <c r="E104" s="36" t="s">
        <v>3065</v>
      </c>
      <c r="J104" s="35"/>
    </row>
    <row r="105" spans="1:10" ht="28.8" x14ac:dyDescent="0.3">
      <c r="A105" s="27" t="s">
        <v>103</v>
      </c>
      <c r="B105" s="34"/>
      <c r="E105" s="36" t="s">
        <v>3066</v>
      </c>
      <c r="J105" s="35"/>
    </row>
    <row r="106" spans="1:10" ht="28.8" x14ac:dyDescent="0.3">
      <c r="A106" s="27" t="s">
        <v>103</v>
      </c>
      <c r="B106" s="34"/>
      <c r="E106" s="36" t="s">
        <v>3067</v>
      </c>
      <c r="J106" s="35"/>
    </row>
    <row r="107" spans="1:10" ht="28.8" x14ac:dyDescent="0.3">
      <c r="A107" s="27" t="s">
        <v>103</v>
      </c>
      <c r="B107" s="34"/>
      <c r="E107" s="36" t="s">
        <v>3068</v>
      </c>
      <c r="J107" s="35"/>
    </row>
    <row r="108" spans="1:10" ht="28.8" x14ac:dyDescent="0.3">
      <c r="A108" s="27" t="s">
        <v>103</v>
      </c>
      <c r="B108" s="34"/>
      <c r="E108" s="36" t="s">
        <v>3069</v>
      </c>
      <c r="J108" s="35"/>
    </row>
    <row r="109" spans="1:10" ht="28.8" x14ac:dyDescent="0.3">
      <c r="A109" s="27" t="s">
        <v>103</v>
      </c>
      <c r="B109" s="34"/>
      <c r="E109" s="36" t="s">
        <v>3070</v>
      </c>
      <c r="J109" s="35"/>
    </row>
    <row r="110" spans="1:10" ht="28.8" x14ac:dyDescent="0.3">
      <c r="A110" s="27" t="s">
        <v>103</v>
      </c>
      <c r="B110" s="34"/>
      <c r="E110" s="36" t="s">
        <v>3071</v>
      </c>
      <c r="J110" s="35"/>
    </row>
    <row r="111" spans="1:10" ht="28.8" x14ac:dyDescent="0.3">
      <c r="A111" s="27" t="s">
        <v>103</v>
      </c>
      <c r="B111" s="34"/>
      <c r="E111" s="36" t="s">
        <v>3072</v>
      </c>
      <c r="J111" s="35"/>
    </row>
    <row r="112" spans="1:10" ht="28.8" x14ac:dyDescent="0.3">
      <c r="A112" s="27" t="s">
        <v>103</v>
      </c>
      <c r="B112" s="34"/>
      <c r="E112" s="36" t="s">
        <v>3073</v>
      </c>
      <c r="J112" s="35"/>
    </row>
    <row r="113" spans="1:10" ht="28.8" x14ac:dyDescent="0.3">
      <c r="A113" s="27" t="s">
        <v>103</v>
      </c>
      <c r="B113" s="34"/>
      <c r="E113" s="36" t="s">
        <v>3074</v>
      </c>
      <c r="J113" s="35"/>
    </row>
    <row r="114" spans="1:10" ht="28.8" x14ac:dyDescent="0.3">
      <c r="A114" s="27" t="s">
        <v>103</v>
      </c>
      <c r="B114" s="34"/>
      <c r="E114" s="36" t="s">
        <v>3075</v>
      </c>
      <c r="J114" s="35"/>
    </row>
    <row r="115" spans="1:10" ht="28.8" x14ac:dyDescent="0.3">
      <c r="A115" s="27" t="s">
        <v>103</v>
      </c>
      <c r="B115" s="34"/>
      <c r="E115" s="36" t="s">
        <v>3076</v>
      </c>
      <c r="J115" s="35"/>
    </row>
    <row r="116" spans="1:10" ht="28.8" x14ac:dyDescent="0.3">
      <c r="A116" s="27" t="s">
        <v>103</v>
      </c>
      <c r="B116" s="34"/>
      <c r="E116" s="36" t="s">
        <v>3077</v>
      </c>
      <c r="J116" s="35"/>
    </row>
    <row r="117" spans="1:10" ht="28.8" x14ac:dyDescent="0.3">
      <c r="A117" s="27" t="s">
        <v>103</v>
      </c>
      <c r="B117" s="34"/>
      <c r="E117" s="36" t="s">
        <v>3078</v>
      </c>
      <c r="J117" s="35"/>
    </row>
    <row r="118" spans="1:10" ht="28.8" x14ac:dyDescent="0.3">
      <c r="A118" s="27" t="s">
        <v>103</v>
      </c>
      <c r="B118" s="34"/>
      <c r="E118" s="36" t="s">
        <v>3079</v>
      </c>
      <c r="J118" s="35"/>
    </row>
    <row r="119" spans="1:10" ht="28.8" x14ac:dyDescent="0.3">
      <c r="A119" s="27" t="s">
        <v>103</v>
      </c>
      <c r="B119" s="34"/>
      <c r="E119" s="36" t="s">
        <v>3080</v>
      </c>
      <c r="J119" s="35"/>
    </row>
    <row r="120" spans="1:10" ht="28.8" x14ac:dyDescent="0.3">
      <c r="A120" s="27" t="s">
        <v>103</v>
      </c>
      <c r="B120" s="34"/>
      <c r="E120" s="36" t="s">
        <v>3081</v>
      </c>
      <c r="J120" s="35"/>
    </row>
    <row r="121" spans="1:10" ht="28.8" x14ac:dyDescent="0.3">
      <c r="A121" s="27" t="s">
        <v>103</v>
      </c>
      <c r="B121" s="34"/>
      <c r="E121" s="36" t="s">
        <v>3082</v>
      </c>
      <c r="J121" s="35"/>
    </row>
    <row r="122" spans="1:10" ht="28.8" x14ac:dyDescent="0.3">
      <c r="A122" s="27" t="s">
        <v>103</v>
      </c>
      <c r="B122" s="34"/>
      <c r="E122" s="36" t="s">
        <v>3083</v>
      </c>
      <c r="J122" s="35"/>
    </row>
    <row r="123" spans="1:10" ht="28.8" x14ac:dyDescent="0.3">
      <c r="A123" s="27" t="s">
        <v>103</v>
      </c>
      <c r="B123" s="34"/>
      <c r="E123" s="36" t="s">
        <v>3084</v>
      </c>
      <c r="J123" s="35"/>
    </row>
    <row r="124" spans="1:10" ht="28.8" x14ac:dyDescent="0.3">
      <c r="A124" s="27" t="s">
        <v>103</v>
      </c>
      <c r="B124" s="34"/>
      <c r="E124" s="36" t="s">
        <v>3085</v>
      </c>
      <c r="J124" s="35"/>
    </row>
    <row r="125" spans="1:10" ht="28.8" x14ac:dyDescent="0.3">
      <c r="A125" s="27" t="s">
        <v>103</v>
      </c>
      <c r="B125" s="34"/>
      <c r="E125" s="36" t="s">
        <v>3086</v>
      </c>
      <c r="J125" s="35"/>
    </row>
    <row r="126" spans="1:10" ht="28.8" x14ac:dyDescent="0.3">
      <c r="A126" s="27" t="s">
        <v>103</v>
      </c>
      <c r="B126" s="34"/>
      <c r="E126" s="36" t="s">
        <v>3087</v>
      </c>
      <c r="J126" s="35"/>
    </row>
    <row r="127" spans="1:10" ht="28.8" x14ac:dyDescent="0.3">
      <c r="A127" s="27" t="s">
        <v>103</v>
      </c>
      <c r="B127" s="34"/>
      <c r="E127" s="36" t="s">
        <v>3088</v>
      </c>
      <c r="J127" s="35"/>
    </row>
    <row r="128" spans="1:10" ht="28.8" x14ac:dyDescent="0.3">
      <c r="A128" s="27" t="s">
        <v>103</v>
      </c>
      <c r="B128" s="34"/>
      <c r="E128" s="36" t="s">
        <v>3089</v>
      </c>
      <c r="J128" s="35"/>
    </row>
    <row r="129" spans="1:10" ht="28.8" x14ac:dyDescent="0.3">
      <c r="A129" s="27" t="s">
        <v>103</v>
      </c>
      <c r="B129" s="34"/>
      <c r="E129" s="36" t="s">
        <v>3090</v>
      </c>
      <c r="J129" s="35"/>
    </row>
    <row r="130" spans="1:10" ht="28.8" x14ac:dyDescent="0.3">
      <c r="A130" s="27" t="s">
        <v>103</v>
      </c>
      <c r="B130" s="34"/>
      <c r="E130" s="36" t="s">
        <v>3091</v>
      </c>
      <c r="J130" s="35"/>
    </row>
    <row r="131" spans="1:10" ht="28.8" x14ac:dyDescent="0.3">
      <c r="A131" s="27" t="s">
        <v>103</v>
      </c>
      <c r="B131" s="34"/>
      <c r="E131" s="36" t="s">
        <v>3092</v>
      </c>
      <c r="J131" s="35"/>
    </row>
    <row r="132" spans="1:10" ht="28.8" x14ac:dyDescent="0.3">
      <c r="A132" s="27" t="s">
        <v>103</v>
      </c>
      <c r="B132" s="34"/>
      <c r="E132" s="36" t="s">
        <v>3093</v>
      </c>
      <c r="J132" s="35"/>
    </row>
    <row r="133" spans="1:10" ht="28.8" x14ac:dyDescent="0.3">
      <c r="A133" s="27" t="s">
        <v>103</v>
      </c>
      <c r="B133" s="34"/>
      <c r="E133" s="36" t="s">
        <v>3094</v>
      </c>
      <c r="J133" s="35"/>
    </row>
    <row r="134" spans="1:10" ht="28.8" x14ac:dyDescent="0.3">
      <c r="A134" s="27" t="s">
        <v>103</v>
      </c>
      <c r="B134" s="34"/>
      <c r="E134" s="36" t="s">
        <v>3095</v>
      </c>
      <c r="J134" s="35"/>
    </row>
    <row r="135" spans="1:10" ht="28.8" x14ac:dyDescent="0.3">
      <c r="A135" s="27" t="s">
        <v>103</v>
      </c>
      <c r="B135" s="34"/>
      <c r="E135" s="36" t="s">
        <v>3096</v>
      </c>
      <c r="J135" s="35"/>
    </row>
    <row r="136" spans="1:10" ht="28.8" x14ac:dyDescent="0.3">
      <c r="A136" s="27" t="s">
        <v>103</v>
      </c>
      <c r="B136" s="34"/>
      <c r="E136" s="36" t="s">
        <v>3097</v>
      </c>
      <c r="J136" s="35"/>
    </row>
    <row r="137" spans="1:10" ht="28.8" x14ac:dyDescent="0.3">
      <c r="A137" s="27" t="s">
        <v>103</v>
      </c>
      <c r="B137" s="34"/>
      <c r="E137" s="36" t="s">
        <v>3098</v>
      </c>
      <c r="J137" s="35"/>
    </row>
    <row r="138" spans="1:10" ht="28.8" x14ac:dyDescent="0.3">
      <c r="A138" s="27" t="s">
        <v>103</v>
      </c>
      <c r="B138" s="34"/>
      <c r="E138" s="36" t="s">
        <v>3099</v>
      </c>
      <c r="J138" s="35"/>
    </row>
    <row r="139" spans="1:10" ht="28.8" x14ac:dyDescent="0.3">
      <c r="A139" s="27" t="s">
        <v>103</v>
      </c>
      <c r="B139" s="34"/>
      <c r="E139" s="36" t="s">
        <v>3100</v>
      </c>
      <c r="J139" s="35"/>
    </row>
    <row r="140" spans="1:10" ht="28.8" x14ac:dyDescent="0.3">
      <c r="A140" s="27" t="s">
        <v>103</v>
      </c>
      <c r="B140" s="34"/>
      <c r="E140" s="36" t="s">
        <v>3101</v>
      </c>
      <c r="J140" s="35"/>
    </row>
    <row r="141" spans="1:10" ht="28.8" x14ac:dyDescent="0.3">
      <c r="A141" s="27" t="s">
        <v>103</v>
      </c>
      <c r="B141" s="34"/>
      <c r="E141" s="36" t="s">
        <v>3102</v>
      </c>
      <c r="J141" s="35"/>
    </row>
    <row r="142" spans="1:10" ht="28.8" x14ac:dyDescent="0.3">
      <c r="A142" s="27" t="s">
        <v>103</v>
      </c>
      <c r="B142" s="34"/>
      <c r="E142" s="36" t="s">
        <v>3103</v>
      </c>
      <c r="J142" s="35"/>
    </row>
    <row r="143" spans="1:10" ht="28.8" x14ac:dyDescent="0.3">
      <c r="A143" s="27" t="s">
        <v>103</v>
      </c>
      <c r="B143" s="34"/>
      <c r="E143" s="36" t="s">
        <v>3104</v>
      </c>
      <c r="J143" s="35"/>
    </row>
    <row r="144" spans="1:10" ht="28.8" x14ac:dyDescent="0.3">
      <c r="A144" s="27" t="s">
        <v>103</v>
      </c>
      <c r="B144" s="34"/>
      <c r="E144" s="36" t="s">
        <v>3105</v>
      </c>
      <c r="J144" s="35"/>
    </row>
    <row r="145" spans="1:10" ht="28.8" x14ac:dyDescent="0.3">
      <c r="A145" s="27" t="s">
        <v>103</v>
      </c>
      <c r="B145" s="34"/>
      <c r="E145" s="36" t="s">
        <v>3106</v>
      </c>
      <c r="J145" s="35"/>
    </row>
    <row r="146" spans="1:10" ht="28.8" x14ac:dyDescent="0.3">
      <c r="A146" s="27" t="s">
        <v>103</v>
      </c>
      <c r="B146" s="34"/>
      <c r="E146" s="36" t="s">
        <v>3107</v>
      </c>
      <c r="J146" s="35"/>
    </row>
    <row r="147" spans="1:10" ht="28.8" x14ac:dyDescent="0.3">
      <c r="A147" s="27" t="s">
        <v>103</v>
      </c>
      <c r="B147" s="34"/>
      <c r="E147" s="36" t="s">
        <v>3108</v>
      </c>
      <c r="J147" s="35"/>
    </row>
    <row r="148" spans="1:10" ht="28.8" x14ac:dyDescent="0.3">
      <c r="A148" s="27" t="s">
        <v>103</v>
      </c>
      <c r="B148" s="34"/>
      <c r="E148" s="36" t="s">
        <v>3109</v>
      </c>
      <c r="J148" s="35"/>
    </row>
    <row r="149" spans="1:10" ht="28.8" x14ac:dyDescent="0.3">
      <c r="A149" s="27" t="s">
        <v>103</v>
      </c>
      <c r="B149" s="34"/>
      <c r="E149" s="36" t="s">
        <v>3110</v>
      </c>
      <c r="J149" s="35"/>
    </row>
    <row r="150" spans="1:10" ht="28.8" x14ac:dyDescent="0.3">
      <c r="A150" s="27" t="s">
        <v>103</v>
      </c>
      <c r="B150" s="34"/>
      <c r="E150" s="36" t="s">
        <v>3111</v>
      </c>
      <c r="J150" s="35"/>
    </row>
    <row r="151" spans="1:10" ht="28.8" x14ac:dyDescent="0.3">
      <c r="A151" s="27" t="s">
        <v>103</v>
      </c>
      <c r="B151" s="34"/>
      <c r="E151" s="36" t="s">
        <v>3112</v>
      </c>
      <c r="J151" s="35"/>
    </row>
    <row r="152" spans="1:10" ht="28.8" x14ac:dyDescent="0.3">
      <c r="A152" s="27" t="s">
        <v>103</v>
      </c>
      <c r="B152" s="34"/>
      <c r="E152" s="36" t="s">
        <v>3113</v>
      </c>
      <c r="J152" s="35"/>
    </row>
    <row r="153" spans="1:10" ht="28.8" x14ac:dyDescent="0.3">
      <c r="A153" s="27" t="s">
        <v>103</v>
      </c>
      <c r="B153" s="34"/>
      <c r="E153" s="36" t="s">
        <v>3114</v>
      </c>
      <c r="J153" s="35"/>
    </row>
    <row r="154" spans="1:10" ht="28.8" x14ac:dyDescent="0.3">
      <c r="A154" s="27" t="s">
        <v>103</v>
      </c>
      <c r="B154" s="34"/>
      <c r="E154" s="36" t="s">
        <v>3115</v>
      </c>
      <c r="J154" s="35"/>
    </row>
    <row r="155" spans="1:10" ht="28.8" x14ac:dyDescent="0.3">
      <c r="A155" s="27" t="s">
        <v>103</v>
      </c>
      <c r="B155" s="34"/>
      <c r="E155" s="36" t="s">
        <v>3116</v>
      </c>
      <c r="J155" s="35"/>
    </row>
    <row r="156" spans="1:10" ht="28.8" x14ac:dyDescent="0.3">
      <c r="A156" s="27" t="s">
        <v>103</v>
      </c>
      <c r="B156" s="34"/>
      <c r="E156" s="36" t="s">
        <v>3117</v>
      </c>
      <c r="J156" s="35"/>
    </row>
    <row r="157" spans="1:10" ht="28.8" x14ac:dyDescent="0.3">
      <c r="A157" s="27" t="s">
        <v>103</v>
      </c>
      <c r="B157" s="34"/>
      <c r="E157" s="36" t="s">
        <v>3118</v>
      </c>
      <c r="J157" s="35"/>
    </row>
    <row r="158" spans="1:10" ht="28.8" x14ac:dyDescent="0.3">
      <c r="A158" s="27" t="s">
        <v>103</v>
      </c>
      <c r="B158" s="34"/>
      <c r="E158" s="36" t="s">
        <v>3119</v>
      </c>
      <c r="J158" s="35"/>
    </row>
    <row r="159" spans="1:10" ht="28.8" x14ac:dyDescent="0.3">
      <c r="A159" s="27" t="s">
        <v>103</v>
      </c>
      <c r="B159" s="34"/>
      <c r="E159" s="36" t="s">
        <v>3120</v>
      </c>
      <c r="J159" s="35"/>
    </row>
    <row r="160" spans="1:10" ht="28.8" x14ac:dyDescent="0.3">
      <c r="A160" s="27" t="s">
        <v>103</v>
      </c>
      <c r="B160" s="34"/>
      <c r="E160" s="36" t="s">
        <v>3121</v>
      </c>
      <c r="J160" s="35"/>
    </row>
    <row r="161" spans="1:10" ht="28.8" x14ac:dyDescent="0.3">
      <c r="A161" s="27" t="s">
        <v>103</v>
      </c>
      <c r="B161" s="34"/>
      <c r="E161" s="36" t="s">
        <v>3122</v>
      </c>
      <c r="J161" s="35"/>
    </row>
    <row r="162" spans="1:10" ht="28.8" x14ac:dyDescent="0.3">
      <c r="A162" s="27" t="s">
        <v>103</v>
      </c>
      <c r="B162" s="34"/>
      <c r="E162" s="36" t="s">
        <v>3123</v>
      </c>
      <c r="J162" s="35"/>
    </row>
    <row r="163" spans="1:10" ht="28.8" x14ac:dyDescent="0.3">
      <c r="A163" s="27" t="s">
        <v>103</v>
      </c>
      <c r="B163" s="34"/>
      <c r="E163" s="36" t="s">
        <v>3124</v>
      </c>
      <c r="J163" s="35"/>
    </row>
    <row r="164" spans="1:10" ht="28.8" x14ac:dyDescent="0.3">
      <c r="A164" s="27" t="s">
        <v>103</v>
      </c>
      <c r="B164" s="34"/>
      <c r="E164" s="36" t="s">
        <v>3125</v>
      </c>
      <c r="J164" s="35"/>
    </row>
    <row r="165" spans="1:10" ht="28.8" x14ac:dyDescent="0.3">
      <c r="A165" s="27" t="s">
        <v>103</v>
      </c>
      <c r="B165" s="34"/>
      <c r="E165" s="36" t="s">
        <v>3126</v>
      </c>
      <c r="J165" s="35"/>
    </row>
    <row r="166" spans="1:10" ht="28.8" x14ac:dyDescent="0.3">
      <c r="A166" s="27" t="s">
        <v>103</v>
      </c>
      <c r="B166" s="34"/>
      <c r="E166" s="36" t="s">
        <v>3127</v>
      </c>
      <c r="J166" s="35"/>
    </row>
    <row r="167" spans="1:10" ht="28.8" x14ac:dyDescent="0.3">
      <c r="A167" s="27" t="s">
        <v>103</v>
      </c>
      <c r="B167" s="34"/>
      <c r="E167" s="36" t="s">
        <v>3128</v>
      </c>
      <c r="J167" s="35"/>
    </row>
    <row r="168" spans="1:10" ht="28.8" x14ac:dyDescent="0.3">
      <c r="A168" s="27" t="s">
        <v>103</v>
      </c>
      <c r="B168" s="34"/>
      <c r="E168" s="36" t="s">
        <v>3129</v>
      </c>
      <c r="J168" s="35"/>
    </row>
    <row r="169" spans="1:10" ht="28.8" x14ac:dyDescent="0.3">
      <c r="A169" s="27" t="s">
        <v>103</v>
      </c>
      <c r="B169" s="34"/>
      <c r="E169" s="36" t="s">
        <v>3130</v>
      </c>
      <c r="J169" s="35"/>
    </row>
    <row r="170" spans="1:10" ht="28.8" x14ac:dyDescent="0.3">
      <c r="A170" s="27" t="s">
        <v>103</v>
      </c>
      <c r="B170" s="34"/>
      <c r="E170" s="36" t="s">
        <v>3131</v>
      </c>
      <c r="J170" s="35"/>
    </row>
    <row r="171" spans="1:10" ht="28.8" x14ac:dyDescent="0.3">
      <c r="A171" s="27" t="s">
        <v>103</v>
      </c>
      <c r="B171" s="34"/>
      <c r="E171" s="36" t="s">
        <v>3132</v>
      </c>
      <c r="J171" s="35"/>
    </row>
    <row r="172" spans="1:10" ht="28.8" x14ac:dyDescent="0.3">
      <c r="A172" s="27" t="s">
        <v>103</v>
      </c>
      <c r="B172" s="34"/>
      <c r="E172" s="36" t="s">
        <v>3133</v>
      </c>
      <c r="J172" s="35"/>
    </row>
    <row r="173" spans="1:10" ht="28.8" x14ac:dyDescent="0.3">
      <c r="A173" s="27" t="s">
        <v>103</v>
      </c>
      <c r="B173" s="34"/>
      <c r="E173" s="36" t="s">
        <v>3134</v>
      </c>
      <c r="J173" s="35"/>
    </row>
    <row r="174" spans="1:10" ht="28.8" x14ac:dyDescent="0.3">
      <c r="A174" s="27" t="s">
        <v>103</v>
      </c>
      <c r="B174" s="34"/>
      <c r="E174" s="36" t="s">
        <v>3135</v>
      </c>
      <c r="J174" s="35"/>
    </row>
    <row r="175" spans="1:10" ht="28.8" x14ac:dyDescent="0.3">
      <c r="A175" s="27" t="s">
        <v>103</v>
      </c>
      <c r="B175" s="34"/>
      <c r="E175" s="36" t="s">
        <v>3136</v>
      </c>
      <c r="J175" s="35"/>
    </row>
    <row r="176" spans="1:10" ht="28.8" x14ac:dyDescent="0.3">
      <c r="A176" s="27" t="s">
        <v>103</v>
      </c>
      <c r="B176" s="34"/>
      <c r="E176" s="36" t="s">
        <v>3137</v>
      </c>
      <c r="J176" s="35"/>
    </row>
    <row r="177" spans="1:10" ht="28.8" x14ac:dyDescent="0.3">
      <c r="A177" s="27" t="s">
        <v>103</v>
      </c>
      <c r="B177" s="34"/>
      <c r="E177" s="36" t="s">
        <v>3138</v>
      </c>
      <c r="J177" s="35"/>
    </row>
    <row r="178" spans="1:10" ht="28.8" x14ac:dyDescent="0.3">
      <c r="A178" s="27" t="s">
        <v>103</v>
      </c>
      <c r="B178" s="34"/>
      <c r="E178" s="36" t="s">
        <v>3139</v>
      </c>
      <c r="J178" s="35"/>
    </row>
    <row r="179" spans="1:10" ht="28.8" x14ac:dyDescent="0.3">
      <c r="A179" s="27" t="s">
        <v>103</v>
      </c>
      <c r="B179" s="34"/>
      <c r="E179" s="36" t="s">
        <v>3140</v>
      </c>
      <c r="J179" s="35"/>
    </row>
    <row r="180" spans="1:10" ht="28.8" x14ac:dyDescent="0.3">
      <c r="A180" s="27" t="s">
        <v>103</v>
      </c>
      <c r="B180" s="34"/>
      <c r="E180" s="36" t="s">
        <v>3141</v>
      </c>
      <c r="J180" s="35"/>
    </row>
    <row r="181" spans="1:10" ht="28.8" x14ac:dyDescent="0.3">
      <c r="A181" s="27" t="s">
        <v>103</v>
      </c>
      <c r="B181" s="34"/>
      <c r="E181" s="36" t="s">
        <v>3142</v>
      </c>
      <c r="J181" s="35"/>
    </row>
    <row r="182" spans="1:10" ht="28.8" x14ac:dyDescent="0.3">
      <c r="A182" s="27" t="s">
        <v>103</v>
      </c>
      <c r="B182" s="34"/>
      <c r="E182" s="36" t="s">
        <v>3143</v>
      </c>
      <c r="J182" s="35"/>
    </row>
    <row r="183" spans="1:10" ht="28.8" x14ac:dyDescent="0.3">
      <c r="A183" s="27" t="s">
        <v>103</v>
      </c>
      <c r="B183" s="34"/>
      <c r="E183" s="36" t="s">
        <v>3144</v>
      </c>
      <c r="J183" s="35"/>
    </row>
    <row r="184" spans="1:10" ht="28.8" x14ac:dyDescent="0.3">
      <c r="A184" s="27" t="s">
        <v>103</v>
      </c>
      <c r="B184" s="34"/>
      <c r="E184" s="36" t="s">
        <v>3145</v>
      </c>
      <c r="J184" s="35"/>
    </row>
    <row r="185" spans="1:10" ht="28.8" x14ac:dyDescent="0.3">
      <c r="A185" s="27" t="s">
        <v>103</v>
      </c>
      <c r="B185" s="34"/>
      <c r="E185" s="36" t="s">
        <v>3146</v>
      </c>
      <c r="J185" s="35"/>
    </row>
    <row r="186" spans="1:10" ht="28.8" x14ac:dyDescent="0.3">
      <c r="A186" s="27" t="s">
        <v>103</v>
      </c>
      <c r="B186" s="34"/>
      <c r="E186" s="36" t="s">
        <v>3147</v>
      </c>
      <c r="J186" s="35"/>
    </row>
    <row r="187" spans="1:10" ht="28.8" x14ac:dyDescent="0.3">
      <c r="A187" s="27" t="s">
        <v>103</v>
      </c>
      <c r="B187" s="34"/>
      <c r="E187" s="36" t="s">
        <v>3148</v>
      </c>
      <c r="J187" s="35"/>
    </row>
    <row r="188" spans="1:10" ht="28.8" x14ac:dyDescent="0.3">
      <c r="A188" s="27" t="s">
        <v>103</v>
      </c>
      <c r="B188" s="34"/>
      <c r="E188" s="36" t="s">
        <v>3149</v>
      </c>
      <c r="J188" s="35"/>
    </row>
    <row r="189" spans="1:10" ht="28.8" x14ac:dyDescent="0.3">
      <c r="A189" s="27" t="s">
        <v>103</v>
      </c>
      <c r="B189" s="34"/>
      <c r="E189" s="36" t="s">
        <v>3150</v>
      </c>
      <c r="J189" s="35"/>
    </row>
    <row r="190" spans="1:10" ht="28.8" x14ac:dyDescent="0.3">
      <c r="A190" s="27" t="s">
        <v>103</v>
      </c>
      <c r="B190" s="34"/>
      <c r="E190" s="36" t="s">
        <v>3151</v>
      </c>
      <c r="J190" s="35"/>
    </row>
    <row r="191" spans="1:10" ht="28.8" x14ac:dyDescent="0.3">
      <c r="A191" s="27" t="s">
        <v>103</v>
      </c>
      <c r="B191" s="34"/>
      <c r="E191" s="36" t="s">
        <v>3152</v>
      </c>
      <c r="J191" s="35"/>
    </row>
    <row r="192" spans="1:10" ht="28.8" x14ac:dyDescent="0.3">
      <c r="A192" s="27" t="s">
        <v>103</v>
      </c>
      <c r="B192" s="34"/>
      <c r="E192" s="36" t="s">
        <v>3153</v>
      </c>
      <c r="J192" s="35"/>
    </row>
    <row r="193" spans="1:10" ht="28.8" x14ac:dyDescent="0.3">
      <c r="A193" s="27" t="s">
        <v>103</v>
      </c>
      <c r="B193" s="34"/>
      <c r="E193" s="36" t="s">
        <v>3154</v>
      </c>
      <c r="J193" s="35"/>
    </row>
    <row r="194" spans="1:10" ht="28.8" x14ac:dyDescent="0.3">
      <c r="A194" s="27" t="s">
        <v>103</v>
      </c>
      <c r="B194" s="34"/>
      <c r="E194" s="36" t="s">
        <v>3155</v>
      </c>
      <c r="J194" s="35"/>
    </row>
    <row r="195" spans="1:10" ht="28.8" x14ac:dyDescent="0.3">
      <c r="A195" s="27" t="s">
        <v>103</v>
      </c>
      <c r="B195" s="34"/>
      <c r="E195" s="36" t="s">
        <v>3156</v>
      </c>
      <c r="J195" s="35"/>
    </row>
    <row r="196" spans="1:10" ht="28.8" x14ac:dyDescent="0.3">
      <c r="A196" s="27" t="s">
        <v>103</v>
      </c>
      <c r="B196" s="34"/>
      <c r="E196" s="36" t="s">
        <v>3157</v>
      </c>
      <c r="J196" s="35"/>
    </row>
    <row r="197" spans="1:10" ht="28.8" x14ac:dyDescent="0.3">
      <c r="A197" s="27" t="s">
        <v>103</v>
      </c>
      <c r="B197" s="34"/>
      <c r="E197" s="36" t="s">
        <v>3158</v>
      </c>
      <c r="J197" s="35"/>
    </row>
    <row r="198" spans="1:10" ht="28.8" x14ac:dyDescent="0.3">
      <c r="A198" s="27" t="s">
        <v>103</v>
      </c>
      <c r="B198" s="34"/>
      <c r="E198" s="36" t="s">
        <v>3159</v>
      </c>
      <c r="J198" s="35"/>
    </row>
    <row r="199" spans="1:10" ht="28.8" x14ac:dyDescent="0.3">
      <c r="A199" s="27" t="s">
        <v>103</v>
      </c>
      <c r="B199" s="34"/>
      <c r="E199" s="36" t="s">
        <v>3160</v>
      </c>
      <c r="J199" s="35"/>
    </row>
    <row r="200" spans="1:10" ht="28.8" x14ac:dyDescent="0.3">
      <c r="A200" s="27" t="s">
        <v>103</v>
      </c>
      <c r="B200" s="34"/>
      <c r="E200" s="36" t="s">
        <v>3161</v>
      </c>
      <c r="J200" s="35"/>
    </row>
    <row r="201" spans="1:10" ht="28.8" x14ac:dyDescent="0.3">
      <c r="A201" s="27" t="s">
        <v>103</v>
      </c>
      <c r="B201" s="34"/>
      <c r="E201" s="36" t="s">
        <v>3162</v>
      </c>
      <c r="J201" s="35"/>
    </row>
    <row r="202" spans="1:10" ht="28.8" x14ac:dyDescent="0.3">
      <c r="A202" s="27" t="s">
        <v>103</v>
      </c>
      <c r="B202" s="34"/>
      <c r="E202" s="36" t="s">
        <v>3163</v>
      </c>
      <c r="J202" s="35"/>
    </row>
    <row r="203" spans="1:10" ht="28.8" x14ac:dyDescent="0.3">
      <c r="A203" s="27" t="s">
        <v>103</v>
      </c>
      <c r="B203" s="34"/>
      <c r="E203" s="36" t="s">
        <v>3164</v>
      </c>
      <c r="J203" s="35"/>
    </row>
    <row r="204" spans="1:10" ht="28.8" x14ac:dyDescent="0.3">
      <c r="A204" s="27" t="s">
        <v>103</v>
      </c>
      <c r="B204" s="34"/>
      <c r="E204" s="36" t="s">
        <v>3165</v>
      </c>
      <c r="J204" s="35"/>
    </row>
    <row r="205" spans="1:10" ht="28.8" x14ac:dyDescent="0.3">
      <c r="A205" s="27" t="s">
        <v>103</v>
      </c>
      <c r="B205" s="34"/>
      <c r="E205" s="36" t="s">
        <v>3166</v>
      </c>
      <c r="J205" s="35"/>
    </row>
    <row r="206" spans="1:10" ht="28.8" x14ac:dyDescent="0.3">
      <c r="A206" s="27" t="s">
        <v>103</v>
      </c>
      <c r="B206" s="34"/>
      <c r="E206" s="36" t="s">
        <v>3167</v>
      </c>
      <c r="J206" s="35"/>
    </row>
    <row r="207" spans="1:10" ht="28.8" x14ac:dyDescent="0.3">
      <c r="A207" s="27" t="s">
        <v>103</v>
      </c>
      <c r="B207" s="34"/>
      <c r="E207" s="36" t="s">
        <v>3168</v>
      </c>
      <c r="J207" s="35"/>
    </row>
    <row r="208" spans="1:10" ht="28.8" x14ac:dyDescent="0.3">
      <c r="A208" s="27" t="s">
        <v>103</v>
      </c>
      <c r="B208" s="34"/>
      <c r="E208" s="36" t="s">
        <v>3169</v>
      </c>
      <c r="J208" s="35"/>
    </row>
    <row r="209" spans="1:16" x14ac:dyDescent="0.3">
      <c r="A209" s="27" t="s">
        <v>103</v>
      </c>
      <c r="B209" s="34"/>
      <c r="E209" s="36" t="s">
        <v>3170</v>
      </c>
      <c r="J209" s="35"/>
    </row>
    <row r="210" spans="1:16" ht="374.4" x14ac:dyDescent="0.3">
      <c r="A210" s="27" t="s">
        <v>105</v>
      </c>
      <c r="B210" s="34"/>
      <c r="E210" s="29" t="s">
        <v>434</v>
      </c>
      <c r="J210" s="35"/>
    </row>
    <row r="211" spans="1:16" x14ac:dyDescent="0.3">
      <c r="A211" s="27" t="s">
        <v>95</v>
      </c>
      <c r="B211" s="27">
        <v>3</v>
      </c>
      <c r="C211" s="28" t="s">
        <v>1589</v>
      </c>
      <c r="D211" s="27" t="s">
        <v>129</v>
      </c>
      <c r="E211" s="29" t="s">
        <v>1590</v>
      </c>
      <c r="F211" s="30" t="s">
        <v>229</v>
      </c>
      <c r="G211" s="31">
        <v>632.63300000000004</v>
      </c>
      <c r="H211" s="32">
        <v>0</v>
      </c>
      <c r="I211" s="32">
        <f>ROUND(632.633*H211,P4)</f>
        <v>0</v>
      </c>
      <c r="J211" s="30" t="s">
        <v>118</v>
      </c>
      <c r="O211" s="33">
        <f>I211*0.21</f>
        <v>0</v>
      </c>
      <c r="P211">
        <v>3</v>
      </c>
    </row>
    <row r="212" spans="1:16" ht="158.4" x14ac:dyDescent="0.3">
      <c r="A212" s="27" t="s">
        <v>101</v>
      </c>
      <c r="B212" s="34"/>
      <c r="E212" s="29" t="s">
        <v>2992</v>
      </c>
      <c r="J212" s="35"/>
    </row>
    <row r="213" spans="1:16" ht="28.8" x14ac:dyDescent="0.3">
      <c r="A213" s="27" t="s">
        <v>103</v>
      </c>
      <c r="B213" s="34"/>
      <c r="E213" s="36" t="s">
        <v>3020</v>
      </c>
      <c r="J213" s="35"/>
    </row>
    <row r="214" spans="1:16" ht="28.8" x14ac:dyDescent="0.3">
      <c r="A214" s="27" t="s">
        <v>103</v>
      </c>
      <c r="B214" s="34"/>
      <c r="E214" s="36" t="s">
        <v>3021</v>
      </c>
      <c r="J214" s="35"/>
    </row>
    <row r="215" spans="1:16" ht="28.8" x14ac:dyDescent="0.3">
      <c r="A215" s="27" t="s">
        <v>103</v>
      </c>
      <c r="B215" s="34"/>
      <c r="E215" s="36" t="s">
        <v>3022</v>
      </c>
      <c r="J215" s="35"/>
    </row>
    <row r="216" spans="1:16" ht="28.8" x14ac:dyDescent="0.3">
      <c r="A216" s="27" t="s">
        <v>103</v>
      </c>
      <c r="B216" s="34"/>
      <c r="E216" s="36" t="s">
        <v>3023</v>
      </c>
      <c r="J216" s="35"/>
    </row>
    <row r="217" spans="1:16" ht="28.8" x14ac:dyDescent="0.3">
      <c r="A217" s="27" t="s">
        <v>103</v>
      </c>
      <c r="B217" s="34"/>
      <c r="E217" s="36" t="s">
        <v>3024</v>
      </c>
      <c r="J217" s="35"/>
    </row>
    <row r="218" spans="1:16" ht="28.8" x14ac:dyDescent="0.3">
      <c r="A218" s="27" t="s">
        <v>103</v>
      </c>
      <c r="B218" s="34"/>
      <c r="E218" s="36" t="s">
        <v>3025</v>
      </c>
      <c r="J218" s="35"/>
    </row>
    <row r="219" spans="1:16" ht="28.8" x14ac:dyDescent="0.3">
      <c r="A219" s="27" t="s">
        <v>103</v>
      </c>
      <c r="B219" s="34"/>
      <c r="E219" s="36" t="s">
        <v>3026</v>
      </c>
      <c r="J219" s="35"/>
    </row>
    <row r="220" spans="1:16" ht="28.8" x14ac:dyDescent="0.3">
      <c r="A220" s="27" t="s">
        <v>103</v>
      </c>
      <c r="B220" s="34"/>
      <c r="E220" s="36" t="s">
        <v>3027</v>
      </c>
      <c r="J220" s="35"/>
    </row>
    <row r="221" spans="1:16" ht="28.8" x14ac:dyDescent="0.3">
      <c r="A221" s="27" t="s">
        <v>103</v>
      </c>
      <c r="B221" s="34"/>
      <c r="E221" s="36" t="s">
        <v>3028</v>
      </c>
      <c r="J221" s="35"/>
    </row>
    <row r="222" spans="1:16" ht="28.8" x14ac:dyDescent="0.3">
      <c r="A222" s="27" t="s">
        <v>103</v>
      </c>
      <c r="B222" s="34"/>
      <c r="E222" s="36" t="s">
        <v>3029</v>
      </c>
      <c r="J222" s="35"/>
    </row>
    <row r="223" spans="1:16" ht="28.8" x14ac:dyDescent="0.3">
      <c r="A223" s="27" t="s">
        <v>103</v>
      </c>
      <c r="B223" s="34"/>
      <c r="E223" s="36" t="s">
        <v>3030</v>
      </c>
      <c r="J223" s="35"/>
    </row>
    <row r="224" spans="1:16" ht="28.8" x14ac:dyDescent="0.3">
      <c r="A224" s="27" t="s">
        <v>103</v>
      </c>
      <c r="B224" s="34"/>
      <c r="E224" s="36" t="s">
        <v>3031</v>
      </c>
      <c r="J224" s="35"/>
    </row>
    <row r="225" spans="1:10" ht="28.8" x14ac:dyDescent="0.3">
      <c r="A225" s="27" t="s">
        <v>103</v>
      </c>
      <c r="B225" s="34"/>
      <c r="E225" s="36" t="s">
        <v>3032</v>
      </c>
      <c r="J225" s="35"/>
    </row>
    <row r="226" spans="1:10" ht="28.8" x14ac:dyDescent="0.3">
      <c r="A226" s="27" t="s">
        <v>103</v>
      </c>
      <c r="B226" s="34"/>
      <c r="E226" s="36" t="s">
        <v>3033</v>
      </c>
      <c r="J226" s="35"/>
    </row>
    <row r="227" spans="1:10" ht="28.8" x14ac:dyDescent="0.3">
      <c r="A227" s="27" t="s">
        <v>103</v>
      </c>
      <c r="B227" s="34"/>
      <c r="E227" s="36" t="s">
        <v>3034</v>
      </c>
      <c r="J227" s="35"/>
    </row>
    <row r="228" spans="1:10" ht="28.8" x14ac:dyDescent="0.3">
      <c r="A228" s="27" t="s">
        <v>103</v>
      </c>
      <c r="B228" s="34"/>
      <c r="E228" s="36" t="s">
        <v>3035</v>
      </c>
      <c r="J228" s="35"/>
    </row>
    <row r="229" spans="1:10" ht="28.8" x14ac:dyDescent="0.3">
      <c r="A229" s="27" t="s">
        <v>103</v>
      </c>
      <c r="B229" s="34"/>
      <c r="E229" s="36" t="s">
        <v>3036</v>
      </c>
      <c r="J229" s="35"/>
    </row>
    <row r="230" spans="1:10" ht="28.8" x14ac:dyDescent="0.3">
      <c r="A230" s="27" t="s">
        <v>103</v>
      </c>
      <c r="B230" s="34"/>
      <c r="E230" s="36" t="s">
        <v>3037</v>
      </c>
      <c r="J230" s="35"/>
    </row>
    <row r="231" spans="1:10" ht="28.8" x14ac:dyDescent="0.3">
      <c r="A231" s="27" t="s">
        <v>103</v>
      </c>
      <c r="B231" s="34"/>
      <c r="E231" s="36" t="s">
        <v>3038</v>
      </c>
      <c r="J231" s="35"/>
    </row>
    <row r="232" spans="1:10" ht="28.8" x14ac:dyDescent="0.3">
      <c r="A232" s="27" t="s">
        <v>103</v>
      </c>
      <c r="B232" s="34"/>
      <c r="E232" s="36" t="s">
        <v>3039</v>
      </c>
      <c r="J232" s="35"/>
    </row>
    <row r="233" spans="1:10" ht="28.8" x14ac:dyDescent="0.3">
      <c r="A233" s="27" t="s">
        <v>103</v>
      </c>
      <c r="B233" s="34"/>
      <c r="E233" s="36" t="s">
        <v>3040</v>
      </c>
      <c r="J233" s="35"/>
    </row>
    <row r="234" spans="1:10" ht="28.8" x14ac:dyDescent="0.3">
      <c r="A234" s="27" t="s">
        <v>103</v>
      </c>
      <c r="B234" s="34"/>
      <c r="E234" s="36" t="s">
        <v>3041</v>
      </c>
      <c r="J234" s="35"/>
    </row>
    <row r="235" spans="1:10" ht="28.8" x14ac:dyDescent="0.3">
      <c r="A235" s="27" t="s">
        <v>103</v>
      </c>
      <c r="B235" s="34"/>
      <c r="E235" s="36" t="s">
        <v>3042</v>
      </c>
      <c r="J235" s="35"/>
    </row>
    <row r="236" spans="1:10" ht="28.8" x14ac:dyDescent="0.3">
      <c r="A236" s="27" t="s">
        <v>103</v>
      </c>
      <c r="B236" s="34"/>
      <c r="E236" s="36" t="s">
        <v>3043</v>
      </c>
      <c r="J236" s="35"/>
    </row>
    <row r="237" spans="1:10" ht="28.8" x14ac:dyDescent="0.3">
      <c r="A237" s="27" t="s">
        <v>103</v>
      </c>
      <c r="B237" s="34"/>
      <c r="E237" s="36" t="s">
        <v>3044</v>
      </c>
      <c r="J237" s="35"/>
    </row>
    <row r="238" spans="1:10" ht="28.8" x14ac:dyDescent="0.3">
      <c r="A238" s="27" t="s">
        <v>103</v>
      </c>
      <c r="B238" s="34"/>
      <c r="E238" s="36" t="s">
        <v>3045</v>
      </c>
      <c r="J238" s="35"/>
    </row>
    <row r="239" spans="1:10" ht="28.8" x14ac:dyDescent="0.3">
      <c r="A239" s="27" t="s">
        <v>103</v>
      </c>
      <c r="B239" s="34"/>
      <c r="E239" s="36" t="s">
        <v>3046</v>
      </c>
      <c r="J239" s="35"/>
    </row>
    <row r="240" spans="1:10" ht="28.8" x14ac:dyDescent="0.3">
      <c r="A240" s="27" t="s">
        <v>103</v>
      </c>
      <c r="B240" s="34"/>
      <c r="E240" s="36" t="s">
        <v>3047</v>
      </c>
      <c r="J240" s="35"/>
    </row>
    <row r="241" spans="1:10" ht="28.8" x14ac:dyDescent="0.3">
      <c r="A241" s="27" t="s">
        <v>103</v>
      </c>
      <c r="B241" s="34"/>
      <c r="E241" s="36" t="s">
        <v>3048</v>
      </c>
      <c r="J241" s="35"/>
    </row>
    <row r="242" spans="1:10" ht="28.8" x14ac:dyDescent="0.3">
      <c r="A242" s="27" t="s">
        <v>103</v>
      </c>
      <c r="B242" s="34"/>
      <c r="E242" s="36" t="s">
        <v>3049</v>
      </c>
      <c r="J242" s="35"/>
    </row>
    <row r="243" spans="1:10" ht="28.8" x14ac:dyDescent="0.3">
      <c r="A243" s="27" t="s">
        <v>103</v>
      </c>
      <c r="B243" s="34"/>
      <c r="E243" s="36" t="s">
        <v>3050</v>
      </c>
      <c r="J243" s="35"/>
    </row>
    <row r="244" spans="1:10" ht="28.8" x14ac:dyDescent="0.3">
      <c r="A244" s="27" t="s">
        <v>103</v>
      </c>
      <c r="B244" s="34"/>
      <c r="E244" s="36" t="s">
        <v>3051</v>
      </c>
      <c r="J244" s="35"/>
    </row>
    <row r="245" spans="1:10" ht="28.8" x14ac:dyDescent="0.3">
      <c r="A245" s="27" t="s">
        <v>103</v>
      </c>
      <c r="B245" s="34"/>
      <c r="E245" s="36" t="s">
        <v>3052</v>
      </c>
      <c r="J245" s="35"/>
    </row>
    <row r="246" spans="1:10" ht="28.8" x14ac:dyDescent="0.3">
      <c r="A246" s="27" t="s">
        <v>103</v>
      </c>
      <c r="B246" s="34"/>
      <c r="E246" s="36" t="s">
        <v>3053</v>
      </c>
      <c r="J246" s="35"/>
    </row>
    <row r="247" spans="1:10" ht="28.8" x14ac:dyDescent="0.3">
      <c r="A247" s="27" t="s">
        <v>103</v>
      </c>
      <c r="B247" s="34"/>
      <c r="E247" s="36" t="s">
        <v>3054</v>
      </c>
      <c r="J247" s="35"/>
    </row>
    <row r="248" spans="1:10" ht="28.8" x14ac:dyDescent="0.3">
      <c r="A248" s="27" t="s">
        <v>103</v>
      </c>
      <c r="B248" s="34"/>
      <c r="E248" s="36" t="s">
        <v>3055</v>
      </c>
      <c r="J248" s="35"/>
    </row>
    <row r="249" spans="1:10" ht="28.8" x14ac:dyDescent="0.3">
      <c r="A249" s="27" t="s">
        <v>103</v>
      </c>
      <c r="B249" s="34"/>
      <c r="E249" s="36" t="s">
        <v>3056</v>
      </c>
      <c r="J249" s="35"/>
    </row>
    <row r="250" spans="1:10" ht="28.8" x14ac:dyDescent="0.3">
      <c r="A250" s="27" t="s">
        <v>103</v>
      </c>
      <c r="B250" s="34"/>
      <c r="E250" s="36" t="s">
        <v>3057</v>
      </c>
      <c r="J250" s="35"/>
    </row>
    <row r="251" spans="1:10" ht="28.8" x14ac:dyDescent="0.3">
      <c r="A251" s="27" t="s">
        <v>103</v>
      </c>
      <c r="B251" s="34"/>
      <c r="E251" s="36" t="s">
        <v>3058</v>
      </c>
      <c r="J251" s="35"/>
    </row>
    <row r="252" spans="1:10" ht="28.8" x14ac:dyDescent="0.3">
      <c r="A252" s="27" t="s">
        <v>103</v>
      </c>
      <c r="B252" s="34"/>
      <c r="E252" s="36" t="s">
        <v>3059</v>
      </c>
      <c r="J252" s="35"/>
    </row>
    <row r="253" spans="1:10" ht="28.8" x14ac:dyDescent="0.3">
      <c r="A253" s="27" t="s">
        <v>103</v>
      </c>
      <c r="B253" s="34"/>
      <c r="E253" s="36" t="s">
        <v>3060</v>
      </c>
      <c r="J253" s="35"/>
    </row>
    <row r="254" spans="1:10" ht="28.8" x14ac:dyDescent="0.3">
      <c r="A254" s="27" t="s">
        <v>103</v>
      </c>
      <c r="B254" s="34"/>
      <c r="E254" s="36" t="s">
        <v>3061</v>
      </c>
      <c r="J254" s="35"/>
    </row>
    <row r="255" spans="1:10" ht="28.8" x14ac:dyDescent="0.3">
      <c r="A255" s="27" t="s">
        <v>103</v>
      </c>
      <c r="B255" s="34"/>
      <c r="E255" s="36" t="s">
        <v>3062</v>
      </c>
      <c r="J255" s="35"/>
    </row>
    <row r="256" spans="1:10" ht="28.8" x14ac:dyDescent="0.3">
      <c r="A256" s="27" t="s">
        <v>103</v>
      </c>
      <c r="B256" s="34"/>
      <c r="E256" s="36" t="s">
        <v>3063</v>
      </c>
      <c r="J256" s="35"/>
    </row>
    <row r="257" spans="1:10" ht="28.8" x14ac:dyDescent="0.3">
      <c r="A257" s="27" t="s">
        <v>103</v>
      </c>
      <c r="B257" s="34"/>
      <c r="E257" s="36" t="s">
        <v>3064</v>
      </c>
      <c r="J257" s="35"/>
    </row>
    <row r="258" spans="1:10" ht="28.8" x14ac:dyDescent="0.3">
      <c r="A258" s="27" t="s">
        <v>103</v>
      </c>
      <c r="B258" s="34"/>
      <c r="E258" s="36" t="s">
        <v>3065</v>
      </c>
      <c r="J258" s="35"/>
    </row>
    <row r="259" spans="1:10" ht="28.8" x14ac:dyDescent="0.3">
      <c r="A259" s="27" t="s">
        <v>103</v>
      </c>
      <c r="B259" s="34"/>
      <c r="E259" s="36" t="s">
        <v>3066</v>
      </c>
      <c r="J259" s="35"/>
    </row>
    <row r="260" spans="1:10" ht="28.8" x14ac:dyDescent="0.3">
      <c r="A260" s="27" t="s">
        <v>103</v>
      </c>
      <c r="B260" s="34"/>
      <c r="E260" s="36" t="s">
        <v>3067</v>
      </c>
      <c r="J260" s="35"/>
    </row>
    <row r="261" spans="1:10" ht="28.8" x14ac:dyDescent="0.3">
      <c r="A261" s="27" t="s">
        <v>103</v>
      </c>
      <c r="B261" s="34"/>
      <c r="E261" s="36" t="s">
        <v>3068</v>
      </c>
      <c r="J261" s="35"/>
    </row>
    <row r="262" spans="1:10" ht="28.8" x14ac:dyDescent="0.3">
      <c r="A262" s="27" t="s">
        <v>103</v>
      </c>
      <c r="B262" s="34"/>
      <c r="E262" s="36" t="s">
        <v>3069</v>
      </c>
      <c r="J262" s="35"/>
    </row>
    <row r="263" spans="1:10" ht="28.8" x14ac:dyDescent="0.3">
      <c r="A263" s="27" t="s">
        <v>103</v>
      </c>
      <c r="B263" s="34"/>
      <c r="E263" s="36" t="s">
        <v>3070</v>
      </c>
      <c r="J263" s="35"/>
    </row>
    <row r="264" spans="1:10" ht="28.8" x14ac:dyDescent="0.3">
      <c r="A264" s="27" t="s">
        <v>103</v>
      </c>
      <c r="B264" s="34"/>
      <c r="E264" s="36" t="s">
        <v>3071</v>
      </c>
      <c r="J264" s="35"/>
    </row>
    <row r="265" spans="1:10" ht="28.8" x14ac:dyDescent="0.3">
      <c r="A265" s="27" t="s">
        <v>103</v>
      </c>
      <c r="B265" s="34"/>
      <c r="E265" s="36" t="s">
        <v>3072</v>
      </c>
      <c r="J265" s="35"/>
    </row>
    <row r="266" spans="1:10" ht="28.8" x14ac:dyDescent="0.3">
      <c r="A266" s="27" t="s">
        <v>103</v>
      </c>
      <c r="B266" s="34"/>
      <c r="E266" s="36" t="s">
        <v>3073</v>
      </c>
      <c r="J266" s="35"/>
    </row>
    <row r="267" spans="1:10" ht="28.8" x14ac:dyDescent="0.3">
      <c r="A267" s="27" t="s">
        <v>103</v>
      </c>
      <c r="B267" s="34"/>
      <c r="E267" s="36" t="s">
        <v>3074</v>
      </c>
      <c r="J267" s="35"/>
    </row>
    <row r="268" spans="1:10" ht="28.8" x14ac:dyDescent="0.3">
      <c r="A268" s="27" t="s">
        <v>103</v>
      </c>
      <c r="B268" s="34"/>
      <c r="E268" s="36" t="s">
        <v>3075</v>
      </c>
      <c r="J268" s="35"/>
    </row>
    <row r="269" spans="1:10" ht="28.8" x14ac:dyDescent="0.3">
      <c r="A269" s="27" t="s">
        <v>103</v>
      </c>
      <c r="B269" s="34"/>
      <c r="E269" s="36" t="s">
        <v>3076</v>
      </c>
      <c r="J269" s="35"/>
    </row>
    <row r="270" spans="1:10" ht="28.8" x14ac:dyDescent="0.3">
      <c r="A270" s="27" t="s">
        <v>103</v>
      </c>
      <c r="B270" s="34"/>
      <c r="E270" s="36" t="s">
        <v>3077</v>
      </c>
      <c r="J270" s="35"/>
    </row>
    <row r="271" spans="1:10" ht="28.8" x14ac:dyDescent="0.3">
      <c r="A271" s="27" t="s">
        <v>103</v>
      </c>
      <c r="B271" s="34"/>
      <c r="E271" s="36" t="s">
        <v>3078</v>
      </c>
      <c r="J271" s="35"/>
    </row>
    <row r="272" spans="1:10" ht="28.8" x14ac:dyDescent="0.3">
      <c r="A272" s="27" t="s">
        <v>103</v>
      </c>
      <c r="B272" s="34"/>
      <c r="E272" s="36" t="s">
        <v>3079</v>
      </c>
      <c r="J272" s="35"/>
    </row>
    <row r="273" spans="1:10" ht="28.8" x14ac:dyDescent="0.3">
      <c r="A273" s="27" t="s">
        <v>103</v>
      </c>
      <c r="B273" s="34"/>
      <c r="E273" s="36" t="s">
        <v>3080</v>
      </c>
      <c r="J273" s="35"/>
    </row>
    <row r="274" spans="1:10" ht="28.8" x14ac:dyDescent="0.3">
      <c r="A274" s="27" t="s">
        <v>103</v>
      </c>
      <c r="B274" s="34"/>
      <c r="E274" s="36" t="s">
        <v>3081</v>
      </c>
      <c r="J274" s="35"/>
    </row>
    <row r="275" spans="1:10" ht="28.8" x14ac:dyDescent="0.3">
      <c r="A275" s="27" t="s">
        <v>103</v>
      </c>
      <c r="B275" s="34"/>
      <c r="E275" s="36" t="s">
        <v>3082</v>
      </c>
      <c r="J275" s="35"/>
    </row>
    <row r="276" spans="1:10" ht="28.8" x14ac:dyDescent="0.3">
      <c r="A276" s="27" t="s">
        <v>103</v>
      </c>
      <c r="B276" s="34"/>
      <c r="E276" s="36" t="s">
        <v>3083</v>
      </c>
      <c r="J276" s="35"/>
    </row>
    <row r="277" spans="1:10" ht="28.8" x14ac:dyDescent="0.3">
      <c r="A277" s="27" t="s">
        <v>103</v>
      </c>
      <c r="B277" s="34"/>
      <c r="E277" s="36" t="s">
        <v>3084</v>
      </c>
      <c r="J277" s="35"/>
    </row>
    <row r="278" spans="1:10" ht="28.8" x14ac:dyDescent="0.3">
      <c r="A278" s="27" t="s">
        <v>103</v>
      </c>
      <c r="B278" s="34"/>
      <c r="E278" s="36" t="s">
        <v>3085</v>
      </c>
      <c r="J278" s="35"/>
    </row>
    <row r="279" spans="1:10" ht="28.8" x14ac:dyDescent="0.3">
      <c r="A279" s="27" t="s">
        <v>103</v>
      </c>
      <c r="B279" s="34"/>
      <c r="E279" s="36" t="s">
        <v>3086</v>
      </c>
      <c r="J279" s="35"/>
    </row>
    <row r="280" spans="1:10" ht="28.8" x14ac:dyDescent="0.3">
      <c r="A280" s="27" t="s">
        <v>103</v>
      </c>
      <c r="B280" s="34"/>
      <c r="E280" s="36" t="s">
        <v>3087</v>
      </c>
      <c r="J280" s="35"/>
    </row>
    <row r="281" spans="1:10" ht="28.8" x14ac:dyDescent="0.3">
      <c r="A281" s="27" t="s">
        <v>103</v>
      </c>
      <c r="B281" s="34"/>
      <c r="E281" s="36" t="s">
        <v>3088</v>
      </c>
      <c r="J281" s="35"/>
    </row>
    <row r="282" spans="1:10" ht="28.8" x14ac:dyDescent="0.3">
      <c r="A282" s="27" t="s">
        <v>103</v>
      </c>
      <c r="B282" s="34"/>
      <c r="E282" s="36" t="s">
        <v>3089</v>
      </c>
      <c r="J282" s="35"/>
    </row>
    <row r="283" spans="1:10" ht="28.8" x14ac:dyDescent="0.3">
      <c r="A283" s="27" t="s">
        <v>103</v>
      </c>
      <c r="B283" s="34"/>
      <c r="E283" s="36" t="s">
        <v>3090</v>
      </c>
      <c r="J283" s="35"/>
    </row>
    <row r="284" spans="1:10" ht="28.8" x14ac:dyDescent="0.3">
      <c r="A284" s="27" t="s">
        <v>103</v>
      </c>
      <c r="B284" s="34"/>
      <c r="E284" s="36" t="s">
        <v>3091</v>
      </c>
      <c r="J284" s="35"/>
    </row>
    <row r="285" spans="1:10" ht="28.8" x14ac:dyDescent="0.3">
      <c r="A285" s="27" t="s">
        <v>103</v>
      </c>
      <c r="B285" s="34"/>
      <c r="E285" s="36" t="s">
        <v>3092</v>
      </c>
      <c r="J285" s="35"/>
    </row>
    <row r="286" spans="1:10" ht="28.8" x14ac:dyDescent="0.3">
      <c r="A286" s="27" t="s">
        <v>103</v>
      </c>
      <c r="B286" s="34"/>
      <c r="E286" s="36" t="s">
        <v>3093</v>
      </c>
      <c r="J286" s="35"/>
    </row>
    <row r="287" spans="1:10" ht="28.8" x14ac:dyDescent="0.3">
      <c r="A287" s="27" t="s">
        <v>103</v>
      </c>
      <c r="B287" s="34"/>
      <c r="E287" s="36" t="s">
        <v>3094</v>
      </c>
      <c r="J287" s="35"/>
    </row>
    <row r="288" spans="1:10" ht="28.8" x14ac:dyDescent="0.3">
      <c r="A288" s="27" t="s">
        <v>103</v>
      </c>
      <c r="B288" s="34"/>
      <c r="E288" s="36" t="s">
        <v>3095</v>
      </c>
      <c r="J288" s="35"/>
    </row>
    <row r="289" spans="1:10" ht="28.8" x14ac:dyDescent="0.3">
      <c r="A289" s="27" t="s">
        <v>103</v>
      </c>
      <c r="B289" s="34"/>
      <c r="E289" s="36" t="s">
        <v>3096</v>
      </c>
      <c r="J289" s="35"/>
    </row>
    <row r="290" spans="1:10" ht="28.8" x14ac:dyDescent="0.3">
      <c r="A290" s="27" t="s">
        <v>103</v>
      </c>
      <c r="B290" s="34"/>
      <c r="E290" s="36" t="s">
        <v>3097</v>
      </c>
      <c r="J290" s="35"/>
    </row>
    <row r="291" spans="1:10" ht="28.8" x14ac:dyDescent="0.3">
      <c r="A291" s="27" t="s">
        <v>103</v>
      </c>
      <c r="B291" s="34"/>
      <c r="E291" s="36" t="s">
        <v>3098</v>
      </c>
      <c r="J291" s="35"/>
    </row>
    <row r="292" spans="1:10" ht="28.8" x14ac:dyDescent="0.3">
      <c r="A292" s="27" t="s">
        <v>103</v>
      </c>
      <c r="B292" s="34"/>
      <c r="E292" s="36" t="s">
        <v>3099</v>
      </c>
      <c r="J292" s="35"/>
    </row>
    <row r="293" spans="1:10" ht="28.8" x14ac:dyDescent="0.3">
      <c r="A293" s="27" t="s">
        <v>103</v>
      </c>
      <c r="B293" s="34"/>
      <c r="E293" s="36" t="s">
        <v>3100</v>
      </c>
      <c r="J293" s="35"/>
    </row>
    <row r="294" spans="1:10" ht="28.8" x14ac:dyDescent="0.3">
      <c r="A294" s="27" t="s">
        <v>103</v>
      </c>
      <c r="B294" s="34"/>
      <c r="E294" s="36" t="s">
        <v>3101</v>
      </c>
      <c r="J294" s="35"/>
    </row>
    <row r="295" spans="1:10" ht="28.8" x14ac:dyDescent="0.3">
      <c r="A295" s="27" t="s">
        <v>103</v>
      </c>
      <c r="B295" s="34"/>
      <c r="E295" s="36" t="s">
        <v>3102</v>
      </c>
      <c r="J295" s="35"/>
    </row>
    <row r="296" spans="1:10" ht="28.8" x14ac:dyDescent="0.3">
      <c r="A296" s="27" t="s">
        <v>103</v>
      </c>
      <c r="B296" s="34"/>
      <c r="E296" s="36" t="s">
        <v>3103</v>
      </c>
      <c r="J296" s="35"/>
    </row>
    <row r="297" spans="1:10" ht="28.8" x14ac:dyDescent="0.3">
      <c r="A297" s="27" t="s">
        <v>103</v>
      </c>
      <c r="B297" s="34"/>
      <c r="E297" s="36" t="s">
        <v>3104</v>
      </c>
      <c r="J297" s="35"/>
    </row>
    <row r="298" spans="1:10" ht="28.8" x14ac:dyDescent="0.3">
      <c r="A298" s="27" t="s">
        <v>103</v>
      </c>
      <c r="B298" s="34"/>
      <c r="E298" s="36" t="s">
        <v>3105</v>
      </c>
      <c r="J298" s="35"/>
    </row>
    <row r="299" spans="1:10" ht="28.8" x14ac:dyDescent="0.3">
      <c r="A299" s="27" t="s">
        <v>103</v>
      </c>
      <c r="B299" s="34"/>
      <c r="E299" s="36" t="s">
        <v>3106</v>
      </c>
      <c r="J299" s="35"/>
    </row>
    <row r="300" spans="1:10" ht="28.8" x14ac:dyDescent="0.3">
      <c r="A300" s="27" t="s">
        <v>103</v>
      </c>
      <c r="B300" s="34"/>
      <c r="E300" s="36" t="s">
        <v>3107</v>
      </c>
      <c r="J300" s="35"/>
    </row>
    <row r="301" spans="1:10" ht="28.8" x14ac:dyDescent="0.3">
      <c r="A301" s="27" t="s">
        <v>103</v>
      </c>
      <c r="B301" s="34"/>
      <c r="E301" s="36" t="s">
        <v>3108</v>
      </c>
      <c r="J301" s="35"/>
    </row>
    <row r="302" spans="1:10" ht="28.8" x14ac:dyDescent="0.3">
      <c r="A302" s="27" t="s">
        <v>103</v>
      </c>
      <c r="B302" s="34"/>
      <c r="E302" s="36" t="s">
        <v>3109</v>
      </c>
      <c r="J302" s="35"/>
    </row>
    <row r="303" spans="1:10" ht="28.8" x14ac:dyDescent="0.3">
      <c r="A303" s="27" t="s">
        <v>103</v>
      </c>
      <c r="B303" s="34"/>
      <c r="E303" s="36" t="s">
        <v>3110</v>
      </c>
      <c r="J303" s="35"/>
    </row>
    <row r="304" spans="1:10" ht="28.8" x14ac:dyDescent="0.3">
      <c r="A304" s="27" t="s">
        <v>103</v>
      </c>
      <c r="B304" s="34"/>
      <c r="E304" s="36" t="s">
        <v>3111</v>
      </c>
      <c r="J304" s="35"/>
    </row>
    <row r="305" spans="1:10" ht="28.8" x14ac:dyDescent="0.3">
      <c r="A305" s="27" t="s">
        <v>103</v>
      </c>
      <c r="B305" s="34"/>
      <c r="E305" s="36" t="s">
        <v>3112</v>
      </c>
      <c r="J305" s="35"/>
    </row>
    <row r="306" spans="1:10" ht="28.8" x14ac:dyDescent="0.3">
      <c r="A306" s="27" t="s">
        <v>103</v>
      </c>
      <c r="B306" s="34"/>
      <c r="E306" s="36" t="s">
        <v>3113</v>
      </c>
      <c r="J306" s="35"/>
    </row>
    <row r="307" spans="1:10" ht="28.8" x14ac:dyDescent="0.3">
      <c r="A307" s="27" t="s">
        <v>103</v>
      </c>
      <c r="B307" s="34"/>
      <c r="E307" s="36" t="s">
        <v>3114</v>
      </c>
      <c r="J307" s="35"/>
    </row>
    <row r="308" spans="1:10" ht="28.8" x14ac:dyDescent="0.3">
      <c r="A308" s="27" t="s">
        <v>103</v>
      </c>
      <c r="B308" s="34"/>
      <c r="E308" s="36" t="s">
        <v>3115</v>
      </c>
      <c r="J308" s="35"/>
    </row>
    <row r="309" spans="1:10" ht="28.8" x14ac:dyDescent="0.3">
      <c r="A309" s="27" t="s">
        <v>103</v>
      </c>
      <c r="B309" s="34"/>
      <c r="E309" s="36" t="s">
        <v>3116</v>
      </c>
      <c r="J309" s="35"/>
    </row>
    <row r="310" spans="1:10" ht="28.8" x14ac:dyDescent="0.3">
      <c r="A310" s="27" t="s">
        <v>103</v>
      </c>
      <c r="B310" s="34"/>
      <c r="E310" s="36" t="s">
        <v>3117</v>
      </c>
      <c r="J310" s="35"/>
    </row>
    <row r="311" spans="1:10" ht="28.8" x14ac:dyDescent="0.3">
      <c r="A311" s="27" t="s">
        <v>103</v>
      </c>
      <c r="B311" s="34"/>
      <c r="E311" s="36" t="s">
        <v>3118</v>
      </c>
      <c r="J311" s="35"/>
    </row>
    <row r="312" spans="1:10" ht="28.8" x14ac:dyDescent="0.3">
      <c r="A312" s="27" t="s">
        <v>103</v>
      </c>
      <c r="B312" s="34"/>
      <c r="E312" s="36" t="s">
        <v>3119</v>
      </c>
      <c r="J312" s="35"/>
    </row>
    <row r="313" spans="1:10" ht="28.8" x14ac:dyDescent="0.3">
      <c r="A313" s="27" t="s">
        <v>103</v>
      </c>
      <c r="B313" s="34"/>
      <c r="E313" s="36" t="s">
        <v>3120</v>
      </c>
      <c r="J313" s="35"/>
    </row>
    <row r="314" spans="1:10" ht="28.8" x14ac:dyDescent="0.3">
      <c r="A314" s="27" t="s">
        <v>103</v>
      </c>
      <c r="B314" s="34"/>
      <c r="E314" s="36" t="s">
        <v>3121</v>
      </c>
      <c r="J314" s="35"/>
    </row>
    <row r="315" spans="1:10" ht="28.8" x14ac:dyDescent="0.3">
      <c r="A315" s="27" t="s">
        <v>103</v>
      </c>
      <c r="B315" s="34"/>
      <c r="E315" s="36" t="s">
        <v>3122</v>
      </c>
      <c r="J315" s="35"/>
    </row>
    <row r="316" spans="1:10" ht="28.8" x14ac:dyDescent="0.3">
      <c r="A316" s="27" t="s">
        <v>103</v>
      </c>
      <c r="B316" s="34"/>
      <c r="E316" s="36" t="s">
        <v>3123</v>
      </c>
      <c r="J316" s="35"/>
    </row>
    <row r="317" spans="1:10" ht="28.8" x14ac:dyDescent="0.3">
      <c r="A317" s="27" t="s">
        <v>103</v>
      </c>
      <c r="B317" s="34"/>
      <c r="E317" s="36" t="s">
        <v>3124</v>
      </c>
      <c r="J317" s="35"/>
    </row>
    <row r="318" spans="1:10" ht="28.8" x14ac:dyDescent="0.3">
      <c r="A318" s="27" t="s">
        <v>103</v>
      </c>
      <c r="B318" s="34"/>
      <c r="E318" s="36" t="s">
        <v>3125</v>
      </c>
      <c r="J318" s="35"/>
    </row>
    <row r="319" spans="1:10" ht="28.8" x14ac:dyDescent="0.3">
      <c r="A319" s="27" t="s">
        <v>103</v>
      </c>
      <c r="B319" s="34"/>
      <c r="E319" s="36" t="s">
        <v>3126</v>
      </c>
      <c r="J319" s="35"/>
    </row>
    <row r="320" spans="1:10" ht="28.8" x14ac:dyDescent="0.3">
      <c r="A320" s="27" t="s">
        <v>103</v>
      </c>
      <c r="B320" s="34"/>
      <c r="E320" s="36" t="s">
        <v>3127</v>
      </c>
      <c r="J320" s="35"/>
    </row>
    <row r="321" spans="1:10" ht="28.8" x14ac:dyDescent="0.3">
      <c r="A321" s="27" t="s">
        <v>103</v>
      </c>
      <c r="B321" s="34"/>
      <c r="E321" s="36" t="s">
        <v>3128</v>
      </c>
      <c r="J321" s="35"/>
    </row>
    <row r="322" spans="1:10" ht="28.8" x14ac:dyDescent="0.3">
      <c r="A322" s="27" t="s">
        <v>103</v>
      </c>
      <c r="B322" s="34"/>
      <c r="E322" s="36" t="s">
        <v>3129</v>
      </c>
      <c r="J322" s="35"/>
    </row>
    <row r="323" spans="1:10" ht="28.8" x14ac:dyDescent="0.3">
      <c r="A323" s="27" t="s">
        <v>103</v>
      </c>
      <c r="B323" s="34"/>
      <c r="E323" s="36" t="s">
        <v>3130</v>
      </c>
      <c r="J323" s="35"/>
    </row>
    <row r="324" spans="1:10" ht="28.8" x14ac:dyDescent="0.3">
      <c r="A324" s="27" t="s">
        <v>103</v>
      </c>
      <c r="B324" s="34"/>
      <c r="E324" s="36" t="s">
        <v>3131</v>
      </c>
      <c r="J324" s="35"/>
    </row>
    <row r="325" spans="1:10" ht="28.8" x14ac:dyDescent="0.3">
      <c r="A325" s="27" t="s">
        <v>103</v>
      </c>
      <c r="B325" s="34"/>
      <c r="E325" s="36" t="s">
        <v>3132</v>
      </c>
      <c r="J325" s="35"/>
    </row>
    <row r="326" spans="1:10" ht="28.8" x14ac:dyDescent="0.3">
      <c r="A326" s="27" t="s">
        <v>103</v>
      </c>
      <c r="B326" s="34"/>
      <c r="E326" s="36" t="s">
        <v>3133</v>
      </c>
      <c r="J326" s="35"/>
    </row>
    <row r="327" spans="1:10" ht="28.8" x14ac:dyDescent="0.3">
      <c r="A327" s="27" t="s">
        <v>103</v>
      </c>
      <c r="B327" s="34"/>
      <c r="E327" s="36" t="s">
        <v>3134</v>
      </c>
      <c r="J327" s="35"/>
    </row>
    <row r="328" spans="1:10" ht="28.8" x14ac:dyDescent="0.3">
      <c r="A328" s="27" t="s">
        <v>103</v>
      </c>
      <c r="B328" s="34"/>
      <c r="E328" s="36" t="s">
        <v>3135</v>
      </c>
      <c r="J328" s="35"/>
    </row>
    <row r="329" spans="1:10" ht="28.8" x14ac:dyDescent="0.3">
      <c r="A329" s="27" t="s">
        <v>103</v>
      </c>
      <c r="B329" s="34"/>
      <c r="E329" s="36" t="s">
        <v>3136</v>
      </c>
      <c r="J329" s="35"/>
    </row>
    <row r="330" spans="1:10" ht="28.8" x14ac:dyDescent="0.3">
      <c r="A330" s="27" t="s">
        <v>103</v>
      </c>
      <c r="B330" s="34"/>
      <c r="E330" s="36" t="s">
        <v>3137</v>
      </c>
      <c r="J330" s="35"/>
    </row>
    <row r="331" spans="1:10" ht="28.8" x14ac:dyDescent="0.3">
      <c r="A331" s="27" t="s">
        <v>103</v>
      </c>
      <c r="B331" s="34"/>
      <c r="E331" s="36" t="s">
        <v>3138</v>
      </c>
      <c r="J331" s="35"/>
    </row>
    <row r="332" spans="1:10" ht="28.8" x14ac:dyDescent="0.3">
      <c r="A332" s="27" t="s">
        <v>103</v>
      </c>
      <c r="B332" s="34"/>
      <c r="E332" s="36" t="s">
        <v>3139</v>
      </c>
      <c r="J332" s="35"/>
    </row>
    <row r="333" spans="1:10" ht="28.8" x14ac:dyDescent="0.3">
      <c r="A333" s="27" t="s">
        <v>103</v>
      </c>
      <c r="B333" s="34"/>
      <c r="E333" s="36" t="s">
        <v>3140</v>
      </c>
      <c r="J333" s="35"/>
    </row>
    <row r="334" spans="1:10" ht="28.8" x14ac:dyDescent="0.3">
      <c r="A334" s="27" t="s">
        <v>103</v>
      </c>
      <c r="B334" s="34"/>
      <c r="E334" s="36" t="s">
        <v>3141</v>
      </c>
      <c r="J334" s="35"/>
    </row>
    <row r="335" spans="1:10" ht="28.8" x14ac:dyDescent="0.3">
      <c r="A335" s="27" t="s">
        <v>103</v>
      </c>
      <c r="B335" s="34"/>
      <c r="E335" s="36" t="s">
        <v>3142</v>
      </c>
      <c r="J335" s="35"/>
    </row>
    <row r="336" spans="1:10" ht="28.8" x14ac:dyDescent="0.3">
      <c r="A336" s="27" t="s">
        <v>103</v>
      </c>
      <c r="B336" s="34"/>
      <c r="E336" s="36" t="s">
        <v>3143</v>
      </c>
      <c r="J336" s="35"/>
    </row>
    <row r="337" spans="1:10" ht="28.8" x14ac:dyDescent="0.3">
      <c r="A337" s="27" t="s">
        <v>103</v>
      </c>
      <c r="B337" s="34"/>
      <c r="E337" s="36" t="s">
        <v>3144</v>
      </c>
      <c r="J337" s="35"/>
    </row>
    <row r="338" spans="1:10" ht="28.8" x14ac:dyDescent="0.3">
      <c r="A338" s="27" t="s">
        <v>103</v>
      </c>
      <c r="B338" s="34"/>
      <c r="E338" s="36" t="s">
        <v>3145</v>
      </c>
      <c r="J338" s="35"/>
    </row>
    <row r="339" spans="1:10" ht="28.8" x14ac:dyDescent="0.3">
      <c r="A339" s="27" t="s">
        <v>103</v>
      </c>
      <c r="B339" s="34"/>
      <c r="E339" s="36" t="s">
        <v>3146</v>
      </c>
      <c r="J339" s="35"/>
    </row>
    <row r="340" spans="1:10" ht="28.8" x14ac:dyDescent="0.3">
      <c r="A340" s="27" t="s">
        <v>103</v>
      </c>
      <c r="B340" s="34"/>
      <c r="E340" s="36" t="s">
        <v>3147</v>
      </c>
      <c r="J340" s="35"/>
    </row>
    <row r="341" spans="1:10" ht="28.8" x14ac:dyDescent="0.3">
      <c r="A341" s="27" t="s">
        <v>103</v>
      </c>
      <c r="B341" s="34"/>
      <c r="E341" s="36" t="s">
        <v>3148</v>
      </c>
      <c r="J341" s="35"/>
    </row>
    <row r="342" spans="1:10" ht="28.8" x14ac:dyDescent="0.3">
      <c r="A342" s="27" t="s">
        <v>103</v>
      </c>
      <c r="B342" s="34"/>
      <c r="E342" s="36" t="s">
        <v>3149</v>
      </c>
      <c r="J342" s="35"/>
    </row>
    <row r="343" spans="1:10" ht="28.8" x14ac:dyDescent="0.3">
      <c r="A343" s="27" t="s">
        <v>103</v>
      </c>
      <c r="B343" s="34"/>
      <c r="E343" s="36" t="s">
        <v>3150</v>
      </c>
      <c r="J343" s="35"/>
    </row>
    <row r="344" spans="1:10" ht="28.8" x14ac:dyDescent="0.3">
      <c r="A344" s="27" t="s">
        <v>103</v>
      </c>
      <c r="B344" s="34"/>
      <c r="E344" s="36" t="s">
        <v>3151</v>
      </c>
      <c r="J344" s="35"/>
    </row>
    <row r="345" spans="1:10" ht="28.8" x14ac:dyDescent="0.3">
      <c r="A345" s="27" t="s">
        <v>103</v>
      </c>
      <c r="B345" s="34"/>
      <c r="E345" s="36" t="s">
        <v>3152</v>
      </c>
      <c r="J345" s="35"/>
    </row>
    <row r="346" spans="1:10" ht="28.8" x14ac:dyDescent="0.3">
      <c r="A346" s="27" t="s">
        <v>103</v>
      </c>
      <c r="B346" s="34"/>
      <c r="E346" s="36" t="s">
        <v>3153</v>
      </c>
      <c r="J346" s="35"/>
    </row>
    <row r="347" spans="1:10" ht="28.8" x14ac:dyDescent="0.3">
      <c r="A347" s="27" t="s">
        <v>103</v>
      </c>
      <c r="B347" s="34"/>
      <c r="E347" s="36" t="s">
        <v>3154</v>
      </c>
      <c r="J347" s="35"/>
    </row>
    <row r="348" spans="1:10" ht="28.8" x14ac:dyDescent="0.3">
      <c r="A348" s="27" t="s">
        <v>103</v>
      </c>
      <c r="B348" s="34"/>
      <c r="E348" s="36" t="s">
        <v>3155</v>
      </c>
      <c r="J348" s="35"/>
    </row>
    <row r="349" spans="1:10" ht="28.8" x14ac:dyDescent="0.3">
      <c r="A349" s="27" t="s">
        <v>103</v>
      </c>
      <c r="B349" s="34"/>
      <c r="E349" s="36" t="s">
        <v>3156</v>
      </c>
      <c r="J349" s="35"/>
    </row>
    <row r="350" spans="1:10" ht="28.8" x14ac:dyDescent="0.3">
      <c r="A350" s="27" t="s">
        <v>103</v>
      </c>
      <c r="B350" s="34"/>
      <c r="E350" s="36" t="s">
        <v>3157</v>
      </c>
      <c r="J350" s="35"/>
    </row>
    <row r="351" spans="1:10" ht="28.8" x14ac:dyDescent="0.3">
      <c r="A351" s="27" t="s">
        <v>103</v>
      </c>
      <c r="B351" s="34"/>
      <c r="E351" s="36" t="s">
        <v>3158</v>
      </c>
      <c r="J351" s="35"/>
    </row>
    <row r="352" spans="1:10" ht="28.8" x14ac:dyDescent="0.3">
      <c r="A352" s="27" t="s">
        <v>103</v>
      </c>
      <c r="B352" s="34"/>
      <c r="E352" s="36" t="s">
        <v>3159</v>
      </c>
      <c r="J352" s="35"/>
    </row>
    <row r="353" spans="1:16" ht="28.8" x14ac:dyDescent="0.3">
      <c r="A353" s="27" t="s">
        <v>103</v>
      </c>
      <c r="B353" s="34"/>
      <c r="E353" s="36" t="s">
        <v>3160</v>
      </c>
      <c r="J353" s="35"/>
    </row>
    <row r="354" spans="1:16" ht="28.8" x14ac:dyDescent="0.3">
      <c r="A354" s="27" t="s">
        <v>103</v>
      </c>
      <c r="B354" s="34"/>
      <c r="E354" s="36" t="s">
        <v>3161</v>
      </c>
      <c r="J354" s="35"/>
    </row>
    <row r="355" spans="1:16" ht="28.8" x14ac:dyDescent="0.3">
      <c r="A355" s="27" t="s">
        <v>103</v>
      </c>
      <c r="B355" s="34"/>
      <c r="E355" s="36" t="s">
        <v>3162</v>
      </c>
      <c r="J355" s="35"/>
    </row>
    <row r="356" spans="1:16" ht="28.8" x14ac:dyDescent="0.3">
      <c r="A356" s="27" t="s">
        <v>103</v>
      </c>
      <c r="B356" s="34"/>
      <c r="E356" s="36" t="s">
        <v>3163</v>
      </c>
      <c r="J356" s="35"/>
    </row>
    <row r="357" spans="1:16" ht="28.8" x14ac:dyDescent="0.3">
      <c r="A357" s="27" t="s">
        <v>103</v>
      </c>
      <c r="B357" s="34"/>
      <c r="E357" s="36" t="s">
        <v>3164</v>
      </c>
      <c r="J357" s="35"/>
    </row>
    <row r="358" spans="1:16" ht="28.8" x14ac:dyDescent="0.3">
      <c r="A358" s="27" t="s">
        <v>103</v>
      </c>
      <c r="B358" s="34"/>
      <c r="E358" s="36" t="s">
        <v>3165</v>
      </c>
      <c r="J358" s="35"/>
    </row>
    <row r="359" spans="1:16" ht="28.8" x14ac:dyDescent="0.3">
      <c r="A359" s="27" t="s">
        <v>103</v>
      </c>
      <c r="B359" s="34"/>
      <c r="E359" s="36" t="s">
        <v>3166</v>
      </c>
      <c r="J359" s="35"/>
    </row>
    <row r="360" spans="1:16" ht="28.8" x14ac:dyDescent="0.3">
      <c r="A360" s="27" t="s">
        <v>103</v>
      </c>
      <c r="B360" s="34"/>
      <c r="E360" s="36" t="s">
        <v>3167</v>
      </c>
      <c r="J360" s="35"/>
    </row>
    <row r="361" spans="1:16" ht="28.8" x14ac:dyDescent="0.3">
      <c r="A361" s="27" t="s">
        <v>103</v>
      </c>
      <c r="B361" s="34"/>
      <c r="E361" s="36" t="s">
        <v>3168</v>
      </c>
      <c r="J361" s="35"/>
    </row>
    <row r="362" spans="1:16" ht="28.8" x14ac:dyDescent="0.3">
      <c r="A362" s="27" t="s">
        <v>103</v>
      </c>
      <c r="B362" s="34"/>
      <c r="E362" s="36" t="s">
        <v>3169</v>
      </c>
      <c r="J362" s="35"/>
    </row>
    <row r="363" spans="1:16" x14ac:dyDescent="0.3">
      <c r="A363" s="27" t="s">
        <v>103</v>
      </c>
      <c r="B363" s="34"/>
      <c r="E363" s="36" t="s">
        <v>3170</v>
      </c>
      <c r="J363" s="35"/>
    </row>
    <row r="364" spans="1:16" ht="316.8" x14ac:dyDescent="0.3">
      <c r="A364" s="27" t="s">
        <v>105</v>
      </c>
      <c r="B364" s="34"/>
      <c r="E364" s="29" t="s">
        <v>1591</v>
      </c>
      <c r="J364" s="35"/>
    </row>
    <row r="365" spans="1:16" x14ac:dyDescent="0.3">
      <c r="A365" s="27" t="s">
        <v>95</v>
      </c>
      <c r="B365" s="27">
        <v>4</v>
      </c>
      <c r="C365" s="28" t="s">
        <v>1592</v>
      </c>
      <c r="D365" s="27" t="s">
        <v>129</v>
      </c>
      <c r="E365" s="29" t="s">
        <v>1593</v>
      </c>
      <c r="F365" s="30" t="s">
        <v>229</v>
      </c>
      <c r="G365" s="31">
        <v>10.68</v>
      </c>
      <c r="H365" s="32">
        <v>0</v>
      </c>
      <c r="I365" s="32">
        <f>ROUND(10.68*H365,P4)</f>
        <v>0</v>
      </c>
      <c r="J365" s="30" t="s">
        <v>118</v>
      </c>
      <c r="O365" s="33">
        <f>I365*0.21</f>
        <v>0</v>
      </c>
      <c r="P365">
        <v>3</v>
      </c>
    </row>
    <row r="366" spans="1:16" ht="172.8" x14ac:dyDescent="0.3">
      <c r="A366" s="27" t="s">
        <v>101</v>
      </c>
      <c r="B366" s="34"/>
      <c r="E366" s="29" t="s">
        <v>3171</v>
      </c>
      <c r="J366" s="35"/>
    </row>
    <row r="367" spans="1:16" ht="28.8" x14ac:dyDescent="0.3">
      <c r="A367" s="27" t="s">
        <v>103</v>
      </c>
      <c r="B367" s="34"/>
      <c r="E367" s="36" t="s">
        <v>3172</v>
      </c>
      <c r="J367" s="35"/>
    </row>
    <row r="368" spans="1:16" ht="28.8" x14ac:dyDescent="0.3">
      <c r="A368" s="27" t="s">
        <v>103</v>
      </c>
      <c r="B368" s="34"/>
      <c r="E368" s="36" t="s">
        <v>3173</v>
      </c>
      <c r="J368" s="35"/>
    </row>
    <row r="369" spans="1:10" ht="28.8" x14ac:dyDescent="0.3">
      <c r="A369" s="27" t="s">
        <v>103</v>
      </c>
      <c r="B369" s="34"/>
      <c r="E369" s="36" t="s">
        <v>3174</v>
      </c>
      <c r="J369" s="35"/>
    </row>
    <row r="370" spans="1:10" ht="28.8" x14ac:dyDescent="0.3">
      <c r="A370" s="27" t="s">
        <v>103</v>
      </c>
      <c r="B370" s="34"/>
      <c r="E370" s="36" t="s">
        <v>3175</v>
      </c>
      <c r="J370" s="35"/>
    </row>
    <row r="371" spans="1:10" ht="28.8" x14ac:dyDescent="0.3">
      <c r="A371" s="27" t="s">
        <v>103</v>
      </c>
      <c r="B371" s="34"/>
      <c r="E371" s="36" t="s">
        <v>3176</v>
      </c>
      <c r="J371" s="35"/>
    </row>
    <row r="372" spans="1:10" ht="28.8" x14ac:dyDescent="0.3">
      <c r="A372" s="27" t="s">
        <v>103</v>
      </c>
      <c r="B372" s="34"/>
      <c r="E372" s="36" t="s">
        <v>3177</v>
      </c>
      <c r="J372" s="35"/>
    </row>
    <row r="373" spans="1:10" ht="28.8" x14ac:dyDescent="0.3">
      <c r="A373" s="27" t="s">
        <v>103</v>
      </c>
      <c r="B373" s="34"/>
      <c r="E373" s="36" t="s">
        <v>3178</v>
      </c>
      <c r="J373" s="35"/>
    </row>
    <row r="374" spans="1:10" ht="28.8" x14ac:dyDescent="0.3">
      <c r="A374" s="27" t="s">
        <v>103</v>
      </c>
      <c r="B374" s="34"/>
      <c r="E374" s="36" t="s">
        <v>3179</v>
      </c>
      <c r="J374" s="35"/>
    </row>
    <row r="375" spans="1:10" ht="28.8" x14ac:dyDescent="0.3">
      <c r="A375" s="27" t="s">
        <v>103</v>
      </c>
      <c r="B375" s="34"/>
      <c r="E375" s="36" t="s">
        <v>3180</v>
      </c>
      <c r="J375" s="35"/>
    </row>
    <row r="376" spans="1:10" ht="28.8" x14ac:dyDescent="0.3">
      <c r="A376" s="27" t="s">
        <v>103</v>
      </c>
      <c r="B376" s="34"/>
      <c r="E376" s="36" t="s">
        <v>3181</v>
      </c>
      <c r="J376" s="35"/>
    </row>
    <row r="377" spans="1:10" ht="28.8" x14ac:dyDescent="0.3">
      <c r="A377" s="27" t="s">
        <v>103</v>
      </c>
      <c r="B377" s="34"/>
      <c r="E377" s="36" t="s">
        <v>3182</v>
      </c>
      <c r="J377" s="35"/>
    </row>
    <row r="378" spans="1:10" ht="28.8" x14ac:dyDescent="0.3">
      <c r="A378" s="27" t="s">
        <v>103</v>
      </c>
      <c r="B378" s="34"/>
      <c r="E378" s="36" t="s">
        <v>3183</v>
      </c>
      <c r="J378" s="35"/>
    </row>
    <row r="379" spans="1:10" ht="28.8" x14ac:dyDescent="0.3">
      <c r="A379" s="27" t="s">
        <v>103</v>
      </c>
      <c r="B379" s="34"/>
      <c r="E379" s="36" t="s">
        <v>3184</v>
      </c>
      <c r="J379" s="35"/>
    </row>
    <row r="380" spans="1:10" ht="28.8" x14ac:dyDescent="0.3">
      <c r="A380" s="27" t="s">
        <v>103</v>
      </c>
      <c r="B380" s="34"/>
      <c r="E380" s="36" t="s">
        <v>3185</v>
      </c>
      <c r="J380" s="35"/>
    </row>
    <row r="381" spans="1:10" ht="28.8" x14ac:dyDescent="0.3">
      <c r="A381" s="27" t="s">
        <v>103</v>
      </c>
      <c r="B381" s="34"/>
      <c r="E381" s="36" t="s">
        <v>3186</v>
      </c>
      <c r="J381" s="35"/>
    </row>
    <row r="382" spans="1:10" ht="28.8" x14ac:dyDescent="0.3">
      <c r="A382" s="27" t="s">
        <v>103</v>
      </c>
      <c r="B382" s="34"/>
      <c r="E382" s="36" t="s">
        <v>3187</v>
      </c>
      <c r="J382" s="35"/>
    </row>
    <row r="383" spans="1:10" ht="28.8" x14ac:dyDescent="0.3">
      <c r="A383" s="27" t="s">
        <v>103</v>
      </c>
      <c r="B383" s="34"/>
      <c r="E383" s="36" t="s">
        <v>3188</v>
      </c>
      <c r="J383" s="35"/>
    </row>
    <row r="384" spans="1:10" ht="28.8" x14ac:dyDescent="0.3">
      <c r="A384" s="27" t="s">
        <v>103</v>
      </c>
      <c r="B384" s="34"/>
      <c r="E384" s="36" t="s">
        <v>3189</v>
      </c>
      <c r="J384" s="35"/>
    </row>
    <row r="385" spans="1:10" ht="28.8" x14ac:dyDescent="0.3">
      <c r="A385" s="27" t="s">
        <v>103</v>
      </c>
      <c r="B385" s="34"/>
      <c r="E385" s="36" t="s">
        <v>3190</v>
      </c>
      <c r="J385" s="35"/>
    </row>
    <row r="386" spans="1:10" ht="28.8" x14ac:dyDescent="0.3">
      <c r="A386" s="27" t="s">
        <v>103</v>
      </c>
      <c r="B386" s="34"/>
      <c r="E386" s="36" t="s">
        <v>3191</v>
      </c>
      <c r="J386" s="35"/>
    </row>
    <row r="387" spans="1:10" ht="28.8" x14ac:dyDescent="0.3">
      <c r="A387" s="27" t="s">
        <v>103</v>
      </c>
      <c r="B387" s="34"/>
      <c r="E387" s="36" t="s">
        <v>3192</v>
      </c>
      <c r="J387" s="35"/>
    </row>
    <row r="388" spans="1:10" x14ac:dyDescent="0.3">
      <c r="A388" s="27" t="s">
        <v>103</v>
      </c>
      <c r="B388" s="34"/>
      <c r="E388" s="36" t="s">
        <v>3193</v>
      </c>
      <c r="J388" s="35"/>
    </row>
    <row r="389" spans="1:10" ht="28.8" x14ac:dyDescent="0.3">
      <c r="A389" s="27" t="s">
        <v>103</v>
      </c>
      <c r="B389" s="34"/>
      <c r="E389" s="36" t="s">
        <v>3194</v>
      </c>
      <c r="J389" s="35"/>
    </row>
    <row r="390" spans="1:10" x14ac:dyDescent="0.3">
      <c r="A390" s="27" t="s">
        <v>103</v>
      </c>
      <c r="B390" s="34"/>
      <c r="E390" s="36" t="s">
        <v>3195</v>
      </c>
      <c r="J390" s="35"/>
    </row>
    <row r="391" spans="1:10" ht="28.8" x14ac:dyDescent="0.3">
      <c r="A391" s="27" t="s">
        <v>103</v>
      </c>
      <c r="B391" s="34"/>
      <c r="E391" s="36" t="s">
        <v>3196</v>
      </c>
      <c r="J391" s="35"/>
    </row>
    <row r="392" spans="1:10" ht="28.8" x14ac:dyDescent="0.3">
      <c r="A392" s="27" t="s">
        <v>103</v>
      </c>
      <c r="B392" s="34"/>
      <c r="E392" s="36" t="s">
        <v>3197</v>
      </c>
      <c r="J392" s="35"/>
    </row>
    <row r="393" spans="1:10" ht="28.8" x14ac:dyDescent="0.3">
      <c r="A393" s="27" t="s">
        <v>103</v>
      </c>
      <c r="B393" s="34"/>
      <c r="E393" s="36" t="s">
        <v>3198</v>
      </c>
      <c r="J393" s="35"/>
    </row>
    <row r="394" spans="1:10" ht="28.8" x14ac:dyDescent="0.3">
      <c r="A394" s="27" t="s">
        <v>103</v>
      </c>
      <c r="B394" s="34"/>
      <c r="E394" s="36" t="s">
        <v>3199</v>
      </c>
      <c r="J394" s="35"/>
    </row>
    <row r="395" spans="1:10" ht="28.8" x14ac:dyDescent="0.3">
      <c r="A395" s="27" t="s">
        <v>103</v>
      </c>
      <c r="B395" s="34"/>
      <c r="E395" s="36" t="s">
        <v>3200</v>
      </c>
      <c r="J395" s="35"/>
    </row>
    <row r="396" spans="1:10" x14ac:dyDescent="0.3">
      <c r="A396" s="27" t="s">
        <v>103</v>
      </c>
      <c r="B396" s="34"/>
      <c r="E396" s="36" t="s">
        <v>3201</v>
      </c>
      <c r="J396" s="35"/>
    </row>
    <row r="397" spans="1:10" ht="28.8" x14ac:dyDescent="0.3">
      <c r="A397" s="27" t="s">
        <v>103</v>
      </c>
      <c r="B397" s="34"/>
      <c r="E397" s="36" t="s">
        <v>3202</v>
      </c>
      <c r="J397" s="35"/>
    </row>
    <row r="398" spans="1:10" ht="28.8" x14ac:dyDescent="0.3">
      <c r="A398" s="27" t="s">
        <v>103</v>
      </c>
      <c r="B398" s="34"/>
      <c r="E398" s="36" t="s">
        <v>3203</v>
      </c>
      <c r="J398" s="35"/>
    </row>
    <row r="399" spans="1:10" ht="28.8" x14ac:dyDescent="0.3">
      <c r="A399" s="27" t="s">
        <v>103</v>
      </c>
      <c r="B399" s="34"/>
      <c r="E399" s="36" t="s">
        <v>3204</v>
      </c>
      <c r="J399" s="35"/>
    </row>
    <row r="400" spans="1:10" x14ac:dyDescent="0.3">
      <c r="A400" s="27" t="s">
        <v>103</v>
      </c>
      <c r="B400" s="34"/>
      <c r="E400" s="36" t="s">
        <v>3205</v>
      </c>
      <c r="J400" s="35"/>
    </row>
    <row r="401" spans="1:16" ht="316.8" x14ac:dyDescent="0.3">
      <c r="A401" s="27" t="s">
        <v>105</v>
      </c>
      <c r="B401" s="34"/>
      <c r="E401" s="29" t="s">
        <v>1591</v>
      </c>
      <c r="J401" s="35"/>
    </row>
    <row r="402" spans="1:16" x14ac:dyDescent="0.3">
      <c r="A402" s="27" t="s">
        <v>95</v>
      </c>
      <c r="B402" s="27">
        <v>5</v>
      </c>
      <c r="C402" s="28" t="s">
        <v>435</v>
      </c>
      <c r="D402" s="27" t="s">
        <v>129</v>
      </c>
      <c r="E402" s="29" t="s">
        <v>436</v>
      </c>
      <c r="F402" s="30" t="s">
        <v>229</v>
      </c>
      <c r="G402" s="31">
        <v>33.545999999999999</v>
      </c>
      <c r="H402" s="32">
        <v>0</v>
      </c>
      <c r="I402" s="32">
        <f>ROUND(33.546*H402,P4)</f>
        <v>0</v>
      </c>
      <c r="J402" s="30" t="s">
        <v>118</v>
      </c>
      <c r="O402" s="33">
        <f>I402*0.21</f>
        <v>0</v>
      </c>
      <c r="P402">
        <v>3</v>
      </c>
    </row>
    <row r="403" spans="1:16" ht="172.8" x14ac:dyDescent="0.3">
      <c r="A403" s="27" t="s">
        <v>101</v>
      </c>
      <c r="B403" s="34"/>
      <c r="E403" s="29" t="s">
        <v>3206</v>
      </c>
      <c r="J403" s="35"/>
    </row>
    <row r="404" spans="1:16" ht="28.8" x14ac:dyDescent="0.3">
      <c r="A404" s="27" t="s">
        <v>103</v>
      </c>
      <c r="B404" s="34"/>
      <c r="E404" s="36" t="s">
        <v>2993</v>
      </c>
      <c r="J404" s="35"/>
    </row>
    <row r="405" spans="1:16" ht="28.8" x14ac:dyDescent="0.3">
      <c r="A405" s="27" t="s">
        <v>103</v>
      </c>
      <c r="B405" s="34"/>
      <c r="E405" s="36" t="s">
        <v>2994</v>
      </c>
      <c r="J405" s="35"/>
    </row>
    <row r="406" spans="1:16" ht="28.8" x14ac:dyDescent="0.3">
      <c r="A406" s="27" t="s">
        <v>103</v>
      </c>
      <c r="B406" s="34"/>
      <c r="E406" s="36" t="s">
        <v>2995</v>
      </c>
      <c r="J406" s="35"/>
    </row>
    <row r="407" spans="1:16" ht="28.8" x14ac:dyDescent="0.3">
      <c r="A407" s="27" t="s">
        <v>103</v>
      </c>
      <c r="B407" s="34"/>
      <c r="E407" s="36" t="s">
        <v>2996</v>
      </c>
      <c r="J407" s="35"/>
    </row>
    <row r="408" spans="1:16" ht="28.8" x14ac:dyDescent="0.3">
      <c r="A408" s="27" t="s">
        <v>103</v>
      </c>
      <c r="B408" s="34"/>
      <c r="E408" s="36" t="s">
        <v>2997</v>
      </c>
      <c r="J408" s="35"/>
    </row>
    <row r="409" spans="1:16" ht="28.8" x14ac:dyDescent="0.3">
      <c r="A409" s="27" t="s">
        <v>103</v>
      </c>
      <c r="B409" s="34"/>
      <c r="E409" s="36" t="s">
        <v>2998</v>
      </c>
      <c r="J409" s="35"/>
    </row>
    <row r="410" spans="1:16" ht="28.8" x14ac:dyDescent="0.3">
      <c r="A410" s="27" t="s">
        <v>103</v>
      </c>
      <c r="B410" s="34"/>
      <c r="E410" s="36" t="s">
        <v>2999</v>
      </c>
      <c r="J410" s="35"/>
    </row>
    <row r="411" spans="1:16" ht="28.8" x14ac:dyDescent="0.3">
      <c r="A411" s="27" t="s">
        <v>103</v>
      </c>
      <c r="B411" s="34"/>
      <c r="E411" s="36" t="s">
        <v>3000</v>
      </c>
      <c r="J411" s="35"/>
    </row>
    <row r="412" spans="1:16" ht="28.8" x14ac:dyDescent="0.3">
      <c r="A412" s="27" t="s">
        <v>103</v>
      </c>
      <c r="B412" s="34"/>
      <c r="E412" s="36" t="s">
        <v>3001</v>
      </c>
      <c r="J412" s="35"/>
    </row>
    <row r="413" spans="1:16" ht="28.8" x14ac:dyDescent="0.3">
      <c r="A413" s="27" t="s">
        <v>103</v>
      </c>
      <c r="B413" s="34"/>
      <c r="E413" s="36" t="s">
        <v>3002</v>
      </c>
      <c r="J413" s="35"/>
    </row>
    <row r="414" spans="1:16" ht="28.8" x14ac:dyDescent="0.3">
      <c r="A414" s="27" t="s">
        <v>103</v>
      </c>
      <c r="B414" s="34"/>
      <c r="E414" s="36" t="s">
        <v>3003</v>
      </c>
      <c r="J414" s="35"/>
    </row>
    <row r="415" spans="1:16" ht="28.8" x14ac:dyDescent="0.3">
      <c r="A415" s="27" t="s">
        <v>103</v>
      </c>
      <c r="B415" s="34"/>
      <c r="E415" s="36" t="s">
        <v>3004</v>
      </c>
      <c r="J415" s="35"/>
    </row>
    <row r="416" spans="1:16" ht="28.8" x14ac:dyDescent="0.3">
      <c r="A416" s="27" t="s">
        <v>103</v>
      </c>
      <c r="B416" s="34"/>
      <c r="E416" s="36" t="s">
        <v>3005</v>
      </c>
      <c r="J416" s="35"/>
    </row>
    <row r="417" spans="1:16" ht="28.8" x14ac:dyDescent="0.3">
      <c r="A417" s="27" t="s">
        <v>103</v>
      </c>
      <c r="B417" s="34"/>
      <c r="E417" s="36" t="s">
        <v>3006</v>
      </c>
      <c r="J417" s="35"/>
    </row>
    <row r="418" spans="1:16" ht="28.8" x14ac:dyDescent="0.3">
      <c r="A418" s="27" t="s">
        <v>103</v>
      </c>
      <c r="B418" s="34"/>
      <c r="E418" s="36" t="s">
        <v>3007</v>
      </c>
      <c r="J418" s="35"/>
    </row>
    <row r="419" spans="1:16" ht="28.8" x14ac:dyDescent="0.3">
      <c r="A419" s="27" t="s">
        <v>103</v>
      </c>
      <c r="B419" s="34"/>
      <c r="E419" s="36" t="s">
        <v>3008</v>
      </c>
      <c r="J419" s="35"/>
    </row>
    <row r="420" spans="1:16" ht="28.8" x14ac:dyDescent="0.3">
      <c r="A420" s="27" t="s">
        <v>103</v>
      </c>
      <c r="B420" s="34"/>
      <c r="E420" s="36" t="s">
        <v>3009</v>
      </c>
      <c r="J420" s="35"/>
    </row>
    <row r="421" spans="1:16" ht="28.8" x14ac:dyDescent="0.3">
      <c r="A421" s="27" t="s">
        <v>103</v>
      </c>
      <c r="B421" s="34"/>
      <c r="E421" s="36" t="s">
        <v>3010</v>
      </c>
      <c r="J421" s="35"/>
    </row>
    <row r="422" spans="1:16" ht="28.8" x14ac:dyDescent="0.3">
      <c r="A422" s="27" t="s">
        <v>103</v>
      </c>
      <c r="B422" s="34"/>
      <c r="E422" s="36" t="s">
        <v>3011</v>
      </c>
      <c r="J422" s="35"/>
    </row>
    <row r="423" spans="1:16" ht="28.8" x14ac:dyDescent="0.3">
      <c r="A423" s="27" t="s">
        <v>103</v>
      </c>
      <c r="B423" s="34"/>
      <c r="E423" s="36" t="s">
        <v>3012</v>
      </c>
      <c r="J423" s="35"/>
    </row>
    <row r="424" spans="1:16" ht="28.8" x14ac:dyDescent="0.3">
      <c r="A424" s="27" t="s">
        <v>103</v>
      </c>
      <c r="B424" s="34"/>
      <c r="E424" s="36" t="s">
        <v>3013</v>
      </c>
      <c r="J424" s="35"/>
    </row>
    <row r="425" spans="1:16" ht="28.8" x14ac:dyDescent="0.3">
      <c r="A425" s="27" t="s">
        <v>103</v>
      </c>
      <c r="B425" s="34"/>
      <c r="E425" s="36" t="s">
        <v>3014</v>
      </c>
      <c r="J425" s="35"/>
    </row>
    <row r="426" spans="1:16" ht="28.8" x14ac:dyDescent="0.3">
      <c r="A426" s="27" t="s">
        <v>103</v>
      </c>
      <c r="B426" s="34"/>
      <c r="E426" s="36" t="s">
        <v>3015</v>
      </c>
      <c r="J426" s="35"/>
    </row>
    <row r="427" spans="1:16" ht="28.8" x14ac:dyDescent="0.3">
      <c r="A427" s="27" t="s">
        <v>103</v>
      </c>
      <c r="B427" s="34"/>
      <c r="E427" s="36" t="s">
        <v>3016</v>
      </c>
      <c r="J427" s="35"/>
    </row>
    <row r="428" spans="1:16" ht="28.8" x14ac:dyDescent="0.3">
      <c r="A428" s="27" t="s">
        <v>103</v>
      </c>
      <c r="B428" s="34"/>
      <c r="E428" s="36" t="s">
        <v>3017</v>
      </c>
      <c r="J428" s="35"/>
    </row>
    <row r="429" spans="1:16" ht="28.8" x14ac:dyDescent="0.3">
      <c r="A429" s="27" t="s">
        <v>103</v>
      </c>
      <c r="B429" s="34"/>
      <c r="E429" s="36" t="s">
        <v>3018</v>
      </c>
      <c r="J429" s="35"/>
    </row>
    <row r="430" spans="1:16" x14ac:dyDescent="0.3">
      <c r="A430" s="27" t="s">
        <v>103</v>
      </c>
      <c r="B430" s="34"/>
      <c r="E430" s="36" t="s">
        <v>3019</v>
      </c>
      <c r="J430" s="35"/>
    </row>
    <row r="431" spans="1:16" ht="43.2" x14ac:dyDescent="0.3">
      <c r="A431" s="27" t="s">
        <v>105</v>
      </c>
      <c r="B431" s="34"/>
      <c r="E431" s="29" t="s">
        <v>438</v>
      </c>
      <c r="J431" s="35"/>
    </row>
    <row r="432" spans="1:16" x14ac:dyDescent="0.3">
      <c r="A432" s="27" t="s">
        <v>95</v>
      </c>
      <c r="B432" s="27">
        <v>6</v>
      </c>
      <c r="C432" s="28" t="s">
        <v>1635</v>
      </c>
      <c r="D432" s="27" t="s">
        <v>129</v>
      </c>
      <c r="E432" s="29" t="s">
        <v>1636</v>
      </c>
      <c r="F432" s="30" t="s">
        <v>248</v>
      </c>
      <c r="G432" s="31">
        <v>267.928</v>
      </c>
      <c r="H432" s="32">
        <v>0</v>
      </c>
      <c r="I432" s="32">
        <f>ROUND(267.928*H432,P4)</f>
        <v>0</v>
      </c>
      <c r="J432" s="30" t="s">
        <v>118</v>
      </c>
      <c r="O432" s="33">
        <f>I432*0.21</f>
        <v>0</v>
      </c>
      <c r="P432">
        <v>3</v>
      </c>
    </row>
    <row r="433" spans="1:16" ht="172.8" x14ac:dyDescent="0.3">
      <c r="A433" s="27" t="s">
        <v>101</v>
      </c>
      <c r="B433" s="34"/>
      <c r="E433" s="29" t="s">
        <v>3207</v>
      </c>
      <c r="J433" s="35"/>
    </row>
    <row r="434" spans="1:16" ht="28.8" x14ac:dyDescent="0.3">
      <c r="A434" s="27" t="s">
        <v>103</v>
      </c>
      <c r="B434" s="34"/>
      <c r="E434" s="36" t="s">
        <v>3208</v>
      </c>
      <c r="J434" s="35"/>
    </row>
    <row r="435" spans="1:16" ht="28.8" x14ac:dyDescent="0.3">
      <c r="A435" s="27" t="s">
        <v>103</v>
      </c>
      <c r="B435" s="34"/>
      <c r="E435" s="36" t="s">
        <v>3209</v>
      </c>
      <c r="J435" s="35"/>
    </row>
    <row r="436" spans="1:16" x14ac:dyDescent="0.3">
      <c r="A436" s="27" t="s">
        <v>103</v>
      </c>
      <c r="B436" s="34"/>
      <c r="E436" s="36" t="s">
        <v>3210</v>
      </c>
      <c r="J436" s="35"/>
    </row>
    <row r="437" spans="1:16" ht="28.8" x14ac:dyDescent="0.3">
      <c r="A437" s="27" t="s">
        <v>105</v>
      </c>
      <c r="B437" s="34"/>
      <c r="E437" s="29" t="s">
        <v>1647</v>
      </c>
      <c r="J437" s="35"/>
    </row>
    <row r="438" spans="1:16" x14ac:dyDescent="0.3">
      <c r="A438" s="21" t="s">
        <v>92</v>
      </c>
      <c r="B438" s="22"/>
      <c r="C438" s="23" t="s">
        <v>107</v>
      </c>
      <c r="D438" s="24"/>
      <c r="E438" s="21" t="s">
        <v>618</v>
      </c>
      <c r="F438" s="24"/>
      <c r="G438" s="24"/>
      <c r="H438" s="24"/>
      <c r="I438" s="25">
        <f>SUMIFS(I439:I592,A439:A592,"P")</f>
        <v>0</v>
      </c>
      <c r="J438" s="26"/>
    </row>
    <row r="439" spans="1:16" x14ac:dyDescent="0.3">
      <c r="A439" s="27" t="s">
        <v>95</v>
      </c>
      <c r="B439" s="27">
        <v>7</v>
      </c>
      <c r="C439" s="28" t="s">
        <v>1648</v>
      </c>
      <c r="D439" s="27" t="s">
        <v>1659</v>
      </c>
      <c r="E439" s="29" t="s">
        <v>1660</v>
      </c>
      <c r="F439" s="30" t="s">
        <v>1650</v>
      </c>
      <c r="G439" s="31">
        <v>632.63300000000004</v>
      </c>
      <c r="H439" s="32">
        <v>0</v>
      </c>
      <c r="I439" s="32">
        <f>ROUND(632.633*H439,P4)</f>
        <v>0</v>
      </c>
      <c r="J439" s="30" t="s">
        <v>1200</v>
      </c>
      <c r="O439" s="33">
        <f>I439*0.21</f>
        <v>0</v>
      </c>
      <c r="P439">
        <v>3</v>
      </c>
    </row>
    <row r="440" spans="1:16" ht="158.4" x14ac:dyDescent="0.3">
      <c r="A440" s="27" t="s">
        <v>101</v>
      </c>
      <c r="B440" s="34"/>
      <c r="E440" s="29" t="s">
        <v>2992</v>
      </c>
      <c r="J440" s="35"/>
    </row>
    <row r="441" spans="1:16" ht="28.8" x14ac:dyDescent="0.3">
      <c r="A441" s="27" t="s">
        <v>103</v>
      </c>
      <c r="B441" s="34"/>
      <c r="E441" s="36" t="s">
        <v>3020</v>
      </c>
      <c r="J441" s="35"/>
    </row>
    <row r="442" spans="1:16" ht="28.8" x14ac:dyDescent="0.3">
      <c r="A442" s="27" t="s">
        <v>103</v>
      </c>
      <c r="B442" s="34"/>
      <c r="E442" s="36" t="s">
        <v>3021</v>
      </c>
      <c r="J442" s="35"/>
    </row>
    <row r="443" spans="1:16" ht="28.8" x14ac:dyDescent="0.3">
      <c r="A443" s="27" t="s">
        <v>103</v>
      </c>
      <c r="B443" s="34"/>
      <c r="E443" s="36" t="s">
        <v>3022</v>
      </c>
      <c r="J443" s="35"/>
    </row>
    <row r="444" spans="1:16" ht="28.8" x14ac:dyDescent="0.3">
      <c r="A444" s="27" t="s">
        <v>103</v>
      </c>
      <c r="B444" s="34"/>
      <c r="E444" s="36" t="s">
        <v>3023</v>
      </c>
      <c r="J444" s="35"/>
    </row>
    <row r="445" spans="1:16" ht="28.8" x14ac:dyDescent="0.3">
      <c r="A445" s="27" t="s">
        <v>103</v>
      </c>
      <c r="B445" s="34"/>
      <c r="E445" s="36" t="s">
        <v>3024</v>
      </c>
      <c r="J445" s="35"/>
    </row>
    <row r="446" spans="1:16" ht="28.8" x14ac:dyDescent="0.3">
      <c r="A446" s="27" t="s">
        <v>103</v>
      </c>
      <c r="B446" s="34"/>
      <c r="E446" s="36" t="s">
        <v>3025</v>
      </c>
      <c r="J446" s="35"/>
    </row>
    <row r="447" spans="1:16" ht="28.8" x14ac:dyDescent="0.3">
      <c r="A447" s="27" t="s">
        <v>103</v>
      </c>
      <c r="B447" s="34"/>
      <c r="E447" s="36" t="s">
        <v>3026</v>
      </c>
      <c r="J447" s="35"/>
    </row>
    <row r="448" spans="1:16" ht="28.8" x14ac:dyDescent="0.3">
      <c r="A448" s="27" t="s">
        <v>103</v>
      </c>
      <c r="B448" s="34"/>
      <c r="E448" s="36" t="s">
        <v>3027</v>
      </c>
      <c r="J448" s="35"/>
    </row>
    <row r="449" spans="1:10" ht="28.8" x14ac:dyDescent="0.3">
      <c r="A449" s="27" t="s">
        <v>103</v>
      </c>
      <c r="B449" s="34"/>
      <c r="E449" s="36" t="s">
        <v>3028</v>
      </c>
      <c r="J449" s="35"/>
    </row>
    <row r="450" spans="1:10" ht="28.8" x14ac:dyDescent="0.3">
      <c r="A450" s="27" t="s">
        <v>103</v>
      </c>
      <c r="B450" s="34"/>
      <c r="E450" s="36" t="s">
        <v>3029</v>
      </c>
      <c r="J450" s="35"/>
    </row>
    <row r="451" spans="1:10" ht="28.8" x14ac:dyDescent="0.3">
      <c r="A451" s="27" t="s">
        <v>103</v>
      </c>
      <c r="B451" s="34"/>
      <c r="E451" s="36" t="s">
        <v>3030</v>
      </c>
      <c r="J451" s="35"/>
    </row>
    <row r="452" spans="1:10" ht="28.8" x14ac:dyDescent="0.3">
      <c r="A452" s="27" t="s">
        <v>103</v>
      </c>
      <c r="B452" s="34"/>
      <c r="E452" s="36" t="s">
        <v>3031</v>
      </c>
      <c r="J452" s="35"/>
    </row>
    <row r="453" spans="1:10" ht="28.8" x14ac:dyDescent="0.3">
      <c r="A453" s="27" t="s">
        <v>103</v>
      </c>
      <c r="B453" s="34"/>
      <c r="E453" s="36" t="s">
        <v>3032</v>
      </c>
      <c r="J453" s="35"/>
    </row>
    <row r="454" spans="1:10" ht="28.8" x14ac:dyDescent="0.3">
      <c r="A454" s="27" t="s">
        <v>103</v>
      </c>
      <c r="B454" s="34"/>
      <c r="E454" s="36" t="s">
        <v>3033</v>
      </c>
      <c r="J454" s="35"/>
    </row>
    <row r="455" spans="1:10" ht="28.8" x14ac:dyDescent="0.3">
      <c r="A455" s="27" t="s">
        <v>103</v>
      </c>
      <c r="B455" s="34"/>
      <c r="E455" s="36" t="s">
        <v>3034</v>
      </c>
      <c r="J455" s="35"/>
    </row>
    <row r="456" spans="1:10" ht="28.8" x14ac:dyDescent="0.3">
      <c r="A456" s="27" t="s">
        <v>103</v>
      </c>
      <c r="B456" s="34"/>
      <c r="E456" s="36" t="s">
        <v>3035</v>
      </c>
      <c r="J456" s="35"/>
    </row>
    <row r="457" spans="1:10" ht="28.8" x14ac:dyDescent="0.3">
      <c r="A457" s="27" t="s">
        <v>103</v>
      </c>
      <c r="B457" s="34"/>
      <c r="E457" s="36" t="s">
        <v>3036</v>
      </c>
      <c r="J457" s="35"/>
    </row>
    <row r="458" spans="1:10" ht="28.8" x14ac:dyDescent="0.3">
      <c r="A458" s="27" t="s">
        <v>103</v>
      </c>
      <c r="B458" s="34"/>
      <c r="E458" s="36" t="s">
        <v>3037</v>
      </c>
      <c r="J458" s="35"/>
    </row>
    <row r="459" spans="1:10" ht="28.8" x14ac:dyDescent="0.3">
      <c r="A459" s="27" t="s">
        <v>103</v>
      </c>
      <c r="B459" s="34"/>
      <c r="E459" s="36" t="s">
        <v>3038</v>
      </c>
      <c r="J459" s="35"/>
    </row>
    <row r="460" spans="1:10" ht="28.8" x14ac:dyDescent="0.3">
      <c r="A460" s="27" t="s">
        <v>103</v>
      </c>
      <c r="B460" s="34"/>
      <c r="E460" s="36" t="s">
        <v>3039</v>
      </c>
      <c r="J460" s="35"/>
    </row>
    <row r="461" spans="1:10" ht="28.8" x14ac:dyDescent="0.3">
      <c r="A461" s="27" t="s">
        <v>103</v>
      </c>
      <c r="B461" s="34"/>
      <c r="E461" s="36" t="s">
        <v>3040</v>
      </c>
      <c r="J461" s="35"/>
    </row>
    <row r="462" spans="1:10" ht="28.8" x14ac:dyDescent="0.3">
      <c r="A462" s="27" t="s">
        <v>103</v>
      </c>
      <c r="B462" s="34"/>
      <c r="E462" s="36" t="s">
        <v>3041</v>
      </c>
      <c r="J462" s="35"/>
    </row>
    <row r="463" spans="1:10" ht="28.8" x14ac:dyDescent="0.3">
      <c r="A463" s="27" t="s">
        <v>103</v>
      </c>
      <c r="B463" s="34"/>
      <c r="E463" s="36" t="s">
        <v>3042</v>
      </c>
      <c r="J463" s="35"/>
    </row>
    <row r="464" spans="1:10" ht="28.8" x14ac:dyDescent="0.3">
      <c r="A464" s="27" t="s">
        <v>103</v>
      </c>
      <c r="B464" s="34"/>
      <c r="E464" s="36" t="s">
        <v>3043</v>
      </c>
      <c r="J464" s="35"/>
    </row>
    <row r="465" spans="1:10" ht="28.8" x14ac:dyDescent="0.3">
      <c r="A465" s="27" t="s">
        <v>103</v>
      </c>
      <c r="B465" s="34"/>
      <c r="E465" s="36" t="s">
        <v>3044</v>
      </c>
      <c r="J465" s="35"/>
    </row>
    <row r="466" spans="1:10" ht="28.8" x14ac:dyDescent="0.3">
      <c r="A466" s="27" t="s">
        <v>103</v>
      </c>
      <c r="B466" s="34"/>
      <c r="E466" s="36" t="s">
        <v>3045</v>
      </c>
      <c r="J466" s="35"/>
    </row>
    <row r="467" spans="1:10" ht="28.8" x14ac:dyDescent="0.3">
      <c r="A467" s="27" t="s">
        <v>103</v>
      </c>
      <c r="B467" s="34"/>
      <c r="E467" s="36" t="s">
        <v>3046</v>
      </c>
      <c r="J467" s="35"/>
    </row>
    <row r="468" spans="1:10" ht="28.8" x14ac:dyDescent="0.3">
      <c r="A468" s="27" t="s">
        <v>103</v>
      </c>
      <c r="B468" s="34"/>
      <c r="E468" s="36" t="s">
        <v>3047</v>
      </c>
      <c r="J468" s="35"/>
    </row>
    <row r="469" spans="1:10" ht="28.8" x14ac:dyDescent="0.3">
      <c r="A469" s="27" t="s">
        <v>103</v>
      </c>
      <c r="B469" s="34"/>
      <c r="E469" s="36" t="s">
        <v>3048</v>
      </c>
      <c r="J469" s="35"/>
    </row>
    <row r="470" spans="1:10" ht="28.8" x14ac:dyDescent="0.3">
      <c r="A470" s="27" t="s">
        <v>103</v>
      </c>
      <c r="B470" s="34"/>
      <c r="E470" s="36" t="s">
        <v>3049</v>
      </c>
      <c r="J470" s="35"/>
    </row>
    <row r="471" spans="1:10" ht="28.8" x14ac:dyDescent="0.3">
      <c r="A471" s="27" t="s">
        <v>103</v>
      </c>
      <c r="B471" s="34"/>
      <c r="E471" s="36" t="s">
        <v>3050</v>
      </c>
      <c r="J471" s="35"/>
    </row>
    <row r="472" spans="1:10" ht="28.8" x14ac:dyDescent="0.3">
      <c r="A472" s="27" t="s">
        <v>103</v>
      </c>
      <c r="B472" s="34"/>
      <c r="E472" s="36" t="s">
        <v>3051</v>
      </c>
      <c r="J472" s="35"/>
    </row>
    <row r="473" spans="1:10" ht="28.8" x14ac:dyDescent="0.3">
      <c r="A473" s="27" t="s">
        <v>103</v>
      </c>
      <c r="B473" s="34"/>
      <c r="E473" s="36" t="s">
        <v>3052</v>
      </c>
      <c r="J473" s="35"/>
    </row>
    <row r="474" spans="1:10" ht="28.8" x14ac:dyDescent="0.3">
      <c r="A474" s="27" t="s">
        <v>103</v>
      </c>
      <c r="B474" s="34"/>
      <c r="E474" s="36" t="s">
        <v>3053</v>
      </c>
      <c r="J474" s="35"/>
    </row>
    <row r="475" spans="1:10" ht="28.8" x14ac:dyDescent="0.3">
      <c r="A475" s="27" t="s">
        <v>103</v>
      </c>
      <c r="B475" s="34"/>
      <c r="E475" s="36" t="s">
        <v>3054</v>
      </c>
      <c r="J475" s="35"/>
    </row>
    <row r="476" spans="1:10" ht="28.8" x14ac:dyDescent="0.3">
      <c r="A476" s="27" t="s">
        <v>103</v>
      </c>
      <c r="B476" s="34"/>
      <c r="E476" s="36" t="s">
        <v>3055</v>
      </c>
      <c r="J476" s="35"/>
    </row>
    <row r="477" spans="1:10" ht="28.8" x14ac:dyDescent="0.3">
      <c r="A477" s="27" t="s">
        <v>103</v>
      </c>
      <c r="B477" s="34"/>
      <c r="E477" s="36" t="s">
        <v>3056</v>
      </c>
      <c r="J477" s="35"/>
    </row>
    <row r="478" spans="1:10" ht="28.8" x14ac:dyDescent="0.3">
      <c r="A478" s="27" t="s">
        <v>103</v>
      </c>
      <c r="B478" s="34"/>
      <c r="E478" s="36" t="s">
        <v>3057</v>
      </c>
      <c r="J478" s="35"/>
    </row>
    <row r="479" spans="1:10" ht="28.8" x14ac:dyDescent="0.3">
      <c r="A479" s="27" t="s">
        <v>103</v>
      </c>
      <c r="B479" s="34"/>
      <c r="E479" s="36" t="s">
        <v>3058</v>
      </c>
      <c r="J479" s="35"/>
    </row>
    <row r="480" spans="1:10" ht="28.8" x14ac:dyDescent="0.3">
      <c r="A480" s="27" t="s">
        <v>103</v>
      </c>
      <c r="B480" s="34"/>
      <c r="E480" s="36" t="s">
        <v>3059</v>
      </c>
      <c r="J480" s="35"/>
    </row>
    <row r="481" spans="1:10" ht="28.8" x14ac:dyDescent="0.3">
      <c r="A481" s="27" t="s">
        <v>103</v>
      </c>
      <c r="B481" s="34"/>
      <c r="E481" s="36" t="s">
        <v>3060</v>
      </c>
      <c r="J481" s="35"/>
    </row>
    <row r="482" spans="1:10" ht="28.8" x14ac:dyDescent="0.3">
      <c r="A482" s="27" t="s">
        <v>103</v>
      </c>
      <c r="B482" s="34"/>
      <c r="E482" s="36" t="s">
        <v>3061</v>
      </c>
      <c r="J482" s="35"/>
    </row>
    <row r="483" spans="1:10" ht="28.8" x14ac:dyDescent="0.3">
      <c r="A483" s="27" t="s">
        <v>103</v>
      </c>
      <c r="B483" s="34"/>
      <c r="E483" s="36" t="s">
        <v>3062</v>
      </c>
      <c r="J483" s="35"/>
    </row>
    <row r="484" spans="1:10" ht="28.8" x14ac:dyDescent="0.3">
      <c r="A484" s="27" t="s">
        <v>103</v>
      </c>
      <c r="B484" s="34"/>
      <c r="E484" s="36" t="s">
        <v>3063</v>
      </c>
      <c r="J484" s="35"/>
    </row>
    <row r="485" spans="1:10" ht="28.8" x14ac:dyDescent="0.3">
      <c r="A485" s="27" t="s">
        <v>103</v>
      </c>
      <c r="B485" s="34"/>
      <c r="E485" s="36" t="s">
        <v>3064</v>
      </c>
      <c r="J485" s="35"/>
    </row>
    <row r="486" spans="1:10" ht="28.8" x14ac:dyDescent="0.3">
      <c r="A486" s="27" t="s">
        <v>103</v>
      </c>
      <c r="B486" s="34"/>
      <c r="E486" s="36" t="s">
        <v>3065</v>
      </c>
      <c r="J486" s="35"/>
    </row>
    <row r="487" spans="1:10" ht="28.8" x14ac:dyDescent="0.3">
      <c r="A487" s="27" t="s">
        <v>103</v>
      </c>
      <c r="B487" s="34"/>
      <c r="E487" s="36" t="s">
        <v>3066</v>
      </c>
      <c r="J487" s="35"/>
    </row>
    <row r="488" spans="1:10" ht="28.8" x14ac:dyDescent="0.3">
      <c r="A488" s="27" t="s">
        <v>103</v>
      </c>
      <c r="B488" s="34"/>
      <c r="E488" s="36" t="s">
        <v>3067</v>
      </c>
      <c r="J488" s="35"/>
    </row>
    <row r="489" spans="1:10" ht="28.8" x14ac:dyDescent="0.3">
      <c r="A489" s="27" t="s">
        <v>103</v>
      </c>
      <c r="B489" s="34"/>
      <c r="E489" s="36" t="s">
        <v>3068</v>
      </c>
      <c r="J489" s="35"/>
    </row>
    <row r="490" spans="1:10" ht="28.8" x14ac:dyDescent="0.3">
      <c r="A490" s="27" t="s">
        <v>103</v>
      </c>
      <c r="B490" s="34"/>
      <c r="E490" s="36" t="s">
        <v>3069</v>
      </c>
      <c r="J490" s="35"/>
    </row>
    <row r="491" spans="1:10" ht="28.8" x14ac:dyDescent="0.3">
      <c r="A491" s="27" t="s">
        <v>103</v>
      </c>
      <c r="B491" s="34"/>
      <c r="E491" s="36" t="s">
        <v>3070</v>
      </c>
      <c r="J491" s="35"/>
    </row>
    <row r="492" spans="1:10" ht="28.8" x14ac:dyDescent="0.3">
      <c r="A492" s="27" t="s">
        <v>103</v>
      </c>
      <c r="B492" s="34"/>
      <c r="E492" s="36" t="s">
        <v>3071</v>
      </c>
      <c r="J492" s="35"/>
    </row>
    <row r="493" spans="1:10" ht="28.8" x14ac:dyDescent="0.3">
      <c r="A493" s="27" t="s">
        <v>103</v>
      </c>
      <c r="B493" s="34"/>
      <c r="E493" s="36" t="s">
        <v>3072</v>
      </c>
      <c r="J493" s="35"/>
    </row>
    <row r="494" spans="1:10" ht="28.8" x14ac:dyDescent="0.3">
      <c r="A494" s="27" t="s">
        <v>103</v>
      </c>
      <c r="B494" s="34"/>
      <c r="E494" s="36" t="s">
        <v>3073</v>
      </c>
      <c r="J494" s="35"/>
    </row>
    <row r="495" spans="1:10" ht="28.8" x14ac:dyDescent="0.3">
      <c r="A495" s="27" t="s">
        <v>103</v>
      </c>
      <c r="B495" s="34"/>
      <c r="E495" s="36" t="s">
        <v>3074</v>
      </c>
      <c r="J495" s="35"/>
    </row>
    <row r="496" spans="1:10" ht="28.8" x14ac:dyDescent="0.3">
      <c r="A496" s="27" t="s">
        <v>103</v>
      </c>
      <c r="B496" s="34"/>
      <c r="E496" s="36" t="s">
        <v>3075</v>
      </c>
      <c r="J496" s="35"/>
    </row>
    <row r="497" spans="1:10" ht="28.8" x14ac:dyDescent="0.3">
      <c r="A497" s="27" t="s">
        <v>103</v>
      </c>
      <c r="B497" s="34"/>
      <c r="E497" s="36" t="s">
        <v>3076</v>
      </c>
      <c r="J497" s="35"/>
    </row>
    <row r="498" spans="1:10" ht="28.8" x14ac:dyDescent="0.3">
      <c r="A498" s="27" t="s">
        <v>103</v>
      </c>
      <c r="B498" s="34"/>
      <c r="E498" s="36" t="s">
        <v>3077</v>
      </c>
      <c r="J498" s="35"/>
    </row>
    <row r="499" spans="1:10" ht="28.8" x14ac:dyDescent="0.3">
      <c r="A499" s="27" t="s">
        <v>103</v>
      </c>
      <c r="B499" s="34"/>
      <c r="E499" s="36" t="s">
        <v>3078</v>
      </c>
      <c r="J499" s="35"/>
    </row>
    <row r="500" spans="1:10" ht="28.8" x14ac:dyDescent="0.3">
      <c r="A500" s="27" t="s">
        <v>103</v>
      </c>
      <c r="B500" s="34"/>
      <c r="E500" s="36" t="s">
        <v>3079</v>
      </c>
      <c r="J500" s="35"/>
    </row>
    <row r="501" spans="1:10" ht="28.8" x14ac:dyDescent="0.3">
      <c r="A501" s="27" t="s">
        <v>103</v>
      </c>
      <c r="B501" s="34"/>
      <c r="E501" s="36" t="s">
        <v>3080</v>
      </c>
      <c r="J501" s="35"/>
    </row>
    <row r="502" spans="1:10" ht="28.8" x14ac:dyDescent="0.3">
      <c r="A502" s="27" t="s">
        <v>103</v>
      </c>
      <c r="B502" s="34"/>
      <c r="E502" s="36" t="s">
        <v>3081</v>
      </c>
      <c r="J502" s="35"/>
    </row>
    <row r="503" spans="1:10" ht="28.8" x14ac:dyDescent="0.3">
      <c r="A503" s="27" t="s">
        <v>103</v>
      </c>
      <c r="B503" s="34"/>
      <c r="E503" s="36" t="s">
        <v>3082</v>
      </c>
      <c r="J503" s="35"/>
    </row>
    <row r="504" spans="1:10" ht="28.8" x14ac:dyDescent="0.3">
      <c r="A504" s="27" t="s">
        <v>103</v>
      </c>
      <c r="B504" s="34"/>
      <c r="E504" s="36" t="s">
        <v>3083</v>
      </c>
      <c r="J504" s="35"/>
    </row>
    <row r="505" spans="1:10" ht="28.8" x14ac:dyDescent="0.3">
      <c r="A505" s="27" t="s">
        <v>103</v>
      </c>
      <c r="B505" s="34"/>
      <c r="E505" s="36" t="s">
        <v>3084</v>
      </c>
      <c r="J505" s="35"/>
    </row>
    <row r="506" spans="1:10" ht="28.8" x14ac:dyDescent="0.3">
      <c r="A506" s="27" t="s">
        <v>103</v>
      </c>
      <c r="B506" s="34"/>
      <c r="E506" s="36" t="s">
        <v>3085</v>
      </c>
      <c r="J506" s="35"/>
    </row>
    <row r="507" spans="1:10" ht="28.8" x14ac:dyDescent="0.3">
      <c r="A507" s="27" t="s">
        <v>103</v>
      </c>
      <c r="B507" s="34"/>
      <c r="E507" s="36" t="s">
        <v>3086</v>
      </c>
      <c r="J507" s="35"/>
    </row>
    <row r="508" spans="1:10" ht="28.8" x14ac:dyDescent="0.3">
      <c r="A508" s="27" t="s">
        <v>103</v>
      </c>
      <c r="B508" s="34"/>
      <c r="E508" s="36" t="s">
        <v>3087</v>
      </c>
      <c r="J508" s="35"/>
    </row>
    <row r="509" spans="1:10" ht="28.8" x14ac:dyDescent="0.3">
      <c r="A509" s="27" t="s">
        <v>103</v>
      </c>
      <c r="B509" s="34"/>
      <c r="E509" s="36" t="s">
        <v>3088</v>
      </c>
      <c r="J509" s="35"/>
    </row>
    <row r="510" spans="1:10" ht="28.8" x14ac:dyDescent="0.3">
      <c r="A510" s="27" t="s">
        <v>103</v>
      </c>
      <c r="B510" s="34"/>
      <c r="E510" s="36" t="s">
        <v>3089</v>
      </c>
      <c r="J510" s="35"/>
    </row>
    <row r="511" spans="1:10" ht="28.8" x14ac:dyDescent="0.3">
      <c r="A511" s="27" t="s">
        <v>103</v>
      </c>
      <c r="B511" s="34"/>
      <c r="E511" s="36" t="s">
        <v>3090</v>
      </c>
      <c r="J511" s="35"/>
    </row>
    <row r="512" spans="1:10" ht="28.8" x14ac:dyDescent="0.3">
      <c r="A512" s="27" t="s">
        <v>103</v>
      </c>
      <c r="B512" s="34"/>
      <c r="E512" s="36" t="s">
        <v>3091</v>
      </c>
      <c r="J512" s="35"/>
    </row>
    <row r="513" spans="1:10" ht="28.8" x14ac:dyDescent="0.3">
      <c r="A513" s="27" t="s">
        <v>103</v>
      </c>
      <c r="B513" s="34"/>
      <c r="E513" s="36" t="s">
        <v>3092</v>
      </c>
      <c r="J513" s="35"/>
    </row>
    <row r="514" spans="1:10" ht="28.8" x14ac:dyDescent="0.3">
      <c r="A514" s="27" t="s">
        <v>103</v>
      </c>
      <c r="B514" s="34"/>
      <c r="E514" s="36" t="s">
        <v>3093</v>
      </c>
      <c r="J514" s="35"/>
    </row>
    <row r="515" spans="1:10" ht="28.8" x14ac:dyDescent="0.3">
      <c r="A515" s="27" t="s">
        <v>103</v>
      </c>
      <c r="B515" s="34"/>
      <c r="E515" s="36" t="s">
        <v>3094</v>
      </c>
      <c r="J515" s="35"/>
    </row>
    <row r="516" spans="1:10" ht="28.8" x14ac:dyDescent="0.3">
      <c r="A516" s="27" t="s">
        <v>103</v>
      </c>
      <c r="B516" s="34"/>
      <c r="E516" s="36" t="s">
        <v>3095</v>
      </c>
      <c r="J516" s="35"/>
    </row>
    <row r="517" spans="1:10" ht="28.8" x14ac:dyDescent="0.3">
      <c r="A517" s="27" t="s">
        <v>103</v>
      </c>
      <c r="B517" s="34"/>
      <c r="E517" s="36" t="s">
        <v>3096</v>
      </c>
      <c r="J517" s="35"/>
    </row>
    <row r="518" spans="1:10" ht="28.8" x14ac:dyDescent="0.3">
      <c r="A518" s="27" t="s">
        <v>103</v>
      </c>
      <c r="B518" s="34"/>
      <c r="E518" s="36" t="s">
        <v>3097</v>
      </c>
      <c r="J518" s="35"/>
    </row>
    <row r="519" spans="1:10" ht="28.8" x14ac:dyDescent="0.3">
      <c r="A519" s="27" t="s">
        <v>103</v>
      </c>
      <c r="B519" s="34"/>
      <c r="E519" s="36" t="s">
        <v>3098</v>
      </c>
      <c r="J519" s="35"/>
    </row>
    <row r="520" spans="1:10" ht="28.8" x14ac:dyDescent="0.3">
      <c r="A520" s="27" t="s">
        <v>103</v>
      </c>
      <c r="B520" s="34"/>
      <c r="E520" s="36" t="s">
        <v>3099</v>
      </c>
      <c r="J520" s="35"/>
    </row>
    <row r="521" spans="1:10" ht="28.8" x14ac:dyDescent="0.3">
      <c r="A521" s="27" t="s">
        <v>103</v>
      </c>
      <c r="B521" s="34"/>
      <c r="E521" s="36" t="s">
        <v>3100</v>
      </c>
      <c r="J521" s="35"/>
    </row>
    <row r="522" spans="1:10" ht="28.8" x14ac:dyDescent="0.3">
      <c r="A522" s="27" t="s">
        <v>103</v>
      </c>
      <c r="B522" s="34"/>
      <c r="E522" s="36" t="s">
        <v>3101</v>
      </c>
      <c r="J522" s="35"/>
    </row>
    <row r="523" spans="1:10" ht="28.8" x14ac:dyDescent="0.3">
      <c r="A523" s="27" t="s">
        <v>103</v>
      </c>
      <c r="B523" s="34"/>
      <c r="E523" s="36" t="s">
        <v>3102</v>
      </c>
      <c r="J523" s="35"/>
    </row>
    <row r="524" spans="1:10" ht="28.8" x14ac:dyDescent="0.3">
      <c r="A524" s="27" t="s">
        <v>103</v>
      </c>
      <c r="B524" s="34"/>
      <c r="E524" s="36" t="s">
        <v>3103</v>
      </c>
      <c r="J524" s="35"/>
    </row>
    <row r="525" spans="1:10" ht="28.8" x14ac:dyDescent="0.3">
      <c r="A525" s="27" t="s">
        <v>103</v>
      </c>
      <c r="B525" s="34"/>
      <c r="E525" s="36" t="s">
        <v>3104</v>
      </c>
      <c r="J525" s="35"/>
    </row>
    <row r="526" spans="1:10" ht="28.8" x14ac:dyDescent="0.3">
      <c r="A526" s="27" t="s">
        <v>103</v>
      </c>
      <c r="B526" s="34"/>
      <c r="E526" s="36" t="s">
        <v>3105</v>
      </c>
      <c r="J526" s="35"/>
    </row>
    <row r="527" spans="1:10" ht="28.8" x14ac:dyDescent="0.3">
      <c r="A527" s="27" t="s">
        <v>103</v>
      </c>
      <c r="B527" s="34"/>
      <c r="E527" s="36" t="s">
        <v>3106</v>
      </c>
      <c r="J527" s="35"/>
    </row>
    <row r="528" spans="1:10" ht="28.8" x14ac:dyDescent="0.3">
      <c r="A528" s="27" t="s">
        <v>103</v>
      </c>
      <c r="B528" s="34"/>
      <c r="E528" s="36" t="s">
        <v>3107</v>
      </c>
      <c r="J528" s="35"/>
    </row>
    <row r="529" spans="1:10" ht="28.8" x14ac:dyDescent="0.3">
      <c r="A529" s="27" t="s">
        <v>103</v>
      </c>
      <c r="B529" s="34"/>
      <c r="E529" s="36" t="s">
        <v>3108</v>
      </c>
      <c r="J529" s="35"/>
    </row>
    <row r="530" spans="1:10" ht="28.8" x14ac:dyDescent="0.3">
      <c r="A530" s="27" t="s">
        <v>103</v>
      </c>
      <c r="B530" s="34"/>
      <c r="E530" s="36" t="s">
        <v>3109</v>
      </c>
      <c r="J530" s="35"/>
    </row>
    <row r="531" spans="1:10" ht="28.8" x14ac:dyDescent="0.3">
      <c r="A531" s="27" t="s">
        <v>103</v>
      </c>
      <c r="B531" s="34"/>
      <c r="E531" s="36" t="s">
        <v>3110</v>
      </c>
      <c r="J531" s="35"/>
    </row>
    <row r="532" spans="1:10" ht="28.8" x14ac:dyDescent="0.3">
      <c r="A532" s="27" t="s">
        <v>103</v>
      </c>
      <c r="B532" s="34"/>
      <c r="E532" s="36" t="s">
        <v>3111</v>
      </c>
      <c r="J532" s="35"/>
    </row>
    <row r="533" spans="1:10" ht="28.8" x14ac:dyDescent="0.3">
      <c r="A533" s="27" t="s">
        <v>103</v>
      </c>
      <c r="B533" s="34"/>
      <c r="E533" s="36" t="s">
        <v>3112</v>
      </c>
      <c r="J533" s="35"/>
    </row>
    <row r="534" spans="1:10" ht="28.8" x14ac:dyDescent="0.3">
      <c r="A534" s="27" t="s">
        <v>103</v>
      </c>
      <c r="B534" s="34"/>
      <c r="E534" s="36" t="s">
        <v>3113</v>
      </c>
      <c r="J534" s="35"/>
    </row>
    <row r="535" spans="1:10" ht="28.8" x14ac:dyDescent="0.3">
      <c r="A535" s="27" t="s">
        <v>103</v>
      </c>
      <c r="B535" s="34"/>
      <c r="E535" s="36" t="s">
        <v>3114</v>
      </c>
      <c r="J535" s="35"/>
    </row>
    <row r="536" spans="1:10" ht="28.8" x14ac:dyDescent="0.3">
      <c r="A536" s="27" t="s">
        <v>103</v>
      </c>
      <c r="B536" s="34"/>
      <c r="E536" s="36" t="s">
        <v>3115</v>
      </c>
      <c r="J536" s="35"/>
    </row>
    <row r="537" spans="1:10" ht="28.8" x14ac:dyDescent="0.3">
      <c r="A537" s="27" t="s">
        <v>103</v>
      </c>
      <c r="B537" s="34"/>
      <c r="E537" s="36" t="s">
        <v>3116</v>
      </c>
      <c r="J537" s="35"/>
    </row>
    <row r="538" spans="1:10" ht="28.8" x14ac:dyDescent="0.3">
      <c r="A538" s="27" t="s">
        <v>103</v>
      </c>
      <c r="B538" s="34"/>
      <c r="E538" s="36" t="s">
        <v>3117</v>
      </c>
      <c r="J538" s="35"/>
    </row>
    <row r="539" spans="1:10" ht="28.8" x14ac:dyDescent="0.3">
      <c r="A539" s="27" t="s">
        <v>103</v>
      </c>
      <c r="B539" s="34"/>
      <c r="E539" s="36" t="s">
        <v>3118</v>
      </c>
      <c r="J539" s="35"/>
    </row>
    <row r="540" spans="1:10" ht="28.8" x14ac:dyDescent="0.3">
      <c r="A540" s="27" t="s">
        <v>103</v>
      </c>
      <c r="B540" s="34"/>
      <c r="E540" s="36" t="s">
        <v>3119</v>
      </c>
      <c r="J540" s="35"/>
    </row>
    <row r="541" spans="1:10" ht="28.8" x14ac:dyDescent="0.3">
      <c r="A541" s="27" t="s">
        <v>103</v>
      </c>
      <c r="B541" s="34"/>
      <c r="E541" s="36" t="s">
        <v>3120</v>
      </c>
      <c r="J541" s="35"/>
    </row>
    <row r="542" spans="1:10" ht="28.8" x14ac:dyDescent="0.3">
      <c r="A542" s="27" t="s">
        <v>103</v>
      </c>
      <c r="B542" s="34"/>
      <c r="E542" s="36" t="s">
        <v>3121</v>
      </c>
      <c r="J542" s="35"/>
    </row>
    <row r="543" spans="1:10" ht="28.8" x14ac:dyDescent="0.3">
      <c r="A543" s="27" t="s">
        <v>103</v>
      </c>
      <c r="B543" s="34"/>
      <c r="E543" s="36" t="s">
        <v>3122</v>
      </c>
      <c r="J543" s="35"/>
    </row>
    <row r="544" spans="1:10" ht="28.8" x14ac:dyDescent="0.3">
      <c r="A544" s="27" t="s">
        <v>103</v>
      </c>
      <c r="B544" s="34"/>
      <c r="E544" s="36" t="s">
        <v>3123</v>
      </c>
      <c r="J544" s="35"/>
    </row>
    <row r="545" spans="1:10" ht="28.8" x14ac:dyDescent="0.3">
      <c r="A545" s="27" t="s">
        <v>103</v>
      </c>
      <c r="B545" s="34"/>
      <c r="E545" s="36" t="s">
        <v>3124</v>
      </c>
      <c r="J545" s="35"/>
    </row>
    <row r="546" spans="1:10" ht="28.8" x14ac:dyDescent="0.3">
      <c r="A546" s="27" t="s">
        <v>103</v>
      </c>
      <c r="B546" s="34"/>
      <c r="E546" s="36" t="s">
        <v>3125</v>
      </c>
      <c r="J546" s="35"/>
    </row>
    <row r="547" spans="1:10" ht="28.8" x14ac:dyDescent="0.3">
      <c r="A547" s="27" t="s">
        <v>103</v>
      </c>
      <c r="B547" s="34"/>
      <c r="E547" s="36" t="s">
        <v>3126</v>
      </c>
      <c r="J547" s="35"/>
    </row>
    <row r="548" spans="1:10" ht="28.8" x14ac:dyDescent="0.3">
      <c r="A548" s="27" t="s">
        <v>103</v>
      </c>
      <c r="B548" s="34"/>
      <c r="E548" s="36" t="s">
        <v>3127</v>
      </c>
      <c r="J548" s="35"/>
    </row>
    <row r="549" spans="1:10" ht="28.8" x14ac:dyDescent="0.3">
      <c r="A549" s="27" t="s">
        <v>103</v>
      </c>
      <c r="B549" s="34"/>
      <c r="E549" s="36" t="s">
        <v>3128</v>
      </c>
      <c r="J549" s="35"/>
    </row>
    <row r="550" spans="1:10" ht="28.8" x14ac:dyDescent="0.3">
      <c r="A550" s="27" t="s">
        <v>103</v>
      </c>
      <c r="B550" s="34"/>
      <c r="E550" s="36" t="s">
        <v>3129</v>
      </c>
      <c r="J550" s="35"/>
    </row>
    <row r="551" spans="1:10" ht="28.8" x14ac:dyDescent="0.3">
      <c r="A551" s="27" t="s">
        <v>103</v>
      </c>
      <c r="B551" s="34"/>
      <c r="E551" s="36" t="s">
        <v>3130</v>
      </c>
      <c r="J551" s="35"/>
    </row>
    <row r="552" spans="1:10" ht="28.8" x14ac:dyDescent="0.3">
      <c r="A552" s="27" t="s">
        <v>103</v>
      </c>
      <c r="B552" s="34"/>
      <c r="E552" s="36" t="s">
        <v>3131</v>
      </c>
      <c r="J552" s="35"/>
    </row>
    <row r="553" spans="1:10" ht="28.8" x14ac:dyDescent="0.3">
      <c r="A553" s="27" t="s">
        <v>103</v>
      </c>
      <c r="B553" s="34"/>
      <c r="E553" s="36" t="s">
        <v>3132</v>
      </c>
      <c r="J553" s="35"/>
    </row>
    <row r="554" spans="1:10" ht="28.8" x14ac:dyDescent="0.3">
      <c r="A554" s="27" t="s">
        <v>103</v>
      </c>
      <c r="B554" s="34"/>
      <c r="E554" s="36" t="s">
        <v>3133</v>
      </c>
      <c r="J554" s="35"/>
    </row>
    <row r="555" spans="1:10" ht="28.8" x14ac:dyDescent="0.3">
      <c r="A555" s="27" t="s">
        <v>103</v>
      </c>
      <c r="B555" s="34"/>
      <c r="E555" s="36" t="s">
        <v>3134</v>
      </c>
      <c r="J555" s="35"/>
    </row>
    <row r="556" spans="1:10" ht="28.8" x14ac:dyDescent="0.3">
      <c r="A556" s="27" t="s">
        <v>103</v>
      </c>
      <c r="B556" s="34"/>
      <c r="E556" s="36" t="s">
        <v>3135</v>
      </c>
      <c r="J556" s="35"/>
    </row>
    <row r="557" spans="1:10" ht="28.8" x14ac:dyDescent="0.3">
      <c r="A557" s="27" t="s">
        <v>103</v>
      </c>
      <c r="B557" s="34"/>
      <c r="E557" s="36" t="s">
        <v>3136</v>
      </c>
      <c r="J557" s="35"/>
    </row>
    <row r="558" spans="1:10" ht="28.8" x14ac:dyDescent="0.3">
      <c r="A558" s="27" t="s">
        <v>103</v>
      </c>
      <c r="B558" s="34"/>
      <c r="E558" s="36" t="s">
        <v>3137</v>
      </c>
      <c r="J558" s="35"/>
    </row>
    <row r="559" spans="1:10" ht="28.8" x14ac:dyDescent="0.3">
      <c r="A559" s="27" t="s">
        <v>103</v>
      </c>
      <c r="B559" s="34"/>
      <c r="E559" s="36" t="s">
        <v>3138</v>
      </c>
      <c r="J559" s="35"/>
    </row>
    <row r="560" spans="1:10" ht="28.8" x14ac:dyDescent="0.3">
      <c r="A560" s="27" t="s">
        <v>103</v>
      </c>
      <c r="B560" s="34"/>
      <c r="E560" s="36" t="s">
        <v>3139</v>
      </c>
      <c r="J560" s="35"/>
    </row>
    <row r="561" spans="1:10" ht="28.8" x14ac:dyDescent="0.3">
      <c r="A561" s="27" t="s">
        <v>103</v>
      </c>
      <c r="B561" s="34"/>
      <c r="E561" s="36" t="s">
        <v>3140</v>
      </c>
      <c r="J561" s="35"/>
    </row>
    <row r="562" spans="1:10" ht="28.8" x14ac:dyDescent="0.3">
      <c r="A562" s="27" t="s">
        <v>103</v>
      </c>
      <c r="B562" s="34"/>
      <c r="E562" s="36" t="s">
        <v>3141</v>
      </c>
      <c r="J562" s="35"/>
    </row>
    <row r="563" spans="1:10" ht="28.8" x14ac:dyDescent="0.3">
      <c r="A563" s="27" t="s">
        <v>103</v>
      </c>
      <c r="B563" s="34"/>
      <c r="E563" s="36" t="s">
        <v>3142</v>
      </c>
      <c r="J563" s="35"/>
    </row>
    <row r="564" spans="1:10" ht="28.8" x14ac:dyDescent="0.3">
      <c r="A564" s="27" t="s">
        <v>103</v>
      </c>
      <c r="B564" s="34"/>
      <c r="E564" s="36" t="s">
        <v>3143</v>
      </c>
      <c r="J564" s="35"/>
    </row>
    <row r="565" spans="1:10" ht="28.8" x14ac:dyDescent="0.3">
      <c r="A565" s="27" t="s">
        <v>103</v>
      </c>
      <c r="B565" s="34"/>
      <c r="E565" s="36" t="s">
        <v>3144</v>
      </c>
      <c r="J565" s="35"/>
    </row>
    <row r="566" spans="1:10" ht="28.8" x14ac:dyDescent="0.3">
      <c r="A566" s="27" t="s">
        <v>103</v>
      </c>
      <c r="B566" s="34"/>
      <c r="E566" s="36" t="s">
        <v>3145</v>
      </c>
      <c r="J566" s="35"/>
    </row>
    <row r="567" spans="1:10" ht="28.8" x14ac:dyDescent="0.3">
      <c r="A567" s="27" t="s">
        <v>103</v>
      </c>
      <c r="B567" s="34"/>
      <c r="E567" s="36" t="s">
        <v>3146</v>
      </c>
      <c r="J567" s="35"/>
    </row>
    <row r="568" spans="1:10" ht="28.8" x14ac:dyDescent="0.3">
      <c r="A568" s="27" t="s">
        <v>103</v>
      </c>
      <c r="B568" s="34"/>
      <c r="E568" s="36" t="s">
        <v>3147</v>
      </c>
      <c r="J568" s="35"/>
    </row>
    <row r="569" spans="1:10" ht="28.8" x14ac:dyDescent="0.3">
      <c r="A569" s="27" t="s">
        <v>103</v>
      </c>
      <c r="B569" s="34"/>
      <c r="E569" s="36" t="s">
        <v>3148</v>
      </c>
      <c r="J569" s="35"/>
    </row>
    <row r="570" spans="1:10" ht="28.8" x14ac:dyDescent="0.3">
      <c r="A570" s="27" t="s">
        <v>103</v>
      </c>
      <c r="B570" s="34"/>
      <c r="E570" s="36" t="s">
        <v>3149</v>
      </c>
      <c r="J570" s="35"/>
    </row>
    <row r="571" spans="1:10" ht="28.8" x14ac:dyDescent="0.3">
      <c r="A571" s="27" t="s">
        <v>103</v>
      </c>
      <c r="B571" s="34"/>
      <c r="E571" s="36" t="s">
        <v>3150</v>
      </c>
      <c r="J571" s="35"/>
    </row>
    <row r="572" spans="1:10" ht="28.8" x14ac:dyDescent="0.3">
      <c r="A572" s="27" t="s">
        <v>103</v>
      </c>
      <c r="B572" s="34"/>
      <c r="E572" s="36" t="s">
        <v>3151</v>
      </c>
      <c r="J572" s="35"/>
    </row>
    <row r="573" spans="1:10" ht="28.8" x14ac:dyDescent="0.3">
      <c r="A573" s="27" t="s">
        <v>103</v>
      </c>
      <c r="B573" s="34"/>
      <c r="E573" s="36" t="s">
        <v>3152</v>
      </c>
      <c r="J573" s="35"/>
    </row>
    <row r="574" spans="1:10" ht="28.8" x14ac:dyDescent="0.3">
      <c r="A574" s="27" t="s">
        <v>103</v>
      </c>
      <c r="B574" s="34"/>
      <c r="E574" s="36" t="s">
        <v>3153</v>
      </c>
      <c r="J574" s="35"/>
    </row>
    <row r="575" spans="1:10" ht="28.8" x14ac:dyDescent="0.3">
      <c r="A575" s="27" t="s">
        <v>103</v>
      </c>
      <c r="B575" s="34"/>
      <c r="E575" s="36" t="s">
        <v>3154</v>
      </c>
      <c r="J575" s="35"/>
    </row>
    <row r="576" spans="1:10" ht="28.8" x14ac:dyDescent="0.3">
      <c r="A576" s="27" t="s">
        <v>103</v>
      </c>
      <c r="B576" s="34"/>
      <c r="E576" s="36" t="s">
        <v>3155</v>
      </c>
      <c r="J576" s="35"/>
    </row>
    <row r="577" spans="1:10" ht="28.8" x14ac:dyDescent="0.3">
      <c r="A577" s="27" t="s">
        <v>103</v>
      </c>
      <c r="B577" s="34"/>
      <c r="E577" s="36" t="s">
        <v>3156</v>
      </c>
      <c r="J577" s="35"/>
    </row>
    <row r="578" spans="1:10" ht="28.8" x14ac:dyDescent="0.3">
      <c r="A578" s="27" t="s">
        <v>103</v>
      </c>
      <c r="B578" s="34"/>
      <c r="E578" s="36" t="s">
        <v>3157</v>
      </c>
      <c r="J578" s="35"/>
    </row>
    <row r="579" spans="1:10" ht="28.8" x14ac:dyDescent="0.3">
      <c r="A579" s="27" t="s">
        <v>103</v>
      </c>
      <c r="B579" s="34"/>
      <c r="E579" s="36" t="s">
        <v>3158</v>
      </c>
      <c r="J579" s="35"/>
    </row>
    <row r="580" spans="1:10" ht="28.8" x14ac:dyDescent="0.3">
      <c r="A580" s="27" t="s">
        <v>103</v>
      </c>
      <c r="B580" s="34"/>
      <c r="E580" s="36" t="s">
        <v>3159</v>
      </c>
      <c r="J580" s="35"/>
    </row>
    <row r="581" spans="1:10" ht="28.8" x14ac:dyDescent="0.3">
      <c r="A581" s="27" t="s">
        <v>103</v>
      </c>
      <c r="B581" s="34"/>
      <c r="E581" s="36" t="s">
        <v>3160</v>
      </c>
      <c r="J581" s="35"/>
    </row>
    <row r="582" spans="1:10" ht="28.8" x14ac:dyDescent="0.3">
      <c r="A582" s="27" t="s">
        <v>103</v>
      </c>
      <c r="B582" s="34"/>
      <c r="E582" s="36" t="s">
        <v>3161</v>
      </c>
      <c r="J582" s="35"/>
    </row>
    <row r="583" spans="1:10" ht="28.8" x14ac:dyDescent="0.3">
      <c r="A583" s="27" t="s">
        <v>103</v>
      </c>
      <c r="B583" s="34"/>
      <c r="E583" s="36" t="s">
        <v>3162</v>
      </c>
      <c r="J583" s="35"/>
    </row>
    <row r="584" spans="1:10" ht="28.8" x14ac:dyDescent="0.3">
      <c r="A584" s="27" t="s">
        <v>103</v>
      </c>
      <c r="B584" s="34"/>
      <c r="E584" s="36" t="s">
        <v>3163</v>
      </c>
      <c r="J584" s="35"/>
    </row>
    <row r="585" spans="1:10" ht="28.8" x14ac:dyDescent="0.3">
      <c r="A585" s="27" t="s">
        <v>103</v>
      </c>
      <c r="B585" s="34"/>
      <c r="E585" s="36" t="s">
        <v>3164</v>
      </c>
      <c r="J585" s="35"/>
    </row>
    <row r="586" spans="1:10" ht="28.8" x14ac:dyDescent="0.3">
      <c r="A586" s="27" t="s">
        <v>103</v>
      </c>
      <c r="B586" s="34"/>
      <c r="E586" s="36" t="s">
        <v>3165</v>
      </c>
      <c r="J586" s="35"/>
    </row>
    <row r="587" spans="1:10" ht="28.8" x14ac:dyDescent="0.3">
      <c r="A587" s="27" t="s">
        <v>103</v>
      </c>
      <c r="B587" s="34"/>
      <c r="E587" s="36" t="s">
        <v>3166</v>
      </c>
      <c r="J587" s="35"/>
    </row>
    <row r="588" spans="1:10" ht="28.8" x14ac:dyDescent="0.3">
      <c r="A588" s="27" t="s">
        <v>103</v>
      </c>
      <c r="B588" s="34"/>
      <c r="E588" s="36" t="s">
        <v>3167</v>
      </c>
      <c r="J588" s="35"/>
    </row>
    <row r="589" spans="1:10" ht="28.8" x14ac:dyDescent="0.3">
      <c r="A589" s="27" t="s">
        <v>103</v>
      </c>
      <c r="B589" s="34"/>
      <c r="E589" s="36" t="s">
        <v>3168</v>
      </c>
      <c r="J589" s="35"/>
    </row>
    <row r="590" spans="1:10" ht="28.8" x14ac:dyDescent="0.3">
      <c r="A590" s="27" t="s">
        <v>103</v>
      </c>
      <c r="B590" s="34"/>
      <c r="E590" s="36" t="s">
        <v>3169</v>
      </c>
      <c r="J590" s="35"/>
    </row>
    <row r="591" spans="1:10" x14ac:dyDescent="0.3">
      <c r="A591" s="27" t="s">
        <v>103</v>
      </c>
      <c r="B591" s="34"/>
      <c r="E591" s="36" t="s">
        <v>3170</v>
      </c>
      <c r="J591" s="35"/>
    </row>
    <row r="592" spans="1:10" ht="72" x14ac:dyDescent="0.3">
      <c r="A592" s="27" t="s">
        <v>105</v>
      </c>
      <c r="B592" s="37"/>
      <c r="C592" s="38"/>
      <c r="D592" s="38"/>
      <c r="E592" s="29" t="s">
        <v>1777</v>
      </c>
      <c r="F592" s="38"/>
      <c r="G592" s="38"/>
      <c r="H592" s="38"/>
      <c r="I592" s="38"/>
      <c r="J592"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2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37</v>
      </c>
      <c r="I3" s="16">
        <f>SUMIFS(I9:I228,A9:A228,"SD")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37</v>
      </c>
      <c r="D5" s="44"/>
      <c r="E5" s="14" t="s">
        <v>30</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SUMIFS(I10:I54,A10:A54,"P")</f>
        <v>0</v>
      </c>
      <c r="J9" s="26"/>
    </row>
    <row r="10" spans="1:16" x14ac:dyDescent="0.3">
      <c r="A10" s="27" t="s">
        <v>95</v>
      </c>
      <c r="B10" s="27">
        <v>1</v>
      </c>
      <c r="C10" s="28" t="s">
        <v>496</v>
      </c>
      <c r="D10" s="27" t="s">
        <v>129</v>
      </c>
      <c r="E10" s="29" t="s">
        <v>497</v>
      </c>
      <c r="F10" s="30" t="s">
        <v>229</v>
      </c>
      <c r="G10" s="31">
        <v>0.88700000000000001</v>
      </c>
      <c r="H10" s="32">
        <v>0</v>
      </c>
      <c r="I10" s="32">
        <f>ROUND(0.887*H10,P4)</f>
        <v>0</v>
      </c>
      <c r="J10" s="30" t="s">
        <v>118</v>
      </c>
      <c r="O10" s="33">
        <f>I10*0.21</f>
        <v>0</v>
      </c>
      <c r="P10">
        <v>3</v>
      </c>
    </row>
    <row r="11" spans="1:16" ht="158.4" x14ac:dyDescent="0.3">
      <c r="A11" s="27" t="s">
        <v>101</v>
      </c>
      <c r="B11" s="34"/>
      <c r="E11" s="29" t="s">
        <v>2690</v>
      </c>
      <c r="J11" s="35"/>
    </row>
    <row r="12" spans="1:16" ht="28.8" x14ac:dyDescent="0.3">
      <c r="A12" s="27" t="s">
        <v>103</v>
      </c>
      <c r="B12" s="34"/>
      <c r="E12" s="36" t="s">
        <v>3211</v>
      </c>
      <c r="J12" s="35"/>
    </row>
    <row r="13" spans="1:16" ht="28.8" x14ac:dyDescent="0.3">
      <c r="A13" s="27" t="s">
        <v>103</v>
      </c>
      <c r="B13" s="34"/>
      <c r="E13" s="36" t="s">
        <v>3212</v>
      </c>
      <c r="J13" s="35"/>
    </row>
    <row r="14" spans="1:16" ht="28.8" x14ac:dyDescent="0.3">
      <c r="A14" s="27" t="s">
        <v>103</v>
      </c>
      <c r="B14" s="34"/>
      <c r="E14" s="36" t="s">
        <v>3213</v>
      </c>
      <c r="J14" s="35"/>
    </row>
    <row r="15" spans="1:16" ht="28.8" x14ac:dyDescent="0.3">
      <c r="A15" s="27" t="s">
        <v>103</v>
      </c>
      <c r="B15" s="34"/>
      <c r="E15" s="36" t="s">
        <v>3214</v>
      </c>
      <c r="J15" s="35"/>
    </row>
    <row r="16" spans="1:16" ht="28.8" x14ac:dyDescent="0.3">
      <c r="A16" s="27" t="s">
        <v>103</v>
      </c>
      <c r="B16" s="34"/>
      <c r="E16" s="36" t="s">
        <v>3215</v>
      </c>
      <c r="J16" s="35"/>
    </row>
    <row r="17" spans="1:16" ht="28.8" x14ac:dyDescent="0.3">
      <c r="A17" s="27" t="s">
        <v>103</v>
      </c>
      <c r="B17" s="34"/>
      <c r="E17" s="36" t="s">
        <v>3216</v>
      </c>
      <c r="J17" s="35"/>
    </row>
    <row r="18" spans="1:16" ht="28.8" x14ac:dyDescent="0.3">
      <c r="A18" s="27" t="s">
        <v>103</v>
      </c>
      <c r="B18" s="34"/>
      <c r="E18" s="36" t="s">
        <v>3217</v>
      </c>
      <c r="J18" s="35"/>
    </row>
    <row r="19" spans="1:16" ht="28.8" x14ac:dyDescent="0.3">
      <c r="A19" s="27" t="s">
        <v>103</v>
      </c>
      <c r="B19" s="34"/>
      <c r="E19" s="36" t="s">
        <v>3218</v>
      </c>
      <c r="J19" s="35"/>
    </row>
    <row r="20" spans="1:16" ht="28.8" x14ac:dyDescent="0.3">
      <c r="A20" s="27" t="s">
        <v>103</v>
      </c>
      <c r="B20" s="34"/>
      <c r="E20" s="36" t="s">
        <v>3219</v>
      </c>
      <c r="J20" s="35"/>
    </row>
    <row r="21" spans="1:16" ht="28.8" x14ac:dyDescent="0.3">
      <c r="A21" s="27" t="s">
        <v>103</v>
      </c>
      <c r="B21" s="34"/>
      <c r="E21" s="36" t="s">
        <v>3220</v>
      </c>
      <c r="J21" s="35"/>
    </row>
    <row r="22" spans="1:16" ht="28.8" x14ac:dyDescent="0.3">
      <c r="A22" s="27" t="s">
        <v>103</v>
      </c>
      <c r="B22" s="34"/>
      <c r="E22" s="36" t="s">
        <v>3221</v>
      </c>
      <c r="J22" s="35"/>
    </row>
    <row r="23" spans="1:16" x14ac:dyDescent="0.3">
      <c r="A23" s="27" t="s">
        <v>103</v>
      </c>
      <c r="B23" s="34"/>
      <c r="E23" s="36" t="s">
        <v>3222</v>
      </c>
      <c r="J23" s="35"/>
    </row>
    <row r="24" spans="1:16" ht="374.4" x14ac:dyDescent="0.3">
      <c r="A24" s="27" t="s">
        <v>105</v>
      </c>
      <c r="B24" s="34"/>
      <c r="E24" s="29" t="s">
        <v>434</v>
      </c>
      <c r="J24" s="35"/>
    </row>
    <row r="25" spans="1:16" x14ac:dyDescent="0.3">
      <c r="A25" s="27" t="s">
        <v>95</v>
      </c>
      <c r="B25" s="27">
        <v>2</v>
      </c>
      <c r="C25" s="28" t="s">
        <v>591</v>
      </c>
      <c r="D25" s="27" t="s">
        <v>129</v>
      </c>
      <c r="E25" s="29" t="s">
        <v>592</v>
      </c>
      <c r="F25" s="30" t="s">
        <v>229</v>
      </c>
      <c r="G25" s="31">
        <v>0.88700000000000001</v>
      </c>
      <c r="H25" s="32">
        <v>0</v>
      </c>
      <c r="I25" s="32">
        <f>ROUND(0.887*H25,P4)</f>
        <v>0</v>
      </c>
      <c r="J25" s="30" t="s">
        <v>118</v>
      </c>
      <c r="O25" s="33">
        <f>I25*0.21</f>
        <v>0</v>
      </c>
      <c r="P25">
        <v>3</v>
      </c>
    </row>
    <row r="26" spans="1:16" ht="158.4" x14ac:dyDescent="0.3">
      <c r="A26" s="27" t="s">
        <v>101</v>
      </c>
      <c r="B26" s="34"/>
      <c r="E26" s="29" t="s">
        <v>2690</v>
      </c>
      <c r="J26" s="35"/>
    </row>
    <row r="27" spans="1:16" ht="28.8" x14ac:dyDescent="0.3">
      <c r="A27" s="27" t="s">
        <v>103</v>
      </c>
      <c r="B27" s="34"/>
      <c r="E27" s="36" t="s">
        <v>3211</v>
      </c>
      <c r="J27" s="35"/>
    </row>
    <row r="28" spans="1:16" ht="28.8" x14ac:dyDescent="0.3">
      <c r="A28" s="27" t="s">
        <v>103</v>
      </c>
      <c r="B28" s="34"/>
      <c r="E28" s="36" t="s">
        <v>3212</v>
      </c>
      <c r="J28" s="35"/>
    </row>
    <row r="29" spans="1:16" ht="28.8" x14ac:dyDescent="0.3">
      <c r="A29" s="27" t="s">
        <v>103</v>
      </c>
      <c r="B29" s="34"/>
      <c r="E29" s="36" t="s">
        <v>3213</v>
      </c>
      <c r="J29" s="35"/>
    </row>
    <row r="30" spans="1:16" ht="28.8" x14ac:dyDescent="0.3">
      <c r="A30" s="27" t="s">
        <v>103</v>
      </c>
      <c r="B30" s="34"/>
      <c r="E30" s="36" t="s">
        <v>3214</v>
      </c>
      <c r="J30" s="35"/>
    </row>
    <row r="31" spans="1:16" ht="28.8" x14ac:dyDescent="0.3">
      <c r="A31" s="27" t="s">
        <v>103</v>
      </c>
      <c r="B31" s="34"/>
      <c r="E31" s="36" t="s">
        <v>3215</v>
      </c>
      <c r="J31" s="35"/>
    </row>
    <row r="32" spans="1:16" ht="28.8" x14ac:dyDescent="0.3">
      <c r="A32" s="27" t="s">
        <v>103</v>
      </c>
      <c r="B32" s="34"/>
      <c r="E32" s="36" t="s">
        <v>3216</v>
      </c>
      <c r="J32" s="35"/>
    </row>
    <row r="33" spans="1:16" ht="28.8" x14ac:dyDescent="0.3">
      <c r="A33" s="27" t="s">
        <v>103</v>
      </c>
      <c r="B33" s="34"/>
      <c r="E33" s="36" t="s">
        <v>3217</v>
      </c>
      <c r="J33" s="35"/>
    </row>
    <row r="34" spans="1:16" ht="28.8" x14ac:dyDescent="0.3">
      <c r="A34" s="27" t="s">
        <v>103</v>
      </c>
      <c r="B34" s="34"/>
      <c r="E34" s="36" t="s">
        <v>3218</v>
      </c>
      <c r="J34" s="35"/>
    </row>
    <row r="35" spans="1:16" ht="28.8" x14ac:dyDescent="0.3">
      <c r="A35" s="27" t="s">
        <v>103</v>
      </c>
      <c r="B35" s="34"/>
      <c r="E35" s="36" t="s">
        <v>3219</v>
      </c>
      <c r="J35" s="35"/>
    </row>
    <row r="36" spans="1:16" ht="28.8" x14ac:dyDescent="0.3">
      <c r="A36" s="27" t="s">
        <v>103</v>
      </c>
      <c r="B36" s="34"/>
      <c r="E36" s="36" t="s">
        <v>3220</v>
      </c>
      <c r="J36" s="35"/>
    </row>
    <row r="37" spans="1:16" ht="28.8" x14ac:dyDescent="0.3">
      <c r="A37" s="27" t="s">
        <v>103</v>
      </c>
      <c r="B37" s="34"/>
      <c r="E37" s="36" t="s">
        <v>3221</v>
      </c>
      <c r="J37" s="35"/>
    </row>
    <row r="38" spans="1:16" x14ac:dyDescent="0.3">
      <c r="A38" s="27" t="s">
        <v>103</v>
      </c>
      <c r="B38" s="34"/>
      <c r="E38" s="36" t="s">
        <v>3222</v>
      </c>
      <c r="J38" s="35"/>
    </row>
    <row r="39" spans="1:16" ht="288" x14ac:dyDescent="0.3">
      <c r="A39" s="27" t="s">
        <v>105</v>
      </c>
      <c r="B39" s="34"/>
      <c r="E39" s="29" t="s">
        <v>593</v>
      </c>
      <c r="J39" s="35"/>
    </row>
    <row r="40" spans="1:16" x14ac:dyDescent="0.3">
      <c r="A40" s="27" t="s">
        <v>95</v>
      </c>
      <c r="B40" s="27">
        <v>3</v>
      </c>
      <c r="C40" s="28" t="s">
        <v>610</v>
      </c>
      <c r="D40" s="27" t="s">
        <v>129</v>
      </c>
      <c r="E40" s="29" t="s">
        <v>611</v>
      </c>
      <c r="F40" s="30" t="s">
        <v>248</v>
      </c>
      <c r="G40" s="31">
        <v>253.91300000000001</v>
      </c>
      <c r="H40" s="32">
        <v>0</v>
      </c>
      <c r="I40" s="32">
        <f>ROUND(253.913*H40,P4)</f>
        <v>0</v>
      </c>
      <c r="J40" s="30" t="s">
        <v>118</v>
      </c>
      <c r="O40" s="33">
        <f>I40*0.21</f>
        <v>0</v>
      </c>
      <c r="P40">
        <v>3</v>
      </c>
    </row>
    <row r="41" spans="1:16" ht="187.2" x14ac:dyDescent="0.3">
      <c r="A41" s="27" t="s">
        <v>101</v>
      </c>
      <c r="B41" s="34"/>
      <c r="E41" s="29" t="s">
        <v>3223</v>
      </c>
      <c r="J41" s="35"/>
    </row>
    <row r="42" spans="1:16" ht="28.8" x14ac:dyDescent="0.3">
      <c r="A42" s="27" t="s">
        <v>103</v>
      </c>
      <c r="B42" s="34"/>
      <c r="E42" s="36" t="s">
        <v>3224</v>
      </c>
      <c r="J42" s="35"/>
    </row>
    <row r="43" spans="1:16" ht="28.8" x14ac:dyDescent="0.3">
      <c r="A43" s="27" t="s">
        <v>103</v>
      </c>
      <c r="B43" s="34"/>
      <c r="E43" s="36" t="s">
        <v>3225</v>
      </c>
      <c r="J43" s="35"/>
    </row>
    <row r="44" spans="1:16" ht="28.8" x14ac:dyDescent="0.3">
      <c r="A44" s="27" t="s">
        <v>103</v>
      </c>
      <c r="B44" s="34"/>
      <c r="E44" s="36" t="s">
        <v>3226</v>
      </c>
      <c r="J44" s="35"/>
    </row>
    <row r="45" spans="1:16" ht="28.8" x14ac:dyDescent="0.3">
      <c r="A45" s="27" t="s">
        <v>103</v>
      </c>
      <c r="B45" s="34"/>
      <c r="E45" s="36" t="s">
        <v>3227</v>
      </c>
      <c r="J45" s="35"/>
    </row>
    <row r="46" spans="1:16" ht="28.8" x14ac:dyDescent="0.3">
      <c r="A46" s="27" t="s">
        <v>103</v>
      </c>
      <c r="B46" s="34"/>
      <c r="E46" s="36" t="s">
        <v>3228</v>
      </c>
      <c r="J46" s="35"/>
    </row>
    <row r="47" spans="1:16" ht="28.8" x14ac:dyDescent="0.3">
      <c r="A47" s="27" t="s">
        <v>103</v>
      </c>
      <c r="B47" s="34"/>
      <c r="E47" s="36" t="s">
        <v>3229</v>
      </c>
      <c r="J47" s="35"/>
    </row>
    <row r="48" spans="1:16" ht="28.8" x14ac:dyDescent="0.3">
      <c r="A48" s="27" t="s">
        <v>103</v>
      </c>
      <c r="B48" s="34"/>
      <c r="E48" s="36" t="s">
        <v>3230</v>
      </c>
      <c r="J48" s="35"/>
    </row>
    <row r="49" spans="1:16" ht="28.8" x14ac:dyDescent="0.3">
      <c r="A49" s="27" t="s">
        <v>103</v>
      </c>
      <c r="B49" s="34"/>
      <c r="E49" s="36" t="s">
        <v>3231</v>
      </c>
      <c r="J49" s="35"/>
    </row>
    <row r="50" spans="1:16" ht="28.8" x14ac:dyDescent="0.3">
      <c r="A50" s="27" t="s">
        <v>103</v>
      </c>
      <c r="B50" s="34"/>
      <c r="E50" s="36" t="s">
        <v>3232</v>
      </c>
      <c r="J50" s="35"/>
    </row>
    <row r="51" spans="1:16" ht="28.8" x14ac:dyDescent="0.3">
      <c r="A51" s="27" t="s">
        <v>103</v>
      </c>
      <c r="B51" s="34"/>
      <c r="E51" s="36" t="s">
        <v>3233</v>
      </c>
      <c r="J51" s="35"/>
    </row>
    <row r="52" spans="1:16" ht="28.8" x14ac:dyDescent="0.3">
      <c r="A52" s="27" t="s">
        <v>103</v>
      </c>
      <c r="B52" s="34"/>
      <c r="E52" s="36" t="s">
        <v>3234</v>
      </c>
      <c r="J52" s="35"/>
    </row>
    <row r="53" spans="1:16" x14ac:dyDescent="0.3">
      <c r="A53" s="27" t="s">
        <v>103</v>
      </c>
      <c r="B53" s="34"/>
      <c r="E53" s="36" t="s">
        <v>3235</v>
      </c>
      <c r="J53" s="35"/>
    </row>
    <row r="54" spans="1:16" ht="28.8" x14ac:dyDescent="0.3">
      <c r="A54" s="27" t="s">
        <v>105</v>
      </c>
      <c r="B54" s="34"/>
      <c r="E54" s="29" t="s">
        <v>617</v>
      </c>
      <c r="J54" s="35"/>
    </row>
    <row r="55" spans="1:16" x14ac:dyDescent="0.3">
      <c r="A55" s="21" t="s">
        <v>92</v>
      </c>
      <c r="B55" s="22"/>
      <c r="C55" s="23" t="s">
        <v>124</v>
      </c>
      <c r="D55" s="24"/>
      <c r="E55" s="21" t="s">
        <v>226</v>
      </c>
      <c r="F55" s="24"/>
      <c r="G55" s="24"/>
      <c r="H55" s="24"/>
      <c r="I55" s="25">
        <f>SUMIFS(I56:I171,A56:A171,"P")</f>
        <v>0</v>
      </c>
      <c r="J55" s="26"/>
    </row>
    <row r="56" spans="1:16" x14ac:dyDescent="0.3">
      <c r="A56" s="27" t="s">
        <v>95</v>
      </c>
      <c r="B56" s="27">
        <v>4</v>
      </c>
      <c r="C56" s="28" t="s">
        <v>697</v>
      </c>
      <c r="D56" s="27" t="s">
        <v>97</v>
      </c>
      <c r="E56" s="29" t="s">
        <v>698</v>
      </c>
      <c r="F56" s="30" t="s">
        <v>229</v>
      </c>
      <c r="G56" s="31">
        <v>3.8889999999999998</v>
      </c>
      <c r="H56" s="32">
        <v>0</v>
      </c>
      <c r="I56" s="32">
        <f>ROUND(3.889*H56,P4)</f>
        <v>0</v>
      </c>
      <c r="J56" s="30" t="s">
        <v>118</v>
      </c>
      <c r="O56" s="33">
        <f>I56*0.21</f>
        <v>0</v>
      </c>
      <c r="P56">
        <v>3</v>
      </c>
    </row>
    <row r="57" spans="1:16" ht="158.4" x14ac:dyDescent="0.3">
      <c r="A57" s="27" t="s">
        <v>101</v>
      </c>
      <c r="B57" s="34"/>
      <c r="E57" s="29" t="s">
        <v>3236</v>
      </c>
      <c r="J57" s="35"/>
    </row>
    <row r="58" spans="1:16" ht="28.8" x14ac:dyDescent="0.3">
      <c r="A58" s="27" t="s">
        <v>103</v>
      </c>
      <c r="B58" s="34"/>
      <c r="E58" s="36" t="s">
        <v>3237</v>
      </c>
      <c r="J58" s="35"/>
    </row>
    <row r="59" spans="1:16" ht="28.8" x14ac:dyDescent="0.3">
      <c r="A59" s="27" t="s">
        <v>103</v>
      </c>
      <c r="B59" s="34"/>
      <c r="E59" s="36" t="s">
        <v>3238</v>
      </c>
      <c r="J59" s="35"/>
    </row>
    <row r="60" spans="1:16" x14ac:dyDescent="0.3">
      <c r="A60" s="27" t="s">
        <v>103</v>
      </c>
      <c r="B60" s="34"/>
      <c r="E60" s="36" t="s">
        <v>3239</v>
      </c>
      <c r="J60" s="35"/>
    </row>
    <row r="61" spans="1:16" ht="57.6" x14ac:dyDescent="0.3">
      <c r="A61" s="27" t="s">
        <v>105</v>
      </c>
      <c r="B61" s="34"/>
      <c r="E61" s="29" t="s">
        <v>765</v>
      </c>
      <c r="J61" s="35"/>
    </row>
    <row r="62" spans="1:16" x14ac:dyDescent="0.3">
      <c r="A62" s="27" t="s">
        <v>95</v>
      </c>
      <c r="B62" s="27">
        <v>5</v>
      </c>
      <c r="C62" s="28" t="s">
        <v>697</v>
      </c>
      <c r="D62" s="27" t="s">
        <v>107</v>
      </c>
      <c r="E62" s="29" t="s">
        <v>698</v>
      </c>
      <c r="F62" s="30" t="s">
        <v>229</v>
      </c>
      <c r="G62" s="31">
        <v>37.64</v>
      </c>
      <c r="H62" s="32">
        <v>0</v>
      </c>
      <c r="I62" s="32">
        <f>ROUND(37.64*H62,P4)</f>
        <v>0</v>
      </c>
      <c r="J62" s="30" t="s">
        <v>118</v>
      </c>
      <c r="O62" s="33">
        <f>I62*0.21</f>
        <v>0</v>
      </c>
      <c r="P62">
        <v>3</v>
      </c>
    </row>
    <row r="63" spans="1:16" ht="158.4" x14ac:dyDescent="0.3">
      <c r="A63" s="27" t="s">
        <v>101</v>
      </c>
      <c r="B63" s="34"/>
      <c r="E63" s="29" t="s">
        <v>3240</v>
      </c>
      <c r="J63" s="35"/>
    </row>
    <row r="64" spans="1:16" ht="28.8" x14ac:dyDescent="0.3">
      <c r="A64" s="27" t="s">
        <v>103</v>
      </c>
      <c r="B64" s="34"/>
      <c r="E64" s="36" t="s">
        <v>3241</v>
      </c>
      <c r="J64" s="35"/>
    </row>
    <row r="65" spans="1:10" ht="28.8" x14ac:dyDescent="0.3">
      <c r="A65" s="27" t="s">
        <v>103</v>
      </c>
      <c r="B65" s="34"/>
      <c r="E65" s="36" t="s">
        <v>3242</v>
      </c>
      <c r="J65" s="35"/>
    </row>
    <row r="66" spans="1:10" ht="28.8" x14ac:dyDescent="0.3">
      <c r="A66" s="27" t="s">
        <v>103</v>
      </c>
      <c r="B66" s="34"/>
      <c r="E66" s="36" t="s">
        <v>3243</v>
      </c>
      <c r="J66" s="35"/>
    </row>
    <row r="67" spans="1:10" ht="28.8" x14ac:dyDescent="0.3">
      <c r="A67" s="27" t="s">
        <v>103</v>
      </c>
      <c r="B67" s="34"/>
      <c r="E67" s="36" t="s">
        <v>3244</v>
      </c>
      <c r="J67" s="35"/>
    </row>
    <row r="68" spans="1:10" ht="28.8" x14ac:dyDescent="0.3">
      <c r="A68" s="27" t="s">
        <v>103</v>
      </c>
      <c r="B68" s="34"/>
      <c r="E68" s="36" t="s">
        <v>3245</v>
      </c>
      <c r="J68" s="35"/>
    </row>
    <row r="69" spans="1:10" ht="28.8" x14ac:dyDescent="0.3">
      <c r="A69" s="27" t="s">
        <v>103</v>
      </c>
      <c r="B69" s="34"/>
      <c r="E69" s="36" t="s">
        <v>3246</v>
      </c>
      <c r="J69" s="35"/>
    </row>
    <row r="70" spans="1:10" ht="28.8" x14ac:dyDescent="0.3">
      <c r="A70" s="27" t="s">
        <v>103</v>
      </c>
      <c r="B70" s="34"/>
      <c r="E70" s="36" t="s">
        <v>3247</v>
      </c>
      <c r="J70" s="35"/>
    </row>
    <row r="71" spans="1:10" ht="28.8" x14ac:dyDescent="0.3">
      <c r="A71" s="27" t="s">
        <v>103</v>
      </c>
      <c r="B71" s="34"/>
      <c r="E71" s="36" t="s">
        <v>3248</v>
      </c>
      <c r="J71" s="35"/>
    </row>
    <row r="72" spans="1:10" ht="28.8" x14ac:dyDescent="0.3">
      <c r="A72" s="27" t="s">
        <v>103</v>
      </c>
      <c r="B72" s="34"/>
      <c r="E72" s="36" t="s">
        <v>3249</v>
      </c>
      <c r="J72" s="35"/>
    </row>
    <row r="73" spans="1:10" ht="28.8" x14ac:dyDescent="0.3">
      <c r="A73" s="27" t="s">
        <v>103</v>
      </c>
      <c r="B73" s="34"/>
      <c r="E73" s="36" t="s">
        <v>3250</v>
      </c>
      <c r="J73" s="35"/>
    </row>
    <row r="74" spans="1:10" ht="28.8" x14ac:dyDescent="0.3">
      <c r="A74" s="27" t="s">
        <v>103</v>
      </c>
      <c r="B74" s="34"/>
      <c r="E74" s="36" t="s">
        <v>3251</v>
      </c>
      <c r="J74" s="35"/>
    </row>
    <row r="75" spans="1:10" ht="28.8" x14ac:dyDescent="0.3">
      <c r="A75" s="27" t="s">
        <v>103</v>
      </c>
      <c r="B75" s="34"/>
      <c r="E75" s="36" t="s">
        <v>3252</v>
      </c>
      <c r="J75" s="35"/>
    </row>
    <row r="76" spans="1:10" ht="28.8" x14ac:dyDescent="0.3">
      <c r="A76" s="27" t="s">
        <v>103</v>
      </c>
      <c r="B76" s="34"/>
      <c r="E76" s="36" t="s">
        <v>3253</v>
      </c>
      <c r="J76" s="35"/>
    </row>
    <row r="77" spans="1:10" ht="28.8" x14ac:dyDescent="0.3">
      <c r="A77" s="27" t="s">
        <v>103</v>
      </c>
      <c r="B77" s="34"/>
      <c r="E77" s="36" t="s">
        <v>3254</v>
      </c>
      <c r="J77" s="35"/>
    </row>
    <row r="78" spans="1:10" ht="28.8" x14ac:dyDescent="0.3">
      <c r="A78" s="27" t="s">
        <v>103</v>
      </c>
      <c r="B78" s="34"/>
      <c r="E78" s="36" t="s">
        <v>3255</v>
      </c>
      <c r="J78" s="35"/>
    </row>
    <row r="79" spans="1:10" x14ac:dyDescent="0.3">
      <c r="A79" s="27" t="s">
        <v>103</v>
      </c>
      <c r="B79" s="34"/>
      <c r="E79" s="36" t="s">
        <v>3256</v>
      </c>
      <c r="J79" s="35"/>
    </row>
    <row r="80" spans="1:10" ht="57.6" x14ac:dyDescent="0.3">
      <c r="A80" s="27" t="s">
        <v>105</v>
      </c>
      <c r="B80" s="34"/>
      <c r="E80" s="29" t="s">
        <v>765</v>
      </c>
      <c r="J80" s="35"/>
    </row>
    <row r="81" spans="1:16" x14ac:dyDescent="0.3">
      <c r="A81" s="27" t="s">
        <v>95</v>
      </c>
      <c r="B81" s="27">
        <v>6</v>
      </c>
      <c r="C81" s="28" t="s">
        <v>697</v>
      </c>
      <c r="D81" s="27" t="s">
        <v>116</v>
      </c>
      <c r="E81" s="29" t="s">
        <v>698</v>
      </c>
      <c r="F81" s="30" t="s">
        <v>229</v>
      </c>
      <c r="G81" s="31">
        <v>3.42</v>
      </c>
      <c r="H81" s="32">
        <v>0</v>
      </c>
      <c r="I81" s="32">
        <f>ROUND(2.143*H81,P4)+ROUND(1.277*H81,P4)</f>
        <v>0</v>
      </c>
      <c r="J81" s="30" t="s">
        <v>118</v>
      </c>
      <c r="O81" s="33">
        <f>I81*0.21</f>
        <v>0</v>
      </c>
      <c r="P81">
        <v>3</v>
      </c>
    </row>
    <row r="82" spans="1:16" ht="158.4" x14ac:dyDescent="0.3">
      <c r="A82" s="27" t="s">
        <v>101</v>
      </c>
      <c r="B82" s="34"/>
      <c r="E82" s="29" t="s">
        <v>3257</v>
      </c>
      <c r="J82" s="35"/>
    </row>
    <row r="83" spans="1:16" ht="28.8" x14ac:dyDescent="0.3">
      <c r="A83" s="27" t="s">
        <v>103</v>
      </c>
      <c r="B83" s="34"/>
      <c r="E83" s="36" t="s">
        <v>3258</v>
      </c>
      <c r="J83" s="35"/>
    </row>
    <row r="84" spans="1:16" ht="28.8" x14ac:dyDescent="0.3">
      <c r="A84" s="27" t="s">
        <v>103</v>
      </c>
      <c r="B84" s="34"/>
      <c r="E84" s="36" t="s">
        <v>3259</v>
      </c>
      <c r="J84" s="35"/>
    </row>
    <row r="85" spans="1:16" ht="28.8" x14ac:dyDescent="0.3">
      <c r="A85" s="27" t="s">
        <v>103</v>
      </c>
      <c r="B85" s="34"/>
      <c r="E85" s="36" t="s">
        <v>3260</v>
      </c>
      <c r="J85" s="35"/>
    </row>
    <row r="86" spans="1:16" ht="28.8" x14ac:dyDescent="0.3">
      <c r="A86" s="27" t="s">
        <v>103</v>
      </c>
      <c r="B86" s="34"/>
      <c r="E86" s="36" t="s">
        <v>3261</v>
      </c>
      <c r="J86" s="35"/>
    </row>
    <row r="87" spans="1:16" ht="28.8" x14ac:dyDescent="0.3">
      <c r="A87" s="27" t="s">
        <v>103</v>
      </c>
      <c r="B87" s="34"/>
      <c r="E87" s="36" t="s">
        <v>3262</v>
      </c>
      <c r="J87" s="35"/>
    </row>
    <row r="88" spans="1:16" ht="28.8" x14ac:dyDescent="0.3">
      <c r="A88" s="27" t="s">
        <v>103</v>
      </c>
      <c r="B88" s="34"/>
      <c r="E88" s="36" t="s">
        <v>3263</v>
      </c>
      <c r="J88" s="35"/>
    </row>
    <row r="89" spans="1:16" ht="28.8" x14ac:dyDescent="0.3">
      <c r="A89" s="27" t="s">
        <v>103</v>
      </c>
      <c r="B89" s="34"/>
      <c r="E89" s="36" t="s">
        <v>3264</v>
      </c>
      <c r="J89" s="35"/>
    </row>
    <row r="90" spans="1:16" ht="28.8" x14ac:dyDescent="0.3">
      <c r="A90" s="27" t="s">
        <v>103</v>
      </c>
      <c r="B90" s="34"/>
      <c r="E90" s="36" t="s">
        <v>3265</v>
      </c>
      <c r="J90" s="35"/>
    </row>
    <row r="91" spans="1:16" ht="28.8" x14ac:dyDescent="0.3">
      <c r="A91" s="27" t="s">
        <v>103</v>
      </c>
      <c r="B91" s="34"/>
      <c r="E91" s="36" t="s">
        <v>3266</v>
      </c>
      <c r="J91" s="35"/>
    </row>
    <row r="92" spans="1:16" ht="28.8" x14ac:dyDescent="0.3">
      <c r="A92" s="27" t="s">
        <v>103</v>
      </c>
      <c r="B92" s="34"/>
      <c r="E92" s="36" t="s">
        <v>3267</v>
      </c>
      <c r="J92" s="35"/>
    </row>
    <row r="93" spans="1:16" ht="28.8" x14ac:dyDescent="0.3">
      <c r="A93" s="27" t="s">
        <v>103</v>
      </c>
      <c r="B93" s="34"/>
      <c r="E93" s="36" t="s">
        <v>3268</v>
      </c>
      <c r="J93" s="35"/>
    </row>
    <row r="94" spans="1:16" ht="28.8" x14ac:dyDescent="0.3">
      <c r="A94" s="27" t="s">
        <v>103</v>
      </c>
      <c r="B94" s="34"/>
      <c r="E94" s="36" t="s">
        <v>3269</v>
      </c>
      <c r="J94" s="35"/>
    </row>
    <row r="95" spans="1:16" x14ac:dyDescent="0.3">
      <c r="A95" s="27" t="s">
        <v>103</v>
      </c>
      <c r="B95" s="34"/>
      <c r="E95" s="36" t="s">
        <v>3270</v>
      </c>
      <c r="J95" s="35"/>
    </row>
    <row r="96" spans="1:16" ht="28.8" x14ac:dyDescent="0.3">
      <c r="A96" s="27" t="s">
        <v>103</v>
      </c>
      <c r="B96" s="34"/>
      <c r="E96" s="36" t="s">
        <v>3271</v>
      </c>
      <c r="J96" s="35"/>
    </row>
    <row r="97" spans="1:16" ht="28.8" x14ac:dyDescent="0.3">
      <c r="A97" s="27" t="s">
        <v>103</v>
      </c>
      <c r="B97" s="34"/>
      <c r="E97" s="36" t="s">
        <v>3272</v>
      </c>
      <c r="J97" s="35"/>
    </row>
    <row r="98" spans="1:16" ht="28.8" x14ac:dyDescent="0.3">
      <c r="A98" s="27" t="s">
        <v>103</v>
      </c>
      <c r="B98" s="34"/>
      <c r="E98" s="36" t="s">
        <v>3273</v>
      </c>
      <c r="J98" s="35"/>
    </row>
    <row r="99" spans="1:16" ht="28.8" x14ac:dyDescent="0.3">
      <c r="A99" s="27" t="s">
        <v>103</v>
      </c>
      <c r="B99" s="34"/>
      <c r="E99" s="36" t="s">
        <v>3274</v>
      </c>
      <c r="J99" s="35"/>
    </row>
    <row r="100" spans="1:16" x14ac:dyDescent="0.3">
      <c r="A100" s="27" t="s">
        <v>103</v>
      </c>
      <c r="B100" s="34"/>
      <c r="E100" s="36" t="s">
        <v>3275</v>
      </c>
      <c r="J100" s="35"/>
    </row>
    <row r="101" spans="1:16" ht="57.6" x14ac:dyDescent="0.3">
      <c r="A101" s="27" t="s">
        <v>105</v>
      </c>
      <c r="B101" s="34"/>
      <c r="E101" s="29" t="s">
        <v>765</v>
      </c>
      <c r="J101" s="35"/>
    </row>
    <row r="102" spans="1:16" x14ac:dyDescent="0.3">
      <c r="A102" s="27" t="s">
        <v>95</v>
      </c>
      <c r="B102" s="27">
        <v>7</v>
      </c>
      <c r="C102" s="28" t="s">
        <v>697</v>
      </c>
      <c r="D102" s="27" t="s">
        <v>121</v>
      </c>
      <c r="E102" s="29" t="s">
        <v>698</v>
      </c>
      <c r="F102" s="30" t="s">
        <v>229</v>
      </c>
      <c r="G102" s="31">
        <v>10.439</v>
      </c>
      <c r="H102" s="32">
        <v>0</v>
      </c>
      <c r="I102" s="32">
        <f>ROUND(10.439*H102,P4)</f>
        <v>0</v>
      </c>
      <c r="J102" s="30" t="s">
        <v>118</v>
      </c>
      <c r="O102" s="33">
        <f>I102*0.21</f>
        <v>0</v>
      </c>
      <c r="P102">
        <v>3</v>
      </c>
    </row>
    <row r="103" spans="1:16" ht="158.4" x14ac:dyDescent="0.3">
      <c r="A103" s="27" t="s">
        <v>101</v>
      </c>
      <c r="B103" s="34"/>
      <c r="E103" s="29" t="s">
        <v>3276</v>
      </c>
      <c r="J103" s="35"/>
    </row>
    <row r="104" spans="1:16" ht="28.8" x14ac:dyDescent="0.3">
      <c r="A104" s="27" t="s">
        <v>103</v>
      </c>
      <c r="B104" s="34"/>
      <c r="E104" s="36" t="s">
        <v>3277</v>
      </c>
      <c r="J104" s="35"/>
    </row>
    <row r="105" spans="1:16" ht="28.8" x14ac:dyDescent="0.3">
      <c r="A105" s="27" t="s">
        <v>103</v>
      </c>
      <c r="B105" s="34"/>
      <c r="E105" s="36" t="s">
        <v>3278</v>
      </c>
      <c r="J105" s="35"/>
    </row>
    <row r="106" spans="1:16" ht="28.8" x14ac:dyDescent="0.3">
      <c r="A106" s="27" t="s">
        <v>103</v>
      </c>
      <c r="B106" s="34"/>
      <c r="E106" s="36" t="s">
        <v>3279</v>
      </c>
      <c r="J106" s="35"/>
    </row>
    <row r="107" spans="1:16" ht="28.8" x14ac:dyDescent="0.3">
      <c r="A107" s="27" t="s">
        <v>103</v>
      </c>
      <c r="B107" s="34"/>
      <c r="E107" s="36" t="s">
        <v>3280</v>
      </c>
      <c r="J107" s="35"/>
    </row>
    <row r="108" spans="1:16" x14ac:dyDescent="0.3">
      <c r="A108" s="27" t="s">
        <v>103</v>
      </c>
      <c r="B108" s="34"/>
      <c r="E108" s="36" t="s">
        <v>3281</v>
      </c>
      <c r="J108" s="35"/>
    </row>
    <row r="109" spans="1:16" ht="57.6" x14ac:dyDescent="0.3">
      <c r="A109" s="27" t="s">
        <v>105</v>
      </c>
      <c r="B109" s="34"/>
      <c r="E109" s="29" t="s">
        <v>765</v>
      </c>
      <c r="J109" s="35"/>
    </row>
    <row r="110" spans="1:16" x14ac:dyDescent="0.3">
      <c r="A110" s="27" t="s">
        <v>95</v>
      </c>
      <c r="B110" s="27">
        <v>8</v>
      </c>
      <c r="C110" s="28" t="s">
        <v>1956</v>
      </c>
      <c r="D110" s="27" t="s">
        <v>97</v>
      </c>
      <c r="E110" s="29" t="s">
        <v>1957</v>
      </c>
      <c r="F110" s="30" t="s">
        <v>229</v>
      </c>
      <c r="G110" s="31">
        <v>1.3759999999999999</v>
      </c>
      <c r="H110" s="32">
        <v>0</v>
      </c>
      <c r="I110" s="32">
        <f>ROUND(1.376*H110,P4)</f>
        <v>0</v>
      </c>
      <c r="J110" s="30" t="s">
        <v>118</v>
      </c>
      <c r="O110" s="33">
        <f>I110*0.21</f>
        <v>0</v>
      </c>
      <c r="P110">
        <v>3</v>
      </c>
    </row>
    <row r="111" spans="1:16" ht="158.4" x14ac:dyDescent="0.3">
      <c r="A111" s="27" t="s">
        <v>101</v>
      </c>
      <c r="B111" s="34"/>
      <c r="E111" s="29" t="s">
        <v>3282</v>
      </c>
      <c r="J111" s="35"/>
    </row>
    <row r="112" spans="1:16" ht="28.8" x14ac:dyDescent="0.3">
      <c r="A112" s="27" t="s">
        <v>103</v>
      </c>
      <c r="B112" s="34"/>
      <c r="E112" s="36" t="s">
        <v>3283</v>
      </c>
      <c r="J112" s="35"/>
    </row>
    <row r="113" spans="1:16" ht="28.8" x14ac:dyDescent="0.3">
      <c r="A113" s="27" t="s">
        <v>103</v>
      </c>
      <c r="B113" s="34"/>
      <c r="E113" s="36" t="s">
        <v>3284</v>
      </c>
      <c r="J113" s="35"/>
    </row>
    <row r="114" spans="1:16" x14ac:dyDescent="0.3">
      <c r="A114" s="27" t="s">
        <v>103</v>
      </c>
      <c r="B114" s="34"/>
      <c r="E114" s="36" t="s">
        <v>3285</v>
      </c>
      <c r="J114" s="35"/>
    </row>
    <row r="115" spans="1:16" ht="115.2" x14ac:dyDescent="0.3">
      <c r="A115" s="27" t="s">
        <v>105</v>
      </c>
      <c r="B115" s="34"/>
      <c r="E115" s="29" t="s">
        <v>989</v>
      </c>
      <c r="J115" s="35"/>
    </row>
    <row r="116" spans="1:16" x14ac:dyDescent="0.3">
      <c r="A116" s="27" t="s">
        <v>95</v>
      </c>
      <c r="B116" s="27">
        <v>9</v>
      </c>
      <c r="C116" s="28" t="s">
        <v>1956</v>
      </c>
      <c r="D116" s="27" t="s">
        <v>107</v>
      </c>
      <c r="E116" s="29" t="s">
        <v>1957</v>
      </c>
      <c r="F116" s="30" t="s">
        <v>229</v>
      </c>
      <c r="G116" s="31">
        <v>2.5619999999999998</v>
      </c>
      <c r="H116" s="32">
        <v>0</v>
      </c>
      <c r="I116" s="32">
        <f>ROUND(0.426*H116,P4)+ROUND(2.136*H116,P4)</f>
        <v>0</v>
      </c>
      <c r="J116" s="30" t="s">
        <v>118</v>
      </c>
      <c r="O116" s="33">
        <f>I116*0.21</f>
        <v>0</v>
      </c>
      <c r="P116">
        <v>3</v>
      </c>
    </row>
    <row r="117" spans="1:16" ht="158.4" x14ac:dyDescent="0.3">
      <c r="A117" s="27" t="s">
        <v>101</v>
      </c>
      <c r="B117" s="34"/>
      <c r="E117" s="29" t="s">
        <v>3286</v>
      </c>
      <c r="J117" s="35"/>
    </row>
    <row r="118" spans="1:16" ht="28.8" x14ac:dyDescent="0.3">
      <c r="A118" s="27" t="s">
        <v>103</v>
      </c>
      <c r="B118" s="34"/>
      <c r="E118" s="36" t="s">
        <v>3287</v>
      </c>
      <c r="J118" s="35"/>
    </row>
    <row r="119" spans="1:16" ht="28.8" x14ac:dyDescent="0.3">
      <c r="A119" s="27" t="s">
        <v>103</v>
      </c>
      <c r="B119" s="34"/>
      <c r="E119" s="36" t="s">
        <v>3288</v>
      </c>
      <c r="J119" s="35"/>
    </row>
    <row r="120" spans="1:16" ht="28.8" x14ac:dyDescent="0.3">
      <c r="A120" s="27" t="s">
        <v>103</v>
      </c>
      <c r="B120" s="34"/>
      <c r="E120" s="36" t="s">
        <v>3289</v>
      </c>
      <c r="J120" s="35"/>
    </row>
    <row r="121" spans="1:16" ht="28.8" x14ac:dyDescent="0.3">
      <c r="A121" s="27" t="s">
        <v>103</v>
      </c>
      <c r="B121" s="34"/>
      <c r="E121" s="36" t="s">
        <v>3290</v>
      </c>
      <c r="J121" s="35"/>
    </row>
    <row r="122" spans="1:16" x14ac:dyDescent="0.3">
      <c r="A122" s="27" t="s">
        <v>103</v>
      </c>
      <c r="B122" s="34"/>
      <c r="E122" s="36" t="s">
        <v>3291</v>
      </c>
      <c r="J122" s="35"/>
    </row>
    <row r="123" spans="1:16" ht="28.8" x14ac:dyDescent="0.3">
      <c r="A123" s="27" t="s">
        <v>103</v>
      </c>
      <c r="B123" s="34"/>
      <c r="E123" s="36" t="s">
        <v>3292</v>
      </c>
      <c r="J123" s="35"/>
    </row>
    <row r="124" spans="1:16" ht="28.8" x14ac:dyDescent="0.3">
      <c r="A124" s="27" t="s">
        <v>103</v>
      </c>
      <c r="B124" s="34"/>
      <c r="E124" s="36" t="s">
        <v>3293</v>
      </c>
      <c r="J124" s="35"/>
    </row>
    <row r="125" spans="1:16" ht="28.8" x14ac:dyDescent="0.3">
      <c r="A125" s="27" t="s">
        <v>103</v>
      </c>
      <c r="B125" s="34"/>
      <c r="E125" s="36" t="s">
        <v>3294</v>
      </c>
      <c r="J125" s="35"/>
    </row>
    <row r="126" spans="1:16" ht="28.8" x14ac:dyDescent="0.3">
      <c r="A126" s="27" t="s">
        <v>103</v>
      </c>
      <c r="B126" s="34"/>
      <c r="E126" s="36" t="s">
        <v>3295</v>
      </c>
      <c r="J126" s="35"/>
    </row>
    <row r="127" spans="1:16" x14ac:dyDescent="0.3">
      <c r="A127" s="27" t="s">
        <v>103</v>
      </c>
      <c r="B127" s="34"/>
      <c r="E127" s="36" t="s">
        <v>3296</v>
      </c>
      <c r="J127" s="35"/>
    </row>
    <row r="128" spans="1:16" ht="115.2" x14ac:dyDescent="0.3">
      <c r="A128" s="27" t="s">
        <v>105</v>
      </c>
      <c r="B128" s="34"/>
      <c r="E128" s="29" t="s">
        <v>989</v>
      </c>
      <c r="J128" s="35"/>
    </row>
    <row r="129" spans="1:16" x14ac:dyDescent="0.3">
      <c r="A129" s="27" t="s">
        <v>95</v>
      </c>
      <c r="B129" s="27">
        <v>10</v>
      </c>
      <c r="C129" s="28" t="s">
        <v>990</v>
      </c>
      <c r="D129" s="27" t="s">
        <v>97</v>
      </c>
      <c r="E129" s="29" t="s">
        <v>991</v>
      </c>
      <c r="F129" s="30" t="s">
        <v>248</v>
      </c>
      <c r="G129" s="31">
        <v>74.631</v>
      </c>
      <c r="H129" s="32">
        <v>0</v>
      </c>
      <c r="I129" s="32">
        <f>ROUND(74.631*H129,P4)</f>
        <v>0</v>
      </c>
      <c r="J129" s="30" t="s">
        <v>118</v>
      </c>
      <c r="O129" s="33">
        <f>I129*0.21</f>
        <v>0</v>
      </c>
      <c r="P129">
        <v>3</v>
      </c>
    </row>
    <row r="130" spans="1:16" ht="158.4" x14ac:dyDescent="0.3">
      <c r="A130" s="27" t="s">
        <v>101</v>
      </c>
      <c r="B130" s="34"/>
      <c r="E130" s="29" t="s">
        <v>2814</v>
      </c>
      <c r="J130" s="35"/>
    </row>
    <row r="131" spans="1:16" ht="28.8" x14ac:dyDescent="0.3">
      <c r="A131" s="27" t="s">
        <v>103</v>
      </c>
      <c r="B131" s="34"/>
      <c r="E131" s="36" t="s">
        <v>3297</v>
      </c>
      <c r="J131" s="35"/>
    </row>
    <row r="132" spans="1:16" ht="28.8" x14ac:dyDescent="0.3">
      <c r="A132" s="27" t="s">
        <v>103</v>
      </c>
      <c r="B132" s="34"/>
      <c r="E132" s="36" t="s">
        <v>3298</v>
      </c>
      <c r="J132" s="35"/>
    </row>
    <row r="133" spans="1:16" ht="28.8" x14ac:dyDescent="0.3">
      <c r="A133" s="27" t="s">
        <v>103</v>
      </c>
      <c r="B133" s="34"/>
      <c r="E133" s="36" t="s">
        <v>3299</v>
      </c>
      <c r="J133" s="35"/>
    </row>
    <row r="134" spans="1:16" x14ac:dyDescent="0.3">
      <c r="A134" s="27" t="s">
        <v>103</v>
      </c>
      <c r="B134" s="34"/>
      <c r="E134" s="36" t="s">
        <v>3300</v>
      </c>
      <c r="J134" s="35"/>
    </row>
    <row r="135" spans="1:16" ht="72" x14ac:dyDescent="0.3">
      <c r="A135" s="27" t="s">
        <v>105</v>
      </c>
      <c r="B135" s="34"/>
      <c r="E135" s="29" t="s">
        <v>997</v>
      </c>
      <c r="J135" s="35"/>
    </row>
    <row r="136" spans="1:16" x14ac:dyDescent="0.3">
      <c r="A136" s="27" t="s">
        <v>95</v>
      </c>
      <c r="B136" s="27">
        <v>11</v>
      </c>
      <c r="C136" s="28" t="s">
        <v>1012</v>
      </c>
      <c r="D136" s="27" t="s">
        <v>107</v>
      </c>
      <c r="E136" s="29" t="s">
        <v>1013</v>
      </c>
      <c r="F136" s="30" t="s">
        <v>229</v>
      </c>
      <c r="G136" s="31">
        <v>3.403</v>
      </c>
      <c r="H136" s="32">
        <v>0</v>
      </c>
      <c r="I136" s="32">
        <f>ROUND(3.403*H136,P4)</f>
        <v>0</v>
      </c>
      <c r="J136" s="30" t="s">
        <v>100</v>
      </c>
      <c r="O136" s="33">
        <f>I136*0.21</f>
        <v>0</v>
      </c>
      <c r="P136">
        <v>3</v>
      </c>
    </row>
    <row r="137" spans="1:16" ht="158.4" x14ac:dyDescent="0.3">
      <c r="A137" s="27" t="s">
        <v>101</v>
      </c>
      <c r="B137" s="34"/>
      <c r="E137" s="29" t="s">
        <v>3301</v>
      </c>
      <c r="J137" s="35"/>
    </row>
    <row r="138" spans="1:16" ht="28.8" x14ac:dyDescent="0.3">
      <c r="A138" s="27" t="s">
        <v>103</v>
      </c>
      <c r="B138" s="34"/>
      <c r="E138" s="36" t="s">
        <v>3302</v>
      </c>
      <c r="J138" s="35"/>
    </row>
    <row r="139" spans="1:16" ht="28.8" x14ac:dyDescent="0.3">
      <c r="A139" s="27" t="s">
        <v>103</v>
      </c>
      <c r="B139" s="34"/>
      <c r="E139" s="36" t="s">
        <v>3303</v>
      </c>
      <c r="J139" s="35"/>
    </row>
    <row r="140" spans="1:16" ht="28.8" x14ac:dyDescent="0.3">
      <c r="A140" s="27" t="s">
        <v>103</v>
      </c>
      <c r="B140" s="34"/>
      <c r="E140" s="36" t="s">
        <v>3304</v>
      </c>
      <c r="J140" s="35"/>
    </row>
    <row r="141" spans="1:16" ht="28.8" x14ac:dyDescent="0.3">
      <c r="A141" s="27" t="s">
        <v>103</v>
      </c>
      <c r="B141" s="34"/>
      <c r="E141" s="36" t="s">
        <v>3305</v>
      </c>
      <c r="J141" s="35"/>
    </row>
    <row r="142" spans="1:16" ht="28.8" x14ac:dyDescent="0.3">
      <c r="A142" s="27" t="s">
        <v>103</v>
      </c>
      <c r="B142" s="34"/>
      <c r="E142" s="36" t="s">
        <v>3306</v>
      </c>
      <c r="J142" s="35"/>
    </row>
    <row r="143" spans="1:16" ht="28.8" x14ac:dyDescent="0.3">
      <c r="A143" s="27" t="s">
        <v>103</v>
      </c>
      <c r="B143" s="34"/>
      <c r="E143" s="36" t="s">
        <v>3307</v>
      </c>
      <c r="J143" s="35"/>
    </row>
    <row r="144" spans="1:16" ht="28.8" x14ac:dyDescent="0.3">
      <c r="A144" s="27" t="s">
        <v>103</v>
      </c>
      <c r="B144" s="34"/>
      <c r="E144" s="36" t="s">
        <v>3308</v>
      </c>
      <c r="J144" s="35"/>
    </row>
    <row r="145" spans="1:16" ht="28.8" x14ac:dyDescent="0.3">
      <c r="A145" s="27" t="s">
        <v>103</v>
      </c>
      <c r="B145" s="34"/>
      <c r="E145" s="36" t="s">
        <v>3309</v>
      </c>
      <c r="J145" s="35"/>
    </row>
    <row r="146" spans="1:16" x14ac:dyDescent="0.3">
      <c r="A146" s="27" t="s">
        <v>103</v>
      </c>
      <c r="B146" s="34"/>
      <c r="E146" s="36" t="s">
        <v>3310</v>
      </c>
      <c r="J146" s="35"/>
    </row>
    <row r="147" spans="1:16" ht="187.2" x14ac:dyDescent="0.3">
      <c r="A147" s="27" t="s">
        <v>105</v>
      </c>
      <c r="B147" s="34"/>
      <c r="E147" s="29" t="s">
        <v>1066</v>
      </c>
      <c r="J147" s="35"/>
    </row>
    <row r="148" spans="1:16" x14ac:dyDescent="0.3">
      <c r="A148" s="27" t="s">
        <v>95</v>
      </c>
      <c r="B148" s="27">
        <v>12</v>
      </c>
      <c r="C148" s="28" t="s">
        <v>3311</v>
      </c>
      <c r="D148" s="27" t="s">
        <v>129</v>
      </c>
      <c r="E148" s="29" t="s">
        <v>3312</v>
      </c>
      <c r="F148" s="30" t="s">
        <v>248</v>
      </c>
      <c r="G148" s="31">
        <v>10.221</v>
      </c>
      <c r="H148" s="32">
        <v>0</v>
      </c>
      <c r="I148" s="32">
        <f>ROUND(10.221*H148,P4)</f>
        <v>0</v>
      </c>
      <c r="J148" s="30" t="s">
        <v>118</v>
      </c>
      <c r="O148" s="33">
        <f>I148*0.21</f>
        <v>0</v>
      </c>
      <c r="P148">
        <v>3</v>
      </c>
    </row>
    <row r="149" spans="1:16" ht="187.2" x14ac:dyDescent="0.3">
      <c r="A149" s="27" t="s">
        <v>101</v>
      </c>
      <c r="B149" s="34"/>
      <c r="E149" s="29" t="s">
        <v>3313</v>
      </c>
      <c r="J149" s="35"/>
    </row>
    <row r="150" spans="1:16" ht="28.8" x14ac:dyDescent="0.3">
      <c r="A150" s="27" t="s">
        <v>103</v>
      </c>
      <c r="B150" s="34"/>
      <c r="E150" s="36" t="s">
        <v>3314</v>
      </c>
      <c r="J150" s="35"/>
    </row>
    <row r="151" spans="1:16" x14ac:dyDescent="0.3">
      <c r="A151" s="27" t="s">
        <v>103</v>
      </c>
      <c r="B151" s="34"/>
      <c r="E151" s="36" t="s">
        <v>3315</v>
      </c>
      <c r="J151" s="35"/>
    </row>
    <row r="152" spans="1:16" ht="187.2" x14ac:dyDescent="0.3">
      <c r="A152" s="27" t="s">
        <v>105</v>
      </c>
      <c r="B152" s="34"/>
      <c r="E152" s="29" t="s">
        <v>3316</v>
      </c>
      <c r="J152" s="35"/>
    </row>
    <row r="153" spans="1:16" x14ac:dyDescent="0.3">
      <c r="A153" s="27" t="s">
        <v>95</v>
      </c>
      <c r="B153" s="27">
        <v>13</v>
      </c>
      <c r="C153" s="28" t="s">
        <v>3317</v>
      </c>
      <c r="D153" s="27" t="s">
        <v>129</v>
      </c>
      <c r="E153" s="29" t="s">
        <v>3318</v>
      </c>
      <c r="F153" s="30" t="s">
        <v>248</v>
      </c>
      <c r="G153" s="31">
        <v>102.72799999999999</v>
      </c>
      <c r="H153" s="32">
        <v>0</v>
      </c>
      <c r="I153" s="32">
        <f>ROUND(102.728*H153,P4)</f>
        <v>0</v>
      </c>
      <c r="J153" s="30" t="s">
        <v>118</v>
      </c>
      <c r="O153" s="33">
        <f>I153*0.21</f>
        <v>0</v>
      </c>
      <c r="P153">
        <v>3</v>
      </c>
    </row>
    <row r="154" spans="1:16" ht="172.8" x14ac:dyDescent="0.3">
      <c r="A154" s="27" t="s">
        <v>101</v>
      </c>
      <c r="B154" s="34"/>
      <c r="E154" s="29" t="s">
        <v>3319</v>
      </c>
      <c r="J154" s="35"/>
    </row>
    <row r="155" spans="1:16" ht="28.8" x14ac:dyDescent="0.3">
      <c r="A155" s="27" t="s">
        <v>103</v>
      </c>
      <c r="B155" s="34"/>
      <c r="E155" s="36" t="s">
        <v>3320</v>
      </c>
      <c r="J155" s="35"/>
    </row>
    <row r="156" spans="1:16" ht="28.8" x14ac:dyDescent="0.3">
      <c r="A156" s="27" t="s">
        <v>103</v>
      </c>
      <c r="B156" s="34"/>
      <c r="E156" s="36" t="s">
        <v>3321</v>
      </c>
      <c r="J156" s="35"/>
    </row>
    <row r="157" spans="1:16" ht="28.8" x14ac:dyDescent="0.3">
      <c r="A157" s="27" t="s">
        <v>103</v>
      </c>
      <c r="B157" s="34"/>
      <c r="E157" s="36" t="s">
        <v>3322</v>
      </c>
      <c r="J157" s="35"/>
    </row>
    <row r="158" spans="1:16" ht="28.8" x14ac:dyDescent="0.3">
      <c r="A158" s="27" t="s">
        <v>103</v>
      </c>
      <c r="B158" s="34"/>
      <c r="E158" s="36" t="s">
        <v>3323</v>
      </c>
      <c r="J158" s="35"/>
    </row>
    <row r="159" spans="1:16" x14ac:dyDescent="0.3">
      <c r="A159" s="27" t="s">
        <v>103</v>
      </c>
      <c r="B159" s="34"/>
      <c r="E159" s="36" t="s">
        <v>3324</v>
      </c>
      <c r="J159" s="35"/>
    </row>
    <row r="160" spans="1:16" ht="187.2" x14ac:dyDescent="0.3">
      <c r="A160" s="27" t="s">
        <v>105</v>
      </c>
      <c r="B160" s="34"/>
      <c r="E160" s="29" t="s">
        <v>3316</v>
      </c>
      <c r="J160" s="35"/>
    </row>
    <row r="161" spans="1:16" x14ac:dyDescent="0.3">
      <c r="A161" s="27" t="s">
        <v>95</v>
      </c>
      <c r="B161" s="27">
        <v>14</v>
      </c>
      <c r="C161" s="28" t="s">
        <v>3325</v>
      </c>
      <c r="D161" s="27" t="s">
        <v>129</v>
      </c>
      <c r="E161" s="29" t="s">
        <v>3326</v>
      </c>
      <c r="F161" s="30" t="s">
        <v>248</v>
      </c>
      <c r="G161" s="31">
        <v>42.25</v>
      </c>
      <c r="H161" s="32">
        <v>0</v>
      </c>
      <c r="I161" s="32">
        <f>ROUND(42.25*H161,P4)</f>
        <v>0</v>
      </c>
      <c r="J161" s="30" t="s">
        <v>118</v>
      </c>
      <c r="O161" s="33">
        <f>I161*0.21</f>
        <v>0</v>
      </c>
      <c r="P161">
        <v>3</v>
      </c>
    </row>
    <row r="162" spans="1:16" ht="172.8" x14ac:dyDescent="0.3">
      <c r="A162" s="27" t="s">
        <v>101</v>
      </c>
      <c r="B162" s="34"/>
      <c r="E162" s="29" t="s">
        <v>3327</v>
      </c>
      <c r="J162" s="35"/>
    </row>
    <row r="163" spans="1:16" ht="28.8" x14ac:dyDescent="0.3">
      <c r="A163" s="27" t="s">
        <v>103</v>
      </c>
      <c r="B163" s="34"/>
      <c r="E163" s="36" t="s">
        <v>3328</v>
      </c>
      <c r="J163" s="35"/>
    </row>
    <row r="164" spans="1:16" ht="28.8" x14ac:dyDescent="0.3">
      <c r="A164" s="27" t="s">
        <v>103</v>
      </c>
      <c r="B164" s="34"/>
      <c r="E164" s="36" t="s">
        <v>3329</v>
      </c>
      <c r="J164" s="35"/>
    </row>
    <row r="165" spans="1:16" ht="28.8" x14ac:dyDescent="0.3">
      <c r="A165" s="27" t="s">
        <v>103</v>
      </c>
      <c r="B165" s="34"/>
      <c r="E165" s="36" t="s">
        <v>3330</v>
      </c>
      <c r="J165" s="35"/>
    </row>
    <row r="166" spans="1:16" ht="28.8" x14ac:dyDescent="0.3">
      <c r="A166" s="27" t="s">
        <v>103</v>
      </c>
      <c r="B166" s="34"/>
      <c r="E166" s="36" t="s">
        <v>3331</v>
      </c>
      <c r="J166" s="35"/>
    </row>
    <row r="167" spans="1:16" ht="28.8" x14ac:dyDescent="0.3">
      <c r="A167" s="27" t="s">
        <v>103</v>
      </c>
      <c r="B167" s="34"/>
      <c r="E167" s="36" t="s">
        <v>3332</v>
      </c>
      <c r="J167" s="35"/>
    </row>
    <row r="168" spans="1:16" ht="28.8" x14ac:dyDescent="0.3">
      <c r="A168" s="27" t="s">
        <v>103</v>
      </c>
      <c r="B168" s="34"/>
      <c r="E168" s="36" t="s">
        <v>3333</v>
      </c>
      <c r="J168" s="35"/>
    </row>
    <row r="169" spans="1:16" ht="28.8" x14ac:dyDescent="0.3">
      <c r="A169" s="27" t="s">
        <v>103</v>
      </c>
      <c r="B169" s="34"/>
      <c r="E169" s="36" t="s">
        <v>3334</v>
      </c>
      <c r="J169" s="35"/>
    </row>
    <row r="170" spans="1:16" x14ac:dyDescent="0.3">
      <c r="A170" s="27" t="s">
        <v>103</v>
      </c>
      <c r="B170" s="34"/>
      <c r="E170" s="36" t="s">
        <v>3335</v>
      </c>
      <c r="J170" s="35"/>
    </row>
    <row r="171" spans="1:16" ht="187.2" x14ac:dyDescent="0.3">
      <c r="A171" s="27" t="s">
        <v>105</v>
      </c>
      <c r="B171" s="34"/>
      <c r="E171" s="29" t="s">
        <v>3316</v>
      </c>
      <c r="J171" s="35"/>
    </row>
    <row r="172" spans="1:16" x14ac:dyDescent="0.3">
      <c r="A172" s="21" t="s">
        <v>92</v>
      </c>
      <c r="B172" s="22"/>
      <c r="C172" s="23" t="s">
        <v>252</v>
      </c>
      <c r="D172" s="24"/>
      <c r="E172" s="21" t="s">
        <v>253</v>
      </c>
      <c r="F172" s="24"/>
      <c r="G172" s="24"/>
      <c r="H172" s="24"/>
      <c r="I172" s="25">
        <f>SUMIFS(I173:I228,A173:A228,"P")</f>
        <v>0</v>
      </c>
      <c r="J172" s="26"/>
    </row>
    <row r="173" spans="1:16" ht="28.8" x14ac:dyDescent="0.3">
      <c r="A173" s="27" t="s">
        <v>95</v>
      </c>
      <c r="B173" s="27">
        <v>15</v>
      </c>
      <c r="C173" s="28" t="s">
        <v>3336</v>
      </c>
      <c r="D173" s="27" t="s">
        <v>129</v>
      </c>
      <c r="E173" s="29" t="s">
        <v>3337</v>
      </c>
      <c r="F173" s="30" t="s">
        <v>237</v>
      </c>
      <c r="G173" s="31">
        <v>23.36</v>
      </c>
      <c r="H173" s="32">
        <v>0</v>
      </c>
      <c r="I173" s="32">
        <f>ROUND(23.36*H173,P4)</f>
        <v>0</v>
      </c>
      <c r="J173" s="30" t="s">
        <v>118</v>
      </c>
      <c r="O173" s="33">
        <f>I173*0.21</f>
        <v>0</v>
      </c>
      <c r="P173">
        <v>3</v>
      </c>
    </row>
    <row r="174" spans="1:16" ht="288" x14ac:dyDescent="0.3">
      <c r="A174" s="27" t="s">
        <v>101</v>
      </c>
      <c r="B174" s="34"/>
      <c r="E174" s="29" t="s">
        <v>3338</v>
      </c>
      <c r="J174" s="35"/>
    </row>
    <row r="175" spans="1:16" x14ac:dyDescent="0.3">
      <c r="A175" s="27" t="s">
        <v>103</v>
      </c>
      <c r="B175" s="34"/>
      <c r="E175" s="36" t="s">
        <v>3339</v>
      </c>
      <c r="J175" s="35"/>
    </row>
    <row r="176" spans="1:16" x14ac:dyDescent="0.3">
      <c r="A176" s="27" t="s">
        <v>103</v>
      </c>
      <c r="B176" s="34"/>
      <c r="E176" s="36" t="s">
        <v>3340</v>
      </c>
      <c r="J176" s="35"/>
    </row>
    <row r="177" spans="1:16" x14ac:dyDescent="0.3">
      <c r="A177" s="27" t="s">
        <v>103</v>
      </c>
      <c r="B177" s="34"/>
      <c r="E177" s="36" t="s">
        <v>3341</v>
      </c>
      <c r="J177" s="35"/>
    </row>
    <row r="178" spans="1:16" x14ac:dyDescent="0.3">
      <c r="A178" s="27" t="s">
        <v>103</v>
      </c>
      <c r="B178" s="34"/>
      <c r="E178" s="36" t="s">
        <v>3342</v>
      </c>
      <c r="J178" s="35"/>
    </row>
    <row r="179" spans="1:16" x14ac:dyDescent="0.3">
      <c r="A179" s="27" t="s">
        <v>103</v>
      </c>
      <c r="B179" s="34"/>
      <c r="E179" s="36" t="s">
        <v>3343</v>
      </c>
      <c r="J179" s="35"/>
    </row>
    <row r="180" spans="1:16" x14ac:dyDescent="0.3">
      <c r="A180" s="27" t="s">
        <v>103</v>
      </c>
      <c r="B180" s="34"/>
      <c r="E180" s="36" t="s">
        <v>3344</v>
      </c>
      <c r="J180" s="35"/>
    </row>
    <row r="181" spans="1:16" x14ac:dyDescent="0.3">
      <c r="A181" s="27" t="s">
        <v>103</v>
      </c>
      <c r="B181" s="34"/>
      <c r="E181" s="36" t="s">
        <v>3345</v>
      </c>
      <c r="J181" s="35"/>
    </row>
    <row r="182" spans="1:16" x14ac:dyDescent="0.3">
      <c r="A182" s="27" t="s">
        <v>103</v>
      </c>
      <c r="B182" s="34"/>
      <c r="E182" s="36" t="s">
        <v>3346</v>
      </c>
      <c r="J182" s="35"/>
    </row>
    <row r="183" spans="1:16" x14ac:dyDescent="0.3">
      <c r="A183" s="27" t="s">
        <v>103</v>
      </c>
      <c r="B183" s="34"/>
      <c r="E183" s="36" t="s">
        <v>3347</v>
      </c>
      <c r="J183" s="35"/>
    </row>
    <row r="184" spans="1:16" x14ac:dyDescent="0.3">
      <c r="A184" s="27" t="s">
        <v>103</v>
      </c>
      <c r="B184" s="34"/>
      <c r="E184" s="36" t="s">
        <v>3348</v>
      </c>
      <c r="J184" s="35"/>
    </row>
    <row r="185" spans="1:16" x14ac:dyDescent="0.3">
      <c r="A185" s="27" t="s">
        <v>103</v>
      </c>
      <c r="B185" s="34"/>
      <c r="E185" s="36" t="s">
        <v>3349</v>
      </c>
      <c r="J185" s="35"/>
    </row>
    <row r="186" spans="1:16" ht="57.6" x14ac:dyDescent="0.3">
      <c r="A186" s="27" t="s">
        <v>105</v>
      </c>
      <c r="B186" s="34"/>
      <c r="E186" s="29" t="s">
        <v>2894</v>
      </c>
      <c r="J186" s="35"/>
    </row>
    <row r="187" spans="1:16" ht="28.8" x14ac:dyDescent="0.3">
      <c r="A187" s="27" t="s">
        <v>95</v>
      </c>
      <c r="B187" s="27">
        <v>16</v>
      </c>
      <c r="C187" s="28" t="s">
        <v>2870</v>
      </c>
      <c r="D187" s="27" t="s">
        <v>97</v>
      </c>
      <c r="E187" s="29" t="s">
        <v>2871</v>
      </c>
      <c r="F187" s="30" t="s">
        <v>237</v>
      </c>
      <c r="G187" s="31">
        <v>67.040000000000006</v>
      </c>
      <c r="H187" s="32">
        <v>0</v>
      </c>
      <c r="I187" s="32">
        <f>ROUND(67.04*H187,P4)</f>
        <v>0</v>
      </c>
      <c r="J187" s="30" t="s">
        <v>118</v>
      </c>
      <c r="O187" s="33">
        <f>I187*0.21</f>
        <v>0</v>
      </c>
      <c r="P187">
        <v>3</v>
      </c>
    </row>
    <row r="188" spans="1:16" ht="288" x14ac:dyDescent="0.3">
      <c r="A188" s="27" t="s">
        <v>101</v>
      </c>
      <c r="B188" s="34"/>
      <c r="E188" s="29" t="s">
        <v>2872</v>
      </c>
      <c r="J188" s="35"/>
    </row>
    <row r="189" spans="1:16" x14ac:dyDescent="0.3">
      <c r="A189" s="27" t="s">
        <v>103</v>
      </c>
      <c r="B189" s="34"/>
      <c r="E189" s="36" t="s">
        <v>3350</v>
      </c>
      <c r="J189" s="35"/>
    </row>
    <row r="190" spans="1:16" x14ac:dyDescent="0.3">
      <c r="A190" s="27" t="s">
        <v>103</v>
      </c>
      <c r="B190" s="34"/>
      <c r="E190" s="36" t="s">
        <v>3351</v>
      </c>
      <c r="J190" s="35"/>
    </row>
    <row r="191" spans="1:16" x14ac:dyDescent="0.3">
      <c r="A191" s="27" t="s">
        <v>103</v>
      </c>
      <c r="B191" s="34"/>
      <c r="E191" s="36" t="s">
        <v>3352</v>
      </c>
      <c r="J191" s="35"/>
    </row>
    <row r="192" spans="1:16" x14ac:dyDescent="0.3">
      <c r="A192" s="27" t="s">
        <v>103</v>
      </c>
      <c r="B192" s="34"/>
      <c r="E192" s="36" t="s">
        <v>3353</v>
      </c>
      <c r="J192" s="35"/>
    </row>
    <row r="193" spans="1:16" ht="28.8" x14ac:dyDescent="0.3">
      <c r="A193" s="27" t="s">
        <v>103</v>
      </c>
      <c r="B193" s="34"/>
      <c r="E193" s="36" t="s">
        <v>3354</v>
      </c>
      <c r="J193" s="35"/>
    </row>
    <row r="194" spans="1:16" x14ac:dyDescent="0.3">
      <c r="A194" s="27" t="s">
        <v>103</v>
      </c>
      <c r="B194" s="34"/>
      <c r="E194" s="36" t="s">
        <v>3355</v>
      </c>
      <c r="J194" s="35"/>
    </row>
    <row r="195" spans="1:16" x14ac:dyDescent="0.3">
      <c r="A195" s="27" t="s">
        <v>103</v>
      </c>
      <c r="B195" s="34"/>
      <c r="E195" s="36" t="s">
        <v>3356</v>
      </c>
      <c r="J195" s="35"/>
    </row>
    <row r="196" spans="1:16" x14ac:dyDescent="0.3">
      <c r="A196" s="27" t="s">
        <v>103</v>
      </c>
      <c r="B196" s="34"/>
      <c r="E196" s="36" t="s">
        <v>3357</v>
      </c>
      <c r="J196" s="35"/>
    </row>
    <row r="197" spans="1:16" x14ac:dyDescent="0.3">
      <c r="A197" s="27" t="s">
        <v>103</v>
      </c>
      <c r="B197" s="34"/>
      <c r="E197" s="36" t="s">
        <v>3358</v>
      </c>
      <c r="J197" s="35"/>
    </row>
    <row r="198" spans="1:16" x14ac:dyDescent="0.3">
      <c r="A198" s="27" t="s">
        <v>103</v>
      </c>
      <c r="B198" s="34"/>
      <c r="E198" s="36" t="s">
        <v>3359</v>
      </c>
      <c r="J198" s="35"/>
    </row>
    <row r="199" spans="1:16" x14ac:dyDescent="0.3">
      <c r="A199" s="27" t="s">
        <v>103</v>
      </c>
      <c r="B199" s="34"/>
      <c r="E199" s="36" t="s">
        <v>3360</v>
      </c>
      <c r="J199" s="35"/>
    </row>
    <row r="200" spans="1:16" x14ac:dyDescent="0.3">
      <c r="A200" s="27" t="s">
        <v>103</v>
      </c>
      <c r="B200" s="34"/>
      <c r="E200" s="36" t="s">
        <v>3361</v>
      </c>
      <c r="J200" s="35"/>
    </row>
    <row r="201" spans="1:16" x14ac:dyDescent="0.3">
      <c r="A201" s="27" t="s">
        <v>103</v>
      </c>
      <c r="B201" s="34"/>
      <c r="E201" s="36" t="s">
        <v>3362</v>
      </c>
      <c r="J201" s="35"/>
    </row>
    <row r="202" spans="1:16" ht="28.8" x14ac:dyDescent="0.3">
      <c r="A202" s="27" t="s">
        <v>103</v>
      </c>
      <c r="B202" s="34"/>
      <c r="E202" s="36" t="s">
        <v>3363</v>
      </c>
      <c r="J202" s="35"/>
    </row>
    <row r="203" spans="1:16" x14ac:dyDescent="0.3">
      <c r="A203" s="27" t="s">
        <v>103</v>
      </c>
      <c r="B203" s="34"/>
      <c r="E203" s="36" t="s">
        <v>3364</v>
      </c>
      <c r="J203" s="35"/>
    </row>
    <row r="204" spans="1:16" ht="28.8" x14ac:dyDescent="0.3">
      <c r="A204" s="27" t="s">
        <v>103</v>
      </c>
      <c r="B204" s="34"/>
      <c r="E204" s="36" t="s">
        <v>3365</v>
      </c>
      <c r="J204" s="35"/>
    </row>
    <row r="205" spans="1:16" x14ac:dyDescent="0.3">
      <c r="A205" s="27" t="s">
        <v>103</v>
      </c>
      <c r="B205" s="34"/>
      <c r="E205" s="36" t="s">
        <v>3366</v>
      </c>
      <c r="J205" s="35"/>
    </row>
    <row r="206" spans="1:16" ht="57.6" x14ac:dyDescent="0.3">
      <c r="A206" s="27" t="s">
        <v>105</v>
      </c>
      <c r="B206" s="34"/>
      <c r="E206" s="29" t="s">
        <v>2894</v>
      </c>
      <c r="J206" s="35"/>
    </row>
    <row r="207" spans="1:16" ht="28.8" x14ac:dyDescent="0.3">
      <c r="A207" s="27" t="s">
        <v>95</v>
      </c>
      <c r="B207" s="27">
        <v>17</v>
      </c>
      <c r="C207" s="28" t="s">
        <v>2870</v>
      </c>
      <c r="D207" s="27" t="s">
        <v>107</v>
      </c>
      <c r="E207" s="29" t="s">
        <v>2871</v>
      </c>
      <c r="F207" s="30" t="s">
        <v>237</v>
      </c>
      <c r="G207" s="31">
        <v>4.5</v>
      </c>
      <c r="H207" s="32">
        <v>0</v>
      </c>
      <c r="I207" s="32">
        <f>ROUND(4.5*H207,P4)</f>
        <v>0</v>
      </c>
      <c r="J207" s="30" t="s">
        <v>118</v>
      </c>
      <c r="O207" s="33">
        <f>I207*0.21</f>
        <v>0</v>
      </c>
      <c r="P207">
        <v>3</v>
      </c>
    </row>
    <row r="208" spans="1:16" ht="288" x14ac:dyDescent="0.3">
      <c r="A208" s="27" t="s">
        <v>101</v>
      </c>
      <c r="B208" s="34"/>
      <c r="E208" s="29" t="s">
        <v>2895</v>
      </c>
      <c r="J208" s="35"/>
    </row>
    <row r="209" spans="1:16" x14ac:dyDescent="0.3">
      <c r="A209" s="27" t="s">
        <v>103</v>
      </c>
      <c r="B209" s="34"/>
      <c r="E209" s="36" t="s">
        <v>3367</v>
      </c>
      <c r="J209" s="35"/>
    </row>
    <row r="210" spans="1:16" x14ac:dyDescent="0.3">
      <c r="A210" s="27" t="s">
        <v>103</v>
      </c>
      <c r="B210" s="34"/>
      <c r="E210" s="36" t="s">
        <v>3368</v>
      </c>
      <c r="J210" s="35"/>
    </row>
    <row r="211" spans="1:16" x14ac:dyDescent="0.3">
      <c r="A211" s="27" t="s">
        <v>103</v>
      </c>
      <c r="B211" s="34"/>
      <c r="E211" s="36" t="s">
        <v>3369</v>
      </c>
      <c r="J211" s="35"/>
    </row>
    <row r="212" spans="1:16" x14ac:dyDescent="0.3">
      <c r="A212" s="27" t="s">
        <v>103</v>
      </c>
      <c r="B212" s="34"/>
      <c r="E212" s="36" t="s">
        <v>3370</v>
      </c>
      <c r="J212" s="35"/>
    </row>
    <row r="213" spans="1:16" x14ac:dyDescent="0.3">
      <c r="A213" s="27" t="s">
        <v>103</v>
      </c>
      <c r="B213" s="34"/>
      <c r="E213" s="36" t="s">
        <v>3371</v>
      </c>
      <c r="J213" s="35"/>
    </row>
    <row r="214" spans="1:16" ht="57.6" x14ac:dyDescent="0.3">
      <c r="A214" s="27" t="s">
        <v>105</v>
      </c>
      <c r="B214" s="34"/>
      <c r="E214" s="29" t="s">
        <v>2894</v>
      </c>
      <c r="J214" s="35"/>
    </row>
    <row r="215" spans="1:16" x14ac:dyDescent="0.3">
      <c r="A215" s="27" t="s">
        <v>95</v>
      </c>
      <c r="B215" s="27">
        <v>18</v>
      </c>
      <c r="C215" s="28" t="s">
        <v>1217</v>
      </c>
      <c r="D215" s="27" t="s">
        <v>129</v>
      </c>
      <c r="E215" s="29" t="s">
        <v>1218</v>
      </c>
      <c r="F215" s="30" t="s">
        <v>237</v>
      </c>
      <c r="G215" s="31">
        <v>9.3800000000000008</v>
      </c>
      <c r="H215" s="32">
        <v>0</v>
      </c>
      <c r="I215" s="32">
        <f>ROUND(9.38*H215,P4)</f>
        <v>0</v>
      </c>
      <c r="J215" s="30" t="s">
        <v>118</v>
      </c>
      <c r="O215" s="33">
        <f>I215*0.21</f>
        <v>0</v>
      </c>
      <c r="P215">
        <v>3</v>
      </c>
    </row>
    <row r="216" spans="1:16" ht="172.8" x14ac:dyDescent="0.3">
      <c r="A216" s="27" t="s">
        <v>101</v>
      </c>
      <c r="B216" s="34"/>
      <c r="E216" s="29" t="s">
        <v>2922</v>
      </c>
      <c r="J216" s="35"/>
    </row>
    <row r="217" spans="1:16" x14ac:dyDescent="0.3">
      <c r="A217" s="27" t="s">
        <v>103</v>
      </c>
      <c r="B217" s="34"/>
      <c r="E217" s="36" t="s">
        <v>3372</v>
      </c>
      <c r="J217" s="35"/>
    </row>
    <row r="218" spans="1:16" x14ac:dyDescent="0.3">
      <c r="A218" s="27" t="s">
        <v>103</v>
      </c>
      <c r="B218" s="34"/>
      <c r="E218" s="36" t="s">
        <v>3373</v>
      </c>
      <c r="J218" s="35"/>
    </row>
    <row r="219" spans="1:16" x14ac:dyDescent="0.3">
      <c r="A219" s="27" t="s">
        <v>103</v>
      </c>
      <c r="B219" s="34"/>
      <c r="E219" s="36" t="s">
        <v>3374</v>
      </c>
      <c r="J219" s="35"/>
    </row>
    <row r="220" spans="1:16" x14ac:dyDescent="0.3">
      <c r="A220" s="27" t="s">
        <v>103</v>
      </c>
      <c r="B220" s="34"/>
      <c r="E220" s="36" t="s">
        <v>3375</v>
      </c>
      <c r="J220" s="35"/>
    </row>
    <row r="221" spans="1:16" ht="28.8" x14ac:dyDescent="0.3">
      <c r="A221" s="27" t="s">
        <v>105</v>
      </c>
      <c r="B221" s="34"/>
      <c r="E221" s="29" t="s">
        <v>1241</v>
      </c>
      <c r="J221" s="35"/>
    </row>
    <row r="222" spans="1:16" x14ac:dyDescent="0.3">
      <c r="A222" s="27" t="s">
        <v>95</v>
      </c>
      <c r="B222" s="27">
        <v>19</v>
      </c>
      <c r="C222" s="28" t="s">
        <v>1242</v>
      </c>
      <c r="D222" s="27" t="s">
        <v>129</v>
      </c>
      <c r="E222" s="29" t="s">
        <v>1243</v>
      </c>
      <c r="F222" s="30" t="s">
        <v>237</v>
      </c>
      <c r="G222" s="31">
        <v>9.3800000000000008</v>
      </c>
      <c r="H222" s="32">
        <v>0</v>
      </c>
      <c r="I222" s="32">
        <f>ROUND(9.38*H222,P4)</f>
        <v>0</v>
      </c>
      <c r="J222" s="30" t="s">
        <v>118</v>
      </c>
      <c r="O222" s="33">
        <f>I222*0.21</f>
        <v>0</v>
      </c>
      <c r="P222">
        <v>3</v>
      </c>
    </row>
    <row r="223" spans="1:16" ht="172.8" x14ac:dyDescent="0.3">
      <c r="A223" s="27" t="s">
        <v>101</v>
      </c>
      <c r="B223" s="34"/>
      <c r="E223" s="29" t="s">
        <v>2922</v>
      </c>
      <c r="J223" s="35"/>
    </row>
    <row r="224" spans="1:16" x14ac:dyDescent="0.3">
      <c r="A224" s="27" t="s">
        <v>103</v>
      </c>
      <c r="B224" s="34"/>
      <c r="E224" s="36" t="s">
        <v>3372</v>
      </c>
      <c r="J224" s="35"/>
    </row>
    <row r="225" spans="1:10" x14ac:dyDescent="0.3">
      <c r="A225" s="27" t="s">
        <v>103</v>
      </c>
      <c r="B225" s="34"/>
      <c r="E225" s="36" t="s">
        <v>3373</v>
      </c>
      <c r="J225" s="35"/>
    </row>
    <row r="226" spans="1:10" x14ac:dyDescent="0.3">
      <c r="A226" s="27" t="s">
        <v>103</v>
      </c>
      <c r="B226" s="34"/>
      <c r="E226" s="36" t="s">
        <v>3374</v>
      </c>
      <c r="J226" s="35"/>
    </row>
    <row r="227" spans="1:10" x14ac:dyDescent="0.3">
      <c r="A227" s="27" t="s">
        <v>103</v>
      </c>
      <c r="B227" s="34"/>
      <c r="E227" s="36" t="s">
        <v>3375</v>
      </c>
      <c r="J227" s="35"/>
    </row>
    <row r="228" spans="1:10" ht="43.2" x14ac:dyDescent="0.3">
      <c r="A228" s="27" t="s">
        <v>105</v>
      </c>
      <c r="B228" s="37"/>
      <c r="C228" s="38"/>
      <c r="D228" s="38"/>
      <c r="E228" s="29" t="s">
        <v>1244</v>
      </c>
      <c r="F228" s="38"/>
      <c r="G228" s="38"/>
      <c r="H228" s="38"/>
      <c r="I228" s="38"/>
      <c r="J228"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3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38</v>
      </c>
      <c r="I3" s="16">
        <f>SUMIFS(I9:I138,A9:A138,"SD")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38</v>
      </c>
      <c r="D5" s="44"/>
      <c r="E5" s="14" t="s">
        <v>32</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SUMIFS(I10:I61,A10:A61,"P")</f>
        <v>0</v>
      </c>
      <c r="J9" s="26"/>
    </row>
    <row r="10" spans="1:16" x14ac:dyDescent="0.3">
      <c r="A10" s="27" t="s">
        <v>95</v>
      </c>
      <c r="B10" s="27">
        <v>1</v>
      </c>
      <c r="C10" s="28" t="s">
        <v>575</v>
      </c>
      <c r="D10" s="27" t="s">
        <v>129</v>
      </c>
      <c r="E10" s="29" t="s">
        <v>576</v>
      </c>
      <c r="F10" s="30" t="s">
        <v>229</v>
      </c>
      <c r="G10" s="31">
        <v>30.855</v>
      </c>
      <c r="H10" s="32">
        <v>0</v>
      </c>
      <c r="I10" s="32">
        <f>ROUND(30.855*H10,P4)</f>
        <v>0</v>
      </c>
      <c r="J10" s="30" t="s">
        <v>118</v>
      </c>
      <c r="O10" s="33">
        <f>I10*0.21</f>
        <v>0</v>
      </c>
      <c r="P10">
        <v>3</v>
      </c>
    </row>
    <row r="11" spans="1:16" ht="115.2" x14ac:dyDescent="0.3">
      <c r="A11" s="27" t="s">
        <v>101</v>
      </c>
      <c r="B11" s="34"/>
      <c r="E11" s="29" t="s">
        <v>3376</v>
      </c>
      <c r="J11" s="35"/>
    </row>
    <row r="12" spans="1:16" ht="28.8" x14ac:dyDescent="0.3">
      <c r="A12" s="27" t="s">
        <v>103</v>
      </c>
      <c r="B12" s="34"/>
      <c r="E12" s="36" t="s">
        <v>3377</v>
      </c>
      <c r="J12" s="35"/>
    </row>
    <row r="13" spans="1:16" ht="28.8" x14ac:dyDescent="0.3">
      <c r="A13" s="27" t="s">
        <v>103</v>
      </c>
      <c r="B13" s="34"/>
      <c r="E13" s="36" t="s">
        <v>3378</v>
      </c>
      <c r="J13" s="35"/>
    </row>
    <row r="14" spans="1:16" ht="28.8" x14ac:dyDescent="0.3">
      <c r="A14" s="27" t="s">
        <v>103</v>
      </c>
      <c r="B14" s="34"/>
      <c r="E14" s="36" t="s">
        <v>3379</v>
      </c>
      <c r="J14" s="35"/>
    </row>
    <row r="15" spans="1:16" ht="28.8" x14ac:dyDescent="0.3">
      <c r="A15" s="27" t="s">
        <v>103</v>
      </c>
      <c r="B15" s="34"/>
      <c r="E15" s="36" t="s">
        <v>3380</v>
      </c>
      <c r="J15" s="35"/>
    </row>
    <row r="16" spans="1:16" ht="28.8" x14ac:dyDescent="0.3">
      <c r="A16" s="27" t="s">
        <v>103</v>
      </c>
      <c r="B16" s="34"/>
      <c r="E16" s="36" t="s">
        <v>3381</v>
      </c>
      <c r="J16" s="35"/>
    </row>
    <row r="17" spans="1:16" ht="28.8" x14ac:dyDescent="0.3">
      <c r="A17" s="27" t="s">
        <v>103</v>
      </c>
      <c r="B17" s="34"/>
      <c r="E17" s="36" t="s">
        <v>3382</v>
      </c>
      <c r="J17" s="35"/>
    </row>
    <row r="18" spans="1:16" ht="28.8" x14ac:dyDescent="0.3">
      <c r="A18" s="27" t="s">
        <v>103</v>
      </c>
      <c r="B18" s="34"/>
      <c r="E18" s="36" t="s">
        <v>3383</v>
      </c>
      <c r="J18" s="35"/>
    </row>
    <row r="19" spans="1:16" ht="28.8" x14ac:dyDescent="0.3">
      <c r="A19" s="27" t="s">
        <v>103</v>
      </c>
      <c r="B19" s="34"/>
      <c r="E19" s="36" t="s">
        <v>3384</v>
      </c>
      <c r="J19" s="35"/>
    </row>
    <row r="20" spans="1:16" x14ac:dyDescent="0.3">
      <c r="A20" s="27" t="s">
        <v>103</v>
      </c>
      <c r="B20" s="34"/>
      <c r="E20" s="36" t="s">
        <v>3385</v>
      </c>
      <c r="J20" s="35"/>
    </row>
    <row r="21" spans="1:16" ht="388.8" x14ac:dyDescent="0.3">
      <c r="A21" s="27" t="s">
        <v>105</v>
      </c>
      <c r="B21" s="34"/>
      <c r="E21" s="29" t="s">
        <v>590</v>
      </c>
      <c r="J21" s="35"/>
    </row>
    <row r="22" spans="1:16" x14ac:dyDescent="0.3">
      <c r="A22" s="27" t="s">
        <v>95</v>
      </c>
      <c r="B22" s="27">
        <v>2</v>
      </c>
      <c r="C22" s="28" t="s">
        <v>2147</v>
      </c>
      <c r="D22" s="27" t="s">
        <v>129</v>
      </c>
      <c r="E22" s="29" t="s">
        <v>2148</v>
      </c>
      <c r="F22" s="30" t="s">
        <v>229</v>
      </c>
      <c r="G22" s="31">
        <v>23.942</v>
      </c>
      <c r="H22" s="32">
        <v>0</v>
      </c>
      <c r="I22" s="32">
        <f>ROUND(23.942*H22,P4)</f>
        <v>0</v>
      </c>
      <c r="J22" s="30" t="s">
        <v>118</v>
      </c>
      <c r="O22" s="33">
        <f>I22*0.21</f>
        <v>0</v>
      </c>
      <c r="P22">
        <v>3</v>
      </c>
    </row>
    <row r="23" spans="1:16" ht="115.2" x14ac:dyDescent="0.3">
      <c r="A23" s="27" t="s">
        <v>101</v>
      </c>
      <c r="B23" s="34"/>
      <c r="E23" s="29" t="s">
        <v>2149</v>
      </c>
      <c r="J23" s="35"/>
    </row>
    <row r="24" spans="1:16" ht="28.8" x14ac:dyDescent="0.3">
      <c r="A24" s="27" t="s">
        <v>103</v>
      </c>
      <c r="B24" s="34"/>
      <c r="E24" s="36" t="s">
        <v>3386</v>
      </c>
      <c r="J24" s="35"/>
    </row>
    <row r="25" spans="1:16" ht="28.8" x14ac:dyDescent="0.3">
      <c r="A25" s="27" t="s">
        <v>103</v>
      </c>
      <c r="B25" s="34"/>
      <c r="E25" s="36" t="s">
        <v>3387</v>
      </c>
      <c r="J25" s="35"/>
    </row>
    <row r="26" spans="1:16" ht="28.8" x14ac:dyDescent="0.3">
      <c r="A26" s="27" t="s">
        <v>103</v>
      </c>
      <c r="B26" s="34"/>
      <c r="E26" s="36" t="s">
        <v>3388</v>
      </c>
      <c r="J26" s="35"/>
    </row>
    <row r="27" spans="1:16" ht="28.8" x14ac:dyDescent="0.3">
      <c r="A27" s="27" t="s">
        <v>103</v>
      </c>
      <c r="B27" s="34"/>
      <c r="E27" s="36" t="s">
        <v>3389</v>
      </c>
      <c r="J27" s="35"/>
    </row>
    <row r="28" spans="1:16" ht="28.8" x14ac:dyDescent="0.3">
      <c r="A28" s="27" t="s">
        <v>103</v>
      </c>
      <c r="B28" s="34"/>
      <c r="E28" s="36" t="s">
        <v>3390</v>
      </c>
      <c r="J28" s="35"/>
    </row>
    <row r="29" spans="1:16" x14ac:dyDescent="0.3">
      <c r="A29" s="27" t="s">
        <v>103</v>
      </c>
      <c r="B29" s="34"/>
      <c r="E29" s="36" t="s">
        <v>3391</v>
      </c>
      <c r="J29" s="35"/>
    </row>
    <row r="30" spans="1:16" ht="388.8" x14ac:dyDescent="0.3">
      <c r="A30" s="27" t="s">
        <v>105</v>
      </c>
      <c r="B30" s="34"/>
      <c r="E30" s="29" t="s">
        <v>590</v>
      </c>
      <c r="J30" s="35"/>
    </row>
    <row r="31" spans="1:16" x14ac:dyDescent="0.3">
      <c r="A31" s="27" t="s">
        <v>95</v>
      </c>
      <c r="B31" s="27">
        <v>3</v>
      </c>
      <c r="C31" s="28" t="s">
        <v>594</v>
      </c>
      <c r="D31" s="27" t="s">
        <v>107</v>
      </c>
      <c r="E31" s="29" t="s">
        <v>595</v>
      </c>
      <c r="F31" s="30" t="s">
        <v>229</v>
      </c>
      <c r="G31" s="31">
        <v>18.262</v>
      </c>
      <c r="H31" s="32">
        <v>0</v>
      </c>
      <c r="I31" s="32">
        <f>ROUND(18.262*H31,P4)</f>
        <v>0</v>
      </c>
      <c r="J31" s="30" t="s">
        <v>118</v>
      </c>
      <c r="O31" s="33">
        <f>I31*0.21</f>
        <v>0</v>
      </c>
      <c r="P31">
        <v>3</v>
      </c>
    </row>
    <row r="32" spans="1:16" ht="158.4" x14ac:dyDescent="0.3">
      <c r="A32" s="27" t="s">
        <v>101</v>
      </c>
      <c r="B32" s="34"/>
      <c r="E32" s="29" t="s">
        <v>3392</v>
      </c>
      <c r="J32" s="35"/>
    </row>
    <row r="33" spans="1:16" ht="28.8" x14ac:dyDescent="0.3">
      <c r="A33" s="27" t="s">
        <v>103</v>
      </c>
      <c r="B33" s="34"/>
      <c r="E33" s="36" t="s">
        <v>3393</v>
      </c>
      <c r="J33" s="35"/>
    </row>
    <row r="34" spans="1:16" ht="28.8" x14ac:dyDescent="0.3">
      <c r="A34" s="27" t="s">
        <v>103</v>
      </c>
      <c r="B34" s="34"/>
      <c r="E34" s="36" t="s">
        <v>3394</v>
      </c>
      <c r="J34" s="35"/>
    </row>
    <row r="35" spans="1:16" ht="28.8" x14ac:dyDescent="0.3">
      <c r="A35" s="27" t="s">
        <v>103</v>
      </c>
      <c r="B35" s="34"/>
      <c r="E35" s="36" t="s">
        <v>3395</v>
      </c>
      <c r="J35" s="35"/>
    </row>
    <row r="36" spans="1:16" ht="28.8" x14ac:dyDescent="0.3">
      <c r="A36" s="27" t="s">
        <v>103</v>
      </c>
      <c r="B36" s="34"/>
      <c r="E36" s="36" t="s">
        <v>3396</v>
      </c>
      <c r="J36" s="35"/>
    </row>
    <row r="37" spans="1:16" ht="28.8" x14ac:dyDescent="0.3">
      <c r="A37" s="27" t="s">
        <v>103</v>
      </c>
      <c r="B37" s="34"/>
      <c r="E37" s="36" t="s">
        <v>3397</v>
      </c>
      <c r="J37" s="35"/>
    </row>
    <row r="38" spans="1:16" ht="28.8" x14ac:dyDescent="0.3">
      <c r="A38" s="27" t="s">
        <v>103</v>
      </c>
      <c r="B38" s="34"/>
      <c r="E38" s="36" t="s">
        <v>3398</v>
      </c>
      <c r="J38" s="35"/>
    </row>
    <row r="39" spans="1:16" ht="28.8" x14ac:dyDescent="0.3">
      <c r="A39" s="27" t="s">
        <v>103</v>
      </c>
      <c r="B39" s="34"/>
      <c r="E39" s="36" t="s">
        <v>3399</v>
      </c>
      <c r="J39" s="35"/>
    </row>
    <row r="40" spans="1:16" ht="28.8" x14ac:dyDescent="0.3">
      <c r="A40" s="27" t="s">
        <v>103</v>
      </c>
      <c r="B40" s="34"/>
      <c r="E40" s="36" t="s">
        <v>3400</v>
      </c>
      <c r="J40" s="35"/>
    </row>
    <row r="41" spans="1:16" x14ac:dyDescent="0.3">
      <c r="A41" s="27" t="s">
        <v>103</v>
      </c>
      <c r="B41" s="34"/>
      <c r="E41" s="36" t="s">
        <v>3401</v>
      </c>
      <c r="J41" s="35"/>
    </row>
    <row r="42" spans="1:16" ht="273.60000000000002" x14ac:dyDescent="0.3">
      <c r="A42" s="27" t="s">
        <v>105</v>
      </c>
      <c r="B42" s="34"/>
      <c r="E42" s="29" t="s">
        <v>609</v>
      </c>
      <c r="J42" s="35"/>
    </row>
    <row r="43" spans="1:16" x14ac:dyDescent="0.3">
      <c r="A43" s="27" t="s">
        <v>95</v>
      </c>
      <c r="B43" s="27">
        <v>4</v>
      </c>
      <c r="C43" s="28" t="s">
        <v>2296</v>
      </c>
      <c r="D43" s="27" t="s">
        <v>97</v>
      </c>
      <c r="E43" s="29" t="s">
        <v>2297</v>
      </c>
      <c r="F43" s="30" t="s">
        <v>229</v>
      </c>
      <c r="G43" s="31">
        <v>7.633</v>
      </c>
      <c r="H43" s="32">
        <v>0</v>
      </c>
      <c r="I43" s="32">
        <f>ROUND(7.633*H43,P4)</f>
        <v>0</v>
      </c>
      <c r="J43" s="30" t="s">
        <v>118</v>
      </c>
      <c r="O43" s="33">
        <f>I43*0.21</f>
        <v>0</v>
      </c>
      <c r="P43">
        <v>3</v>
      </c>
    </row>
    <row r="44" spans="1:16" ht="158.4" x14ac:dyDescent="0.3">
      <c r="A44" s="27" t="s">
        <v>101</v>
      </c>
      <c r="B44" s="34"/>
      <c r="E44" s="29" t="s">
        <v>3402</v>
      </c>
      <c r="J44" s="35"/>
    </row>
    <row r="45" spans="1:16" ht="28.8" x14ac:dyDescent="0.3">
      <c r="A45" s="27" t="s">
        <v>103</v>
      </c>
      <c r="B45" s="34"/>
      <c r="E45" s="36" t="s">
        <v>3403</v>
      </c>
      <c r="J45" s="35"/>
    </row>
    <row r="46" spans="1:16" ht="28.8" x14ac:dyDescent="0.3">
      <c r="A46" s="27" t="s">
        <v>103</v>
      </c>
      <c r="B46" s="34"/>
      <c r="E46" s="36" t="s">
        <v>3404</v>
      </c>
      <c r="J46" s="35"/>
    </row>
    <row r="47" spans="1:16" ht="28.8" x14ac:dyDescent="0.3">
      <c r="A47" s="27" t="s">
        <v>103</v>
      </c>
      <c r="B47" s="34"/>
      <c r="E47" s="36" t="s">
        <v>3405</v>
      </c>
      <c r="J47" s="35"/>
    </row>
    <row r="48" spans="1:16" ht="28.8" x14ac:dyDescent="0.3">
      <c r="A48" s="27" t="s">
        <v>103</v>
      </c>
      <c r="B48" s="34"/>
      <c r="E48" s="36" t="s">
        <v>3406</v>
      </c>
      <c r="J48" s="35"/>
    </row>
    <row r="49" spans="1:16" ht="28.8" x14ac:dyDescent="0.3">
      <c r="A49" s="27" t="s">
        <v>103</v>
      </c>
      <c r="B49" s="34"/>
      <c r="E49" s="36" t="s">
        <v>3407</v>
      </c>
      <c r="J49" s="35"/>
    </row>
    <row r="50" spans="1:16" x14ac:dyDescent="0.3">
      <c r="A50" s="27" t="s">
        <v>103</v>
      </c>
      <c r="B50" s="34"/>
      <c r="E50" s="36" t="s">
        <v>3408</v>
      </c>
      <c r="J50" s="35"/>
    </row>
    <row r="51" spans="1:16" ht="302.39999999999998" x14ac:dyDescent="0.3">
      <c r="A51" s="27" t="s">
        <v>105</v>
      </c>
      <c r="B51" s="34"/>
      <c r="E51" s="29" t="s">
        <v>2312</v>
      </c>
      <c r="J51" s="35"/>
    </row>
    <row r="52" spans="1:16" x14ac:dyDescent="0.3">
      <c r="A52" s="27" t="s">
        <v>95</v>
      </c>
      <c r="B52" s="27">
        <v>5</v>
      </c>
      <c r="C52" s="28" t="s">
        <v>2313</v>
      </c>
      <c r="D52" s="27" t="s">
        <v>97</v>
      </c>
      <c r="E52" s="29" t="s">
        <v>2314</v>
      </c>
      <c r="F52" s="30" t="s">
        <v>229</v>
      </c>
      <c r="G52" s="31">
        <v>5.0620000000000003</v>
      </c>
      <c r="H52" s="32">
        <v>0</v>
      </c>
      <c r="I52" s="32">
        <f>ROUND(5.062*H52,P4)</f>
        <v>0</v>
      </c>
      <c r="J52" s="30" t="s">
        <v>118</v>
      </c>
      <c r="O52" s="33">
        <f>I52*0.21</f>
        <v>0</v>
      </c>
      <c r="P52">
        <v>3</v>
      </c>
    </row>
    <row r="53" spans="1:16" ht="158.4" x14ac:dyDescent="0.3">
      <c r="A53" s="27" t="s">
        <v>101</v>
      </c>
      <c r="B53" s="34"/>
      <c r="E53" s="29" t="s">
        <v>3409</v>
      </c>
      <c r="J53" s="35"/>
    </row>
    <row r="54" spans="1:16" ht="28.8" x14ac:dyDescent="0.3">
      <c r="A54" s="27" t="s">
        <v>103</v>
      </c>
      <c r="B54" s="34"/>
      <c r="E54" s="36" t="s">
        <v>3410</v>
      </c>
      <c r="J54" s="35"/>
    </row>
    <row r="55" spans="1:16" ht="28.8" x14ac:dyDescent="0.3">
      <c r="A55" s="27" t="s">
        <v>103</v>
      </c>
      <c r="B55" s="34"/>
      <c r="E55" s="36" t="s">
        <v>3411</v>
      </c>
      <c r="J55" s="35"/>
    </row>
    <row r="56" spans="1:16" ht="28.8" x14ac:dyDescent="0.3">
      <c r="A56" s="27" t="s">
        <v>103</v>
      </c>
      <c r="B56" s="34"/>
      <c r="E56" s="36" t="s">
        <v>3412</v>
      </c>
      <c r="J56" s="35"/>
    </row>
    <row r="57" spans="1:16" ht="28.8" x14ac:dyDescent="0.3">
      <c r="A57" s="27" t="s">
        <v>103</v>
      </c>
      <c r="B57" s="34"/>
      <c r="E57" s="36" t="s">
        <v>3413</v>
      </c>
      <c r="J57" s="35"/>
    </row>
    <row r="58" spans="1:16" ht="28.8" x14ac:dyDescent="0.3">
      <c r="A58" s="27" t="s">
        <v>103</v>
      </c>
      <c r="B58" s="34"/>
      <c r="E58" s="36" t="s">
        <v>3414</v>
      </c>
      <c r="J58" s="35"/>
    </row>
    <row r="59" spans="1:16" ht="28.8" x14ac:dyDescent="0.3">
      <c r="A59" s="27" t="s">
        <v>103</v>
      </c>
      <c r="B59" s="34"/>
      <c r="E59" s="36" t="s">
        <v>3415</v>
      </c>
      <c r="J59" s="35"/>
    </row>
    <row r="60" spans="1:16" x14ac:dyDescent="0.3">
      <c r="A60" s="27" t="s">
        <v>103</v>
      </c>
      <c r="B60" s="34"/>
      <c r="E60" s="36" t="s">
        <v>3416</v>
      </c>
      <c r="J60" s="35"/>
    </row>
    <row r="61" spans="1:16" ht="360" x14ac:dyDescent="0.3">
      <c r="A61" s="27" t="s">
        <v>105</v>
      </c>
      <c r="B61" s="34"/>
      <c r="E61" s="29" t="s">
        <v>2351</v>
      </c>
      <c r="J61" s="35"/>
    </row>
    <row r="62" spans="1:16" x14ac:dyDescent="0.3">
      <c r="A62" s="21" t="s">
        <v>92</v>
      </c>
      <c r="B62" s="22"/>
      <c r="C62" s="23" t="s">
        <v>121</v>
      </c>
      <c r="D62" s="24"/>
      <c r="E62" s="21" t="s">
        <v>669</v>
      </c>
      <c r="F62" s="24"/>
      <c r="G62" s="24"/>
      <c r="H62" s="24"/>
      <c r="I62" s="25">
        <f>SUMIFS(I63:I86,A63:A86,"P")</f>
        <v>0</v>
      </c>
      <c r="J62" s="26"/>
    </row>
    <row r="63" spans="1:16" x14ac:dyDescent="0.3">
      <c r="A63" s="27" t="s">
        <v>95</v>
      </c>
      <c r="B63" s="27">
        <v>6</v>
      </c>
      <c r="C63" s="28" t="s">
        <v>681</v>
      </c>
      <c r="D63" s="27" t="s">
        <v>97</v>
      </c>
      <c r="E63" s="29" t="s">
        <v>682</v>
      </c>
      <c r="F63" s="30" t="s">
        <v>229</v>
      </c>
      <c r="G63" s="31">
        <v>1.9</v>
      </c>
      <c r="H63" s="32">
        <v>0</v>
      </c>
      <c r="I63" s="32">
        <f>ROUND(1.9*H63,P4)</f>
        <v>0</v>
      </c>
      <c r="J63" s="30" t="s">
        <v>118</v>
      </c>
      <c r="O63" s="33">
        <f>I63*0.21</f>
        <v>0</v>
      </c>
      <c r="P63">
        <v>3</v>
      </c>
    </row>
    <row r="64" spans="1:16" ht="158.4" x14ac:dyDescent="0.3">
      <c r="A64" s="27" t="s">
        <v>101</v>
      </c>
      <c r="B64" s="34"/>
      <c r="E64" s="29" t="s">
        <v>3417</v>
      </c>
      <c r="J64" s="35"/>
    </row>
    <row r="65" spans="1:16" ht="28.8" x14ac:dyDescent="0.3">
      <c r="A65" s="27" t="s">
        <v>103</v>
      </c>
      <c r="B65" s="34"/>
      <c r="E65" s="36" t="s">
        <v>3418</v>
      </c>
      <c r="J65" s="35"/>
    </row>
    <row r="66" spans="1:16" ht="28.8" x14ac:dyDescent="0.3">
      <c r="A66" s="27" t="s">
        <v>103</v>
      </c>
      <c r="B66" s="34"/>
      <c r="E66" s="36" t="s">
        <v>3419</v>
      </c>
      <c r="J66" s="35"/>
    </row>
    <row r="67" spans="1:16" ht="28.8" x14ac:dyDescent="0.3">
      <c r="A67" s="27" t="s">
        <v>103</v>
      </c>
      <c r="B67" s="34"/>
      <c r="E67" s="36" t="s">
        <v>3420</v>
      </c>
      <c r="J67" s="35"/>
    </row>
    <row r="68" spans="1:16" ht="28.8" x14ac:dyDescent="0.3">
      <c r="A68" s="27" t="s">
        <v>103</v>
      </c>
      <c r="B68" s="34"/>
      <c r="E68" s="36" t="s">
        <v>3421</v>
      </c>
      <c r="J68" s="35"/>
    </row>
    <row r="69" spans="1:16" ht="28.8" x14ac:dyDescent="0.3">
      <c r="A69" s="27" t="s">
        <v>103</v>
      </c>
      <c r="B69" s="34"/>
      <c r="E69" s="36" t="s">
        <v>3422</v>
      </c>
      <c r="J69" s="35"/>
    </row>
    <row r="70" spans="1:16" ht="28.8" x14ac:dyDescent="0.3">
      <c r="A70" s="27" t="s">
        <v>103</v>
      </c>
      <c r="B70" s="34"/>
      <c r="E70" s="36" t="s">
        <v>3423</v>
      </c>
      <c r="J70" s="35"/>
    </row>
    <row r="71" spans="1:16" ht="28.8" x14ac:dyDescent="0.3">
      <c r="A71" s="27" t="s">
        <v>103</v>
      </c>
      <c r="B71" s="34"/>
      <c r="E71" s="36" t="s">
        <v>3424</v>
      </c>
      <c r="J71" s="35"/>
    </row>
    <row r="72" spans="1:16" ht="28.8" x14ac:dyDescent="0.3">
      <c r="A72" s="27" t="s">
        <v>103</v>
      </c>
      <c r="B72" s="34"/>
      <c r="E72" s="36" t="s">
        <v>3425</v>
      </c>
      <c r="J72" s="35"/>
    </row>
    <row r="73" spans="1:16" x14ac:dyDescent="0.3">
      <c r="A73" s="27" t="s">
        <v>103</v>
      </c>
      <c r="B73" s="34"/>
      <c r="E73" s="36" t="s">
        <v>3426</v>
      </c>
      <c r="J73" s="35"/>
    </row>
    <row r="74" spans="1:16" ht="57.6" x14ac:dyDescent="0.3">
      <c r="A74" s="27" t="s">
        <v>105</v>
      </c>
      <c r="B74" s="34"/>
      <c r="E74" s="29" t="s">
        <v>696</v>
      </c>
      <c r="J74" s="35"/>
    </row>
    <row r="75" spans="1:16" x14ac:dyDescent="0.3">
      <c r="A75" s="27" t="s">
        <v>95</v>
      </c>
      <c r="B75" s="27">
        <v>7</v>
      </c>
      <c r="C75" s="28" t="s">
        <v>681</v>
      </c>
      <c r="D75" s="27" t="s">
        <v>107</v>
      </c>
      <c r="E75" s="29" t="s">
        <v>682</v>
      </c>
      <c r="F75" s="30" t="s">
        <v>229</v>
      </c>
      <c r="G75" s="31">
        <v>2.54</v>
      </c>
      <c r="H75" s="32">
        <v>0</v>
      </c>
      <c r="I75" s="32">
        <f>ROUND(2.54*H75,P4)</f>
        <v>0</v>
      </c>
      <c r="J75" s="30" t="s">
        <v>118</v>
      </c>
      <c r="O75" s="33">
        <f>I75*0.21</f>
        <v>0</v>
      </c>
      <c r="P75">
        <v>3</v>
      </c>
    </row>
    <row r="76" spans="1:16" ht="158.4" x14ac:dyDescent="0.3">
      <c r="A76" s="27" t="s">
        <v>101</v>
      </c>
      <c r="B76" s="34"/>
      <c r="E76" s="29" t="s">
        <v>2451</v>
      </c>
      <c r="J76" s="35"/>
    </row>
    <row r="77" spans="1:16" ht="28.8" x14ac:dyDescent="0.3">
      <c r="A77" s="27" t="s">
        <v>103</v>
      </c>
      <c r="B77" s="34"/>
      <c r="E77" s="36" t="s">
        <v>3427</v>
      </c>
      <c r="J77" s="35"/>
    </row>
    <row r="78" spans="1:16" ht="28.8" x14ac:dyDescent="0.3">
      <c r="A78" s="27" t="s">
        <v>103</v>
      </c>
      <c r="B78" s="34"/>
      <c r="E78" s="36" t="s">
        <v>3428</v>
      </c>
      <c r="J78" s="35"/>
    </row>
    <row r="79" spans="1:16" ht="28.8" x14ac:dyDescent="0.3">
      <c r="A79" s="27" t="s">
        <v>103</v>
      </c>
      <c r="B79" s="34"/>
      <c r="E79" s="36" t="s">
        <v>3429</v>
      </c>
      <c r="J79" s="35"/>
    </row>
    <row r="80" spans="1:16" ht="28.8" x14ac:dyDescent="0.3">
      <c r="A80" s="27" t="s">
        <v>103</v>
      </c>
      <c r="B80" s="34"/>
      <c r="E80" s="36" t="s">
        <v>3430</v>
      </c>
      <c r="J80" s="35"/>
    </row>
    <row r="81" spans="1:16" ht="28.8" x14ac:dyDescent="0.3">
      <c r="A81" s="27" t="s">
        <v>103</v>
      </c>
      <c r="B81" s="34"/>
      <c r="E81" s="36" t="s">
        <v>3431</v>
      </c>
      <c r="J81" s="35"/>
    </row>
    <row r="82" spans="1:16" ht="28.8" x14ac:dyDescent="0.3">
      <c r="A82" s="27" t="s">
        <v>103</v>
      </c>
      <c r="B82" s="34"/>
      <c r="E82" s="36" t="s">
        <v>3432</v>
      </c>
      <c r="J82" s="35"/>
    </row>
    <row r="83" spans="1:16" ht="28.8" x14ac:dyDescent="0.3">
      <c r="A83" s="27" t="s">
        <v>103</v>
      </c>
      <c r="B83" s="34"/>
      <c r="E83" s="36" t="s">
        <v>3433</v>
      </c>
      <c r="J83" s="35"/>
    </row>
    <row r="84" spans="1:16" ht="28.8" x14ac:dyDescent="0.3">
      <c r="A84" s="27" t="s">
        <v>103</v>
      </c>
      <c r="B84" s="34"/>
      <c r="E84" s="36" t="s">
        <v>3434</v>
      </c>
      <c r="J84" s="35"/>
    </row>
    <row r="85" spans="1:16" x14ac:dyDescent="0.3">
      <c r="A85" s="27" t="s">
        <v>103</v>
      </c>
      <c r="B85" s="34"/>
      <c r="E85" s="36" t="s">
        <v>3435</v>
      </c>
      <c r="J85" s="35"/>
    </row>
    <row r="86" spans="1:16" ht="57.6" x14ac:dyDescent="0.3">
      <c r="A86" s="27" t="s">
        <v>105</v>
      </c>
      <c r="B86" s="34"/>
      <c r="E86" s="29" t="s">
        <v>696</v>
      </c>
      <c r="J86" s="35"/>
    </row>
    <row r="87" spans="1:16" x14ac:dyDescent="0.3">
      <c r="A87" s="21" t="s">
        <v>92</v>
      </c>
      <c r="B87" s="22"/>
      <c r="C87" s="23" t="s">
        <v>1179</v>
      </c>
      <c r="D87" s="24"/>
      <c r="E87" s="21" t="s">
        <v>1180</v>
      </c>
      <c r="F87" s="24"/>
      <c r="G87" s="24"/>
      <c r="H87" s="24"/>
      <c r="I87" s="25">
        <f>SUMIFS(I88:I132,A88:A132,"P")</f>
        <v>0</v>
      </c>
      <c r="J87" s="26"/>
    </row>
    <row r="88" spans="1:16" x14ac:dyDescent="0.3">
      <c r="A88" s="27" t="s">
        <v>95</v>
      </c>
      <c r="B88" s="27">
        <v>8</v>
      </c>
      <c r="C88" s="28" t="s">
        <v>3436</v>
      </c>
      <c r="D88" s="27" t="s">
        <v>129</v>
      </c>
      <c r="E88" s="29" t="s">
        <v>3437</v>
      </c>
      <c r="F88" s="30" t="s">
        <v>237</v>
      </c>
      <c r="G88" s="31">
        <v>0.46</v>
      </c>
      <c r="H88" s="32">
        <v>0</v>
      </c>
      <c r="I88" s="32">
        <f>ROUND(0.46*H88,P4)</f>
        <v>0</v>
      </c>
      <c r="J88" s="30" t="s">
        <v>118</v>
      </c>
      <c r="O88" s="33">
        <f>I88*0.21</f>
        <v>0</v>
      </c>
      <c r="P88">
        <v>3</v>
      </c>
    </row>
    <row r="89" spans="1:16" ht="288" x14ac:dyDescent="0.3">
      <c r="A89" s="27" t="s">
        <v>101</v>
      </c>
      <c r="B89" s="34"/>
      <c r="E89" s="29" t="s">
        <v>3438</v>
      </c>
      <c r="J89" s="35"/>
    </row>
    <row r="90" spans="1:16" x14ac:dyDescent="0.3">
      <c r="A90" s="27" t="s">
        <v>103</v>
      </c>
      <c r="B90" s="34"/>
      <c r="E90" s="36" t="s">
        <v>3439</v>
      </c>
      <c r="J90" s="35"/>
    </row>
    <row r="91" spans="1:16" x14ac:dyDescent="0.3">
      <c r="A91" s="27" t="s">
        <v>103</v>
      </c>
      <c r="B91" s="34"/>
      <c r="E91" s="36" t="s">
        <v>3440</v>
      </c>
      <c r="J91" s="35"/>
    </row>
    <row r="92" spans="1:16" ht="316.8" x14ac:dyDescent="0.3">
      <c r="A92" s="27" t="s">
        <v>105</v>
      </c>
      <c r="B92" s="34"/>
      <c r="E92" s="29" t="s">
        <v>2568</v>
      </c>
      <c r="J92" s="35"/>
    </row>
    <row r="93" spans="1:16" x14ac:dyDescent="0.3">
      <c r="A93" s="27" t="s">
        <v>95</v>
      </c>
      <c r="B93" s="27">
        <v>9</v>
      </c>
      <c r="C93" s="28" t="s">
        <v>2537</v>
      </c>
      <c r="D93" s="27" t="s">
        <v>129</v>
      </c>
      <c r="E93" s="29" t="s">
        <v>2538</v>
      </c>
      <c r="F93" s="30" t="s">
        <v>237</v>
      </c>
      <c r="G93" s="31">
        <v>34.81</v>
      </c>
      <c r="H93" s="32">
        <v>0</v>
      </c>
      <c r="I93" s="32">
        <f>ROUND(34.81*H93,P4)</f>
        <v>0</v>
      </c>
      <c r="J93" s="30" t="s">
        <v>118</v>
      </c>
      <c r="O93" s="33">
        <f>I93*0.21</f>
        <v>0</v>
      </c>
      <c r="P93">
        <v>3</v>
      </c>
    </row>
    <row r="94" spans="1:16" ht="302.39999999999998" x14ac:dyDescent="0.3">
      <c r="A94" s="27" t="s">
        <v>101</v>
      </c>
      <c r="B94" s="34"/>
      <c r="E94" s="29" t="s">
        <v>2539</v>
      </c>
      <c r="J94" s="35"/>
    </row>
    <row r="95" spans="1:16" x14ac:dyDescent="0.3">
      <c r="A95" s="27" t="s">
        <v>103</v>
      </c>
      <c r="B95" s="34"/>
      <c r="E95" s="36" t="s">
        <v>3441</v>
      </c>
      <c r="J95" s="35"/>
    </row>
    <row r="96" spans="1:16" x14ac:dyDescent="0.3">
      <c r="A96" s="27" t="s">
        <v>103</v>
      </c>
      <c r="B96" s="34"/>
      <c r="E96" s="36" t="s">
        <v>3442</v>
      </c>
      <c r="J96" s="35"/>
    </row>
    <row r="97" spans="1:16" x14ac:dyDescent="0.3">
      <c r="A97" s="27" t="s">
        <v>103</v>
      </c>
      <c r="B97" s="34"/>
      <c r="E97" s="36" t="s">
        <v>3443</v>
      </c>
      <c r="J97" s="35"/>
    </row>
    <row r="98" spans="1:16" x14ac:dyDescent="0.3">
      <c r="A98" s="27" t="s">
        <v>103</v>
      </c>
      <c r="B98" s="34"/>
      <c r="E98" s="36" t="s">
        <v>3444</v>
      </c>
      <c r="J98" s="35"/>
    </row>
    <row r="99" spans="1:16" x14ac:dyDescent="0.3">
      <c r="A99" s="27" t="s">
        <v>103</v>
      </c>
      <c r="B99" s="34"/>
      <c r="E99" s="36" t="s">
        <v>3445</v>
      </c>
      <c r="J99" s="35"/>
    </row>
    <row r="100" spans="1:16" x14ac:dyDescent="0.3">
      <c r="A100" s="27" t="s">
        <v>103</v>
      </c>
      <c r="B100" s="34"/>
      <c r="E100" s="36" t="s">
        <v>3446</v>
      </c>
      <c r="J100" s="35"/>
    </row>
    <row r="101" spans="1:16" x14ac:dyDescent="0.3">
      <c r="A101" s="27" t="s">
        <v>103</v>
      </c>
      <c r="B101" s="34"/>
      <c r="E101" s="36" t="s">
        <v>3447</v>
      </c>
      <c r="J101" s="35"/>
    </row>
    <row r="102" spans="1:16" x14ac:dyDescent="0.3">
      <c r="A102" s="27" t="s">
        <v>103</v>
      </c>
      <c r="B102" s="34"/>
      <c r="E102" s="36" t="s">
        <v>3448</v>
      </c>
      <c r="J102" s="35"/>
    </row>
    <row r="103" spans="1:16" x14ac:dyDescent="0.3">
      <c r="A103" s="27" t="s">
        <v>103</v>
      </c>
      <c r="B103" s="34"/>
      <c r="E103" s="36" t="s">
        <v>3449</v>
      </c>
      <c r="J103" s="35"/>
    </row>
    <row r="104" spans="1:16" ht="316.8" x14ac:dyDescent="0.3">
      <c r="A104" s="27" t="s">
        <v>105</v>
      </c>
      <c r="B104" s="34"/>
      <c r="E104" s="29" t="s">
        <v>2568</v>
      </c>
      <c r="J104" s="35"/>
    </row>
    <row r="105" spans="1:16" x14ac:dyDescent="0.3">
      <c r="A105" s="27" t="s">
        <v>95</v>
      </c>
      <c r="B105" s="27">
        <v>10</v>
      </c>
      <c r="C105" s="28" t="s">
        <v>2590</v>
      </c>
      <c r="D105" s="27" t="s">
        <v>97</v>
      </c>
      <c r="E105" s="29" t="s">
        <v>2591</v>
      </c>
      <c r="F105" s="30" t="s">
        <v>117</v>
      </c>
      <c r="G105" s="31">
        <v>5</v>
      </c>
      <c r="H105" s="32">
        <v>0</v>
      </c>
      <c r="I105" s="32">
        <f>ROUND(5*H105,P4)</f>
        <v>0</v>
      </c>
      <c r="J105" s="30" t="s">
        <v>118</v>
      </c>
      <c r="O105" s="33">
        <f>I105*0.21</f>
        <v>0</v>
      </c>
      <c r="P105">
        <v>3</v>
      </c>
    </row>
    <row r="106" spans="1:16" ht="302.39999999999998" x14ac:dyDescent="0.3">
      <c r="A106" s="27" t="s">
        <v>101</v>
      </c>
      <c r="B106" s="34"/>
      <c r="E106" s="29" t="s">
        <v>3450</v>
      </c>
      <c r="J106" s="35"/>
    </row>
    <row r="107" spans="1:16" x14ac:dyDescent="0.3">
      <c r="A107" s="27" t="s">
        <v>103</v>
      </c>
      <c r="B107" s="34"/>
      <c r="E107" s="36" t="s">
        <v>3451</v>
      </c>
      <c r="J107" s="35"/>
    </row>
    <row r="108" spans="1:16" x14ac:dyDescent="0.3">
      <c r="A108" s="27" t="s">
        <v>103</v>
      </c>
      <c r="B108" s="34"/>
      <c r="E108" s="36" t="s">
        <v>3452</v>
      </c>
      <c r="J108" s="35"/>
    </row>
    <row r="109" spans="1:16" x14ac:dyDescent="0.3">
      <c r="A109" s="27" t="s">
        <v>103</v>
      </c>
      <c r="B109" s="34"/>
      <c r="E109" s="36" t="s">
        <v>3453</v>
      </c>
      <c r="J109" s="35"/>
    </row>
    <row r="110" spans="1:16" x14ac:dyDescent="0.3">
      <c r="A110" s="27" t="s">
        <v>103</v>
      </c>
      <c r="B110" s="34"/>
      <c r="E110" s="36" t="s">
        <v>3454</v>
      </c>
      <c r="J110" s="35"/>
    </row>
    <row r="111" spans="1:16" x14ac:dyDescent="0.3">
      <c r="A111" s="27" t="s">
        <v>103</v>
      </c>
      <c r="B111" s="34"/>
      <c r="E111" s="36" t="s">
        <v>3455</v>
      </c>
      <c r="J111" s="35"/>
    </row>
    <row r="112" spans="1:16" x14ac:dyDescent="0.3">
      <c r="A112" s="27" t="s">
        <v>103</v>
      </c>
      <c r="B112" s="34"/>
      <c r="E112" s="36" t="s">
        <v>2616</v>
      </c>
      <c r="J112" s="35"/>
    </row>
    <row r="113" spans="1:16" ht="86.4" x14ac:dyDescent="0.3">
      <c r="A113" s="27" t="s">
        <v>105</v>
      </c>
      <c r="B113" s="34"/>
      <c r="E113" s="29" t="s">
        <v>2598</v>
      </c>
      <c r="J113" s="35"/>
    </row>
    <row r="114" spans="1:16" x14ac:dyDescent="0.3">
      <c r="A114" s="27" t="s">
        <v>95</v>
      </c>
      <c r="B114" s="27">
        <v>11</v>
      </c>
      <c r="C114" s="28" t="s">
        <v>2590</v>
      </c>
      <c r="D114" s="27" t="s">
        <v>107</v>
      </c>
      <c r="E114" s="29" t="s">
        <v>2591</v>
      </c>
      <c r="F114" s="30" t="s">
        <v>117</v>
      </c>
      <c r="G114" s="31">
        <v>3</v>
      </c>
      <c r="H114" s="32">
        <v>0</v>
      </c>
      <c r="I114" s="32">
        <f>ROUND(3*H114,P4)</f>
        <v>0</v>
      </c>
      <c r="J114" s="30" t="s">
        <v>118</v>
      </c>
      <c r="O114" s="33">
        <f>I114*0.21</f>
        <v>0</v>
      </c>
      <c r="P114">
        <v>3</v>
      </c>
    </row>
    <row r="115" spans="1:16" ht="302.39999999999998" x14ac:dyDescent="0.3">
      <c r="A115" s="27" t="s">
        <v>101</v>
      </c>
      <c r="B115" s="34"/>
      <c r="E115" s="29" t="s">
        <v>3456</v>
      </c>
      <c r="J115" s="35"/>
    </row>
    <row r="116" spans="1:16" x14ac:dyDescent="0.3">
      <c r="A116" s="27" t="s">
        <v>103</v>
      </c>
      <c r="B116" s="34"/>
      <c r="E116" s="36" t="s">
        <v>3457</v>
      </c>
      <c r="J116" s="35"/>
    </row>
    <row r="117" spans="1:16" x14ac:dyDescent="0.3">
      <c r="A117" s="27" t="s">
        <v>103</v>
      </c>
      <c r="B117" s="34"/>
      <c r="E117" s="36" t="s">
        <v>3458</v>
      </c>
      <c r="J117" s="35"/>
    </row>
    <row r="118" spans="1:16" x14ac:dyDescent="0.3">
      <c r="A118" s="27" t="s">
        <v>103</v>
      </c>
      <c r="B118" s="34"/>
      <c r="E118" s="36" t="s">
        <v>3459</v>
      </c>
      <c r="J118" s="35"/>
    </row>
    <row r="119" spans="1:16" x14ac:dyDescent="0.3">
      <c r="A119" s="27" t="s">
        <v>103</v>
      </c>
      <c r="B119" s="34"/>
      <c r="E119" s="36" t="s">
        <v>1187</v>
      </c>
      <c r="J119" s="35"/>
    </row>
    <row r="120" spans="1:16" ht="86.4" x14ac:dyDescent="0.3">
      <c r="A120" s="27" t="s">
        <v>105</v>
      </c>
      <c r="B120" s="34"/>
      <c r="E120" s="29" t="s">
        <v>2598</v>
      </c>
      <c r="J120" s="35"/>
    </row>
    <row r="121" spans="1:16" x14ac:dyDescent="0.3">
      <c r="A121" s="27" t="s">
        <v>95</v>
      </c>
      <c r="B121" s="27">
        <v>12</v>
      </c>
      <c r="C121" s="28" t="s">
        <v>2632</v>
      </c>
      <c r="D121" s="27" t="s">
        <v>129</v>
      </c>
      <c r="E121" s="29" t="s">
        <v>2633</v>
      </c>
      <c r="F121" s="30" t="s">
        <v>237</v>
      </c>
      <c r="G121" s="31">
        <v>33.805</v>
      </c>
      <c r="H121" s="32">
        <v>0</v>
      </c>
      <c r="I121" s="32">
        <f>ROUND(33.805*H121,P4)</f>
        <v>0</v>
      </c>
      <c r="J121" s="30" t="s">
        <v>118</v>
      </c>
      <c r="O121" s="33">
        <f>I121*0.21</f>
        <v>0</v>
      </c>
      <c r="P121">
        <v>3</v>
      </c>
    </row>
    <row r="122" spans="1:16" ht="288" x14ac:dyDescent="0.3">
      <c r="A122" s="27" t="s">
        <v>101</v>
      </c>
      <c r="B122" s="34"/>
      <c r="E122" s="29" t="s">
        <v>3460</v>
      </c>
      <c r="J122" s="35"/>
    </row>
    <row r="123" spans="1:16" ht="28.8" x14ac:dyDescent="0.3">
      <c r="A123" s="27" t="s">
        <v>103</v>
      </c>
      <c r="B123" s="34"/>
      <c r="E123" s="36" t="s">
        <v>3461</v>
      </c>
      <c r="J123" s="35"/>
    </row>
    <row r="124" spans="1:16" x14ac:dyDescent="0.3">
      <c r="A124" s="27" t="s">
        <v>103</v>
      </c>
      <c r="B124" s="34"/>
      <c r="E124" s="36" t="s">
        <v>3462</v>
      </c>
      <c r="J124" s="35"/>
    </row>
    <row r="125" spans="1:16" ht="28.8" x14ac:dyDescent="0.3">
      <c r="A125" s="27" t="s">
        <v>103</v>
      </c>
      <c r="B125" s="34"/>
      <c r="E125" s="36" t="s">
        <v>3463</v>
      </c>
      <c r="J125" s="35"/>
    </row>
    <row r="126" spans="1:16" ht="28.8" x14ac:dyDescent="0.3">
      <c r="A126" s="27" t="s">
        <v>103</v>
      </c>
      <c r="B126" s="34"/>
      <c r="E126" s="36" t="s">
        <v>3464</v>
      </c>
      <c r="J126" s="35"/>
    </row>
    <row r="127" spans="1:16" ht="28.8" x14ac:dyDescent="0.3">
      <c r="A127" s="27" t="s">
        <v>103</v>
      </c>
      <c r="B127" s="34"/>
      <c r="E127" s="36" t="s">
        <v>3465</v>
      </c>
      <c r="J127" s="35"/>
    </row>
    <row r="128" spans="1:16" ht="28.8" x14ac:dyDescent="0.3">
      <c r="A128" s="27" t="s">
        <v>103</v>
      </c>
      <c r="B128" s="34"/>
      <c r="E128" s="36" t="s">
        <v>3466</v>
      </c>
      <c r="J128" s="35"/>
    </row>
    <row r="129" spans="1:16" ht="28.8" x14ac:dyDescent="0.3">
      <c r="A129" s="27" t="s">
        <v>103</v>
      </c>
      <c r="B129" s="34"/>
      <c r="E129" s="36" t="s">
        <v>3467</v>
      </c>
      <c r="J129" s="35"/>
    </row>
    <row r="130" spans="1:16" ht="28.8" x14ac:dyDescent="0.3">
      <c r="A130" s="27" t="s">
        <v>103</v>
      </c>
      <c r="B130" s="34"/>
      <c r="E130" s="36" t="s">
        <v>3468</v>
      </c>
      <c r="J130" s="35"/>
    </row>
    <row r="131" spans="1:16" x14ac:dyDescent="0.3">
      <c r="A131" s="27" t="s">
        <v>103</v>
      </c>
      <c r="B131" s="34"/>
      <c r="E131" s="36" t="s">
        <v>3469</v>
      </c>
      <c r="J131" s="35"/>
    </row>
    <row r="132" spans="1:16" ht="43.2" x14ac:dyDescent="0.3">
      <c r="A132" s="27" t="s">
        <v>105</v>
      </c>
      <c r="B132" s="34"/>
      <c r="E132" s="29" t="s">
        <v>2664</v>
      </c>
      <c r="J132" s="35"/>
    </row>
    <row r="133" spans="1:16" x14ac:dyDescent="0.3">
      <c r="A133" s="21" t="s">
        <v>92</v>
      </c>
      <c r="B133" s="22"/>
      <c r="C133" s="23" t="s">
        <v>252</v>
      </c>
      <c r="D133" s="24"/>
      <c r="E133" s="21" t="s">
        <v>253</v>
      </c>
      <c r="F133" s="24"/>
      <c r="G133" s="24"/>
      <c r="H133" s="24"/>
      <c r="I133" s="25">
        <f>SUMIFS(I134:I138,A134:A138,"P")</f>
        <v>0</v>
      </c>
      <c r="J133" s="26"/>
    </row>
    <row r="134" spans="1:16" ht="28.8" x14ac:dyDescent="0.3">
      <c r="A134" s="27" t="s">
        <v>95</v>
      </c>
      <c r="B134" s="27">
        <v>13</v>
      </c>
      <c r="C134" s="28" t="s">
        <v>3470</v>
      </c>
      <c r="D134" s="27" t="s">
        <v>129</v>
      </c>
      <c r="E134" s="29" t="s">
        <v>3471</v>
      </c>
      <c r="F134" s="30" t="s">
        <v>237</v>
      </c>
      <c r="G134" s="31">
        <v>2.5</v>
      </c>
      <c r="H134" s="32">
        <v>0</v>
      </c>
      <c r="I134" s="32">
        <f>ROUND(2.5*H134,P4)</f>
        <v>0</v>
      </c>
      <c r="J134" s="30" t="s">
        <v>118</v>
      </c>
      <c r="O134" s="33">
        <f>I134*0.21</f>
        <v>0</v>
      </c>
      <c r="P134">
        <v>3</v>
      </c>
    </row>
    <row r="135" spans="1:16" ht="302.39999999999998" x14ac:dyDescent="0.3">
      <c r="A135" s="27" t="s">
        <v>101</v>
      </c>
      <c r="B135" s="34"/>
      <c r="E135" s="29" t="s">
        <v>3472</v>
      </c>
      <c r="J135" s="35"/>
    </row>
    <row r="136" spans="1:16" x14ac:dyDescent="0.3">
      <c r="A136" s="27" t="s">
        <v>103</v>
      </c>
      <c r="B136" s="34"/>
      <c r="E136" s="36" t="s">
        <v>3473</v>
      </c>
      <c r="J136" s="35"/>
    </row>
    <row r="137" spans="1:16" x14ac:dyDescent="0.3">
      <c r="A137" s="27" t="s">
        <v>103</v>
      </c>
      <c r="B137" s="34"/>
      <c r="E137" s="36" t="s">
        <v>3474</v>
      </c>
      <c r="J137" s="35"/>
    </row>
    <row r="138" spans="1:16" ht="100.8" x14ac:dyDescent="0.3">
      <c r="A138" s="27" t="s">
        <v>105</v>
      </c>
      <c r="B138" s="37"/>
      <c r="C138" s="38"/>
      <c r="D138" s="38"/>
      <c r="E138" s="29" t="s">
        <v>3475</v>
      </c>
      <c r="F138" s="38"/>
      <c r="G138" s="38"/>
      <c r="H138" s="38"/>
      <c r="I138" s="38"/>
      <c r="J138"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7"/>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39</v>
      </c>
      <c r="I3" s="16">
        <f>SUMIFS(I9:I57,A9:A57,"SD")</f>
        <v>0</v>
      </c>
      <c r="J3" s="12"/>
      <c r="O3">
        <v>0</v>
      </c>
      <c r="P3">
        <v>2</v>
      </c>
    </row>
    <row r="4" spans="1:16" x14ac:dyDescent="0.3">
      <c r="A4" s="2" t="s">
        <v>79</v>
      </c>
      <c r="B4" s="13" t="s">
        <v>492</v>
      </c>
      <c r="C4" s="43" t="s">
        <v>2688</v>
      </c>
      <c r="D4" s="44"/>
      <c r="E4" s="14" t="s">
        <v>2689</v>
      </c>
      <c r="F4" s="2"/>
      <c r="G4" s="2"/>
      <c r="H4" s="2"/>
      <c r="I4" s="2"/>
      <c r="J4" s="12"/>
      <c r="O4">
        <v>0.15</v>
      </c>
      <c r="P4">
        <v>2</v>
      </c>
    </row>
    <row r="5" spans="1:16" x14ac:dyDescent="0.3">
      <c r="A5" s="2" t="s">
        <v>495</v>
      </c>
      <c r="B5" s="13" t="s">
        <v>80</v>
      </c>
      <c r="C5" s="43" t="s">
        <v>39</v>
      </c>
      <c r="D5" s="44"/>
      <c r="E5" s="14" t="s">
        <v>34</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SUMIFS(I10:I33,A10:A33,"P")</f>
        <v>0</v>
      </c>
      <c r="J9" s="26"/>
    </row>
    <row r="10" spans="1:16" x14ac:dyDescent="0.3">
      <c r="A10" s="27" t="s">
        <v>95</v>
      </c>
      <c r="B10" s="27">
        <v>1</v>
      </c>
      <c r="C10" s="28" t="s">
        <v>2147</v>
      </c>
      <c r="D10" s="27" t="s">
        <v>129</v>
      </c>
      <c r="E10" s="29" t="s">
        <v>2148</v>
      </c>
      <c r="F10" s="30" t="s">
        <v>229</v>
      </c>
      <c r="G10" s="31">
        <v>86.293000000000006</v>
      </c>
      <c r="H10" s="32">
        <v>0</v>
      </c>
      <c r="I10" s="32">
        <f>ROUND(86.293*H10,P4)</f>
        <v>0</v>
      </c>
      <c r="J10" s="30" t="s">
        <v>118</v>
      </c>
      <c r="O10" s="33">
        <f>I10*0.21</f>
        <v>0</v>
      </c>
      <c r="P10">
        <v>3</v>
      </c>
    </row>
    <row r="11" spans="1:16" ht="115.2" x14ac:dyDescent="0.3">
      <c r="A11" s="27" t="s">
        <v>101</v>
      </c>
      <c r="B11" s="34"/>
      <c r="E11" s="29" t="s">
        <v>2149</v>
      </c>
      <c r="J11" s="35"/>
    </row>
    <row r="12" spans="1:16" ht="28.8" x14ac:dyDescent="0.3">
      <c r="A12" s="27" t="s">
        <v>103</v>
      </c>
      <c r="B12" s="34"/>
      <c r="E12" s="36" t="s">
        <v>3476</v>
      </c>
      <c r="J12" s="35"/>
    </row>
    <row r="13" spans="1:16" ht="28.8" x14ac:dyDescent="0.3">
      <c r="A13" s="27" t="s">
        <v>103</v>
      </c>
      <c r="B13" s="34"/>
      <c r="E13" s="36" t="s">
        <v>3477</v>
      </c>
      <c r="J13" s="35"/>
    </row>
    <row r="14" spans="1:16" x14ac:dyDescent="0.3">
      <c r="A14" s="27" t="s">
        <v>103</v>
      </c>
      <c r="B14" s="34"/>
      <c r="E14" s="36" t="s">
        <v>3478</v>
      </c>
      <c r="J14" s="35"/>
    </row>
    <row r="15" spans="1:16" ht="388.8" x14ac:dyDescent="0.3">
      <c r="A15" s="27" t="s">
        <v>105</v>
      </c>
      <c r="B15" s="34"/>
      <c r="E15" s="29" t="s">
        <v>590</v>
      </c>
      <c r="J15" s="35"/>
    </row>
    <row r="16" spans="1:16" x14ac:dyDescent="0.3">
      <c r="A16" s="27" t="s">
        <v>95</v>
      </c>
      <c r="B16" s="27">
        <v>2</v>
      </c>
      <c r="C16" s="28" t="s">
        <v>476</v>
      </c>
      <c r="D16" s="27" t="s">
        <v>129</v>
      </c>
      <c r="E16" s="29" t="s">
        <v>477</v>
      </c>
      <c r="F16" s="30" t="s">
        <v>229</v>
      </c>
      <c r="G16" s="31">
        <v>86.293000000000006</v>
      </c>
      <c r="H16" s="32">
        <v>0</v>
      </c>
      <c r="I16" s="32">
        <f>ROUND(86.293*H16,P4)</f>
        <v>0</v>
      </c>
      <c r="J16" s="30" t="s">
        <v>118</v>
      </c>
      <c r="O16" s="33">
        <f>I16*0.21</f>
        <v>0</v>
      </c>
      <c r="P16">
        <v>3</v>
      </c>
    </row>
    <row r="17" spans="1:16" ht="115.2" x14ac:dyDescent="0.3">
      <c r="A17" s="27" t="s">
        <v>101</v>
      </c>
      <c r="B17" s="34"/>
      <c r="E17" s="29" t="s">
        <v>2149</v>
      </c>
      <c r="J17" s="35"/>
    </row>
    <row r="18" spans="1:16" ht="28.8" x14ac:dyDescent="0.3">
      <c r="A18" s="27" t="s">
        <v>103</v>
      </c>
      <c r="B18" s="34"/>
      <c r="E18" s="36" t="s">
        <v>3476</v>
      </c>
      <c r="J18" s="35"/>
    </row>
    <row r="19" spans="1:16" ht="28.8" x14ac:dyDescent="0.3">
      <c r="A19" s="27" t="s">
        <v>103</v>
      </c>
      <c r="B19" s="34"/>
      <c r="E19" s="36" t="s">
        <v>3477</v>
      </c>
      <c r="J19" s="35"/>
    </row>
    <row r="20" spans="1:16" x14ac:dyDescent="0.3">
      <c r="A20" s="27" t="s">
        <v>103</v>
      </c>
      <c r="B20" s="34"/>
      <c r="E20" s="36" t="s">
        <v>3478</v>
      </c>
      <c r="J20" s="35"/>
    </row>
    <row r="21" spans="1:16" ht="216" x14ac:dyDescent="0.3">
      <c r="A21" s="27" t="s">
        <v>105</v>
      </c>
      <c r="B21" s="34"/>
      <c r="E21" s="29" t="s">
        <v>481</v>
      </c>
      <c r="J21" s="35"/>
    </row>
    <row r="22" spans="1:16" x14ac:dyDescent="0.3">
      <c r="A22" s="27" t="s">
        <v>95</v>
      </c>
      <c r="B22" s="27">
        <v>3</v>
      </c>
      <c r="C22" s="28" t="s">
        <v>2296</v>
      </c>
      <c r="D22" s="27" t="s">
        <v>129</v>
      </c>
      <c r="E22" s="29" t="s">
        <v>2297</v>
      </c>
      <c r="F22" s="30" t="s">
        <v>229</v>
      </c>
      <c r="G22" s="31">
        <v>35.024999999999999</v>
      </c>
      <c r="H22" s="32">
        <v>0</v>
      </c>
      <c r="I22" s="32">
        <f>ROUND(35.025*H22,P4)</f>
        <v>0</v>
      </c>
      <c r="J22" s="30" t="s">
        <v>118</v>
      </c>
      <c r="O22" s="33">
        <f>I22*0.21</f>
        <v>0</v>
      </c>
      <c r="P22">
        <v>3</v>
      </c>
    </row>
    <row r="23" spans="1:16" ht="158.4" x14ac:dyDescent="0.3">
      <c r="A23" s="27" t="s">
        <v>101</v>
      </c>
      <c r="B23" s="34"/>
      <c r="E23" s="29" t="s">
        <v>3479</v>
      </c>
      <c r="J23" s="35"/>
    </row>
    <row r="24" spans="1:16" ht="28.8" x14ac:dyDescent="0.3">
      <c r="A24" s="27" t="s">
        <v>103</v>
      </c>
      <c r="B24" s="34"/>
      <c r="E24" s="36" t="s">
        <v>3480</v>
      </c>
      <c r="J24" s="35"/>
    </row>
    <row r="25" spans="1:16" ht="28.8" x14ac:dyDescent="0.3">
      <c r="A25" s="27" t="s">
        <v>103</v>
      </c>
      <c r="B25" s="34"/>
      <c r="E25" s="36" t="s">
        <v>3481</v>
      </c>
      <c r="J25" s="35"/>
    </row>
    <row r="26" spans="1:16" x14ac:dyDescent="0.3">
      <c r="A26" s="27" t="s">
        <v>103</v>
      </c>
      <c r="B26" s="34"/>
      <c r="E26" s="36" t="s">
        <v>3482</v>
      </c>
      <c r="J26" s="35"/>
    </row>
    <row r="27" spans="1:16" ht="302.39999999999998" x14ac:dyDescent="0.3">
      <c r="A27" s="27" t="s">
        <v>105</v>
      </c>
      <c r="B27" s="34"/>
      <c r="E27" s="29" t="s">
        <v>2312</v>
      </c>
      <c r="J27" s="35"/>
    </row>
    <row r="28" spans="1:16" x14ac:dyDescent="0.3">
      <c r="A28" s="27" t="s">
        <v>95</v>
      </c>
      <c r="B28" s="27">
        <v>4</v>
      </c>
      <c r="C28" s="28" t="s">
        <v>2313</v>
      </c>
      <c r="D28" s="27" t="s">
        <v>107</v>
      </c>
      <c r="E28" s="29" t="s">
        <v>2314</v>
      </c>
      <c r="F28" s="30" t="s">
        <v>229</v>
      </c>
      <c r="G28" s="31">
        <v>25.175000000000001</v>
      </c>
      <c r="H28" s="32">
        <v>0</v>
      </c>
      <c r="I28" s="32">
        <f>ROUND(25.175*H28,P4)</f>
        <v>0</v>
      </c>
      <c r="J28" s="30" t="s">
        <v>118</v>
      </c>
      <c r="O28" s="33">
        <f>I28*0.21</f>
        <v>0</v>
      </c>
      <c r="P28">
        <v>3</v>
      </c>
    </row>
    <row r="29" spans="1:16" ht="158.4" x14ac:dyDescent="0.3">
      <c r="A29" s="27" t="s">
        <v>101</v>
      </c>
      <c r="B29" s="34"/>
      <c r="E29" s="29" t="s">
        <v>2315</v>
      </c>
      <c r="J29" s="35"/>
    </row>
    <row r="30" spans="1:16" ht="28.8" x14ac:dyDescent="0.3">
      <c r="A30" s="27" t="s">
        <v>103</v>
      </c>
      <c r="B30" s="34"/>
      <c r="E30" s="36" t="s">
        <v>3483</v>
      </c>
      <c r="J30" s="35"/>
    </row>
    <row r="31" spans="1:16" ht="28.8" x14ac:dyDescent="0.3">
      <c r="A31" s="27" t="s">
        <v>103</v>
      </c>
      <c r="B31" s="34"/>
      <c r="E31" s="36" t="s">
        <v>3484</v>
      </c>
      <c r="J31" s="35"/>
    </row>
    <row r="32" spans="1:16" x14ac:dyDescent="0.3">
      <c r="A32" s="27" t="s">
        <v>103</v>
      </c>
      <c r="B32" s="34"/>
      <c r="E32" s="36" t="s">
        <v>3485</v>
      </c>
      <c r="J32" s="35"/>
    </row>
    <row r="33" spans="1:16" ht="360" x14ac:dyDescent="0.3">
      <c r="A33" s="27" t="s">
        <v>105</v>
      </c>
      <c r="B33" s="34"/>
      <c r="E33" s="29" t="s">
        <v>2351</v>
      </c>
      <c r="J33" s="35"/>
    </row>
    <row r="34" spans="1:16" x14ac:dyDescent="0.3">
      <c r="A34" s="21" t="s">
        <v>92</v>
      </c>
      <c r="B34" s="22"/>
      <c r="C34" s="23" t="s">
        <v>121</v>
      </c>
      <c r="D34" s="24"/>
      <c r="E34" s="21" t="s">
        <v>669</v>
      </c>
      <c r="F34" s="24"/>
      <c r="G34" s="24"/>
      <c r="H34" s="24"/>
      <c r="I34" s="25">
        <f>SUMIFS(I35:I40,A35:A40,"P")</f>
        <v>0</v>
      </c>
      <c r="J34" s="26"/>
    </row>
    <row r="35" spans="1:16" x14ac:dyDescent="0.3">
      <c r="A35" s="27" t="s">
        <v>95</v>
      </c>
      <c r="B35" s="27">
        <v>5</v>
      </c>
      <c r="C35" s="28" t="s">
        <v>681</v>
      </c>
      <c r="D35" s="27" t="s">
        <v>116</v>
      </c>
      <c r="E35" s="29" t="s">
        <v>682</v>
      </c>
      <c r="F35" s="30" t="s">
        <v>229</v>
      </c>
      <c r="G35" s="31">
        <v>4</v>
      </c>
      <c r="H35" s="32">
        <v>0</v>
      </c>
      <c r="I35" s="32">
        <f>ROUND(4*H35,P4)</f>
        <v>0</v>
      </c>
      <c r="J35" s="30" t="s">
        <v>118</v>
      </c>
      <c r="O35" s="33">
        <f>I35*0.21</f>
        <v>0</v>
      </c>
      <c r="P35">
        <v>3</v>
      </c>
    </row>
    <row r="36" spans="1:16" ht="158.4" x14ac:dyDescent="0.3">
      <c r="A36" s="27" t="s">
        <v>101</v>
      </c>
      <c r="B36" s="34"/>
      <c r="E36" s="29" t="s">
        <v>2451</v>
      </c>
      <c r="J36" s="35"/>
    </row>
    <row r="37" spans="1:16" ht="28.8" x14ac:dyDescent="0.3">
      <c r="A37" s="27" t="s">
        <v>103</v>
      </c>
      <c r="B37" s="34"/>
      <c r="E37" s="36" t="s">
        <v>3486</v>
      </c>
      <c r="J37" s="35"/>
    </row>
    <row r="38" spans="1:16" ht="28.8" x14ac:dyDescent="0.3">
      <c r="A38" s="27" t="s">
        <v>103</v>
      </c>
      <c r="B38" s="34"/>
      <c r="E38" s="36" t="s">
        <v>3487</v>
      </c>
      <c r="J38" s="35"/>
    </row>
    <row r="39" spans="1:16" x14ac:dyDescent="0.3">
      <c r="A39" s="27" t="s">
        <v>103</v>
      </c>
      <c r="B39" s="34"/>
      <c r="E39" s="36" t="s">
        <v>3488</v>
      </c>
      <c r="J39" s="35"/>
    </row>
    <row r="40" spans="1:16" ht="57.6" x14ac:dyDescent="0.3">
      <c r="A40" s="27" t="s">
        <v>105</v>
      </c>
      <c r="B40" s="34"/>
      <c r="E40" s="29" t="s">
        <v>696</v>
      </c>
      <c r="J40" s="35"/>
    </row>
    <row r="41" spans="1:16" x14ac:dyDescent="0.3">
      <c r="A41" s="21" t="s">
        <v>92</v>
      </c>
      <c r="B41" s="22"/>
      <c r="C41" s="23" t="s">
        <v>1179</v>
      </c>
      <c r="D41" s="24"/>
      <c r="E41" s="21" t="s">
        <v>1180</v>
      </c>
      <c r="F41" s="24"/>
      <c r="G41" s="24"/>
      <c r="H41" s="24"/>
      <c r="I41" s="25">
        <f>SUMIFS(I42:I57,A42:A57,"P")</f>
        <v>0</v>
      </c>
      <c r="J41" s="26"/>
    </row>
    <row r="42" spans="1:16" x14ac:dyDescent="0.3">
      <c r="A42" s="27" t="s">
        <v>95</v>
      </c>
      <c r="B42" s="27">
        <v>6</v>
      </c>
      <c r="C42" s="28" t="s">
        <v>3489</v>
      </c>
      <c r="D42" s="27" t="s">
        <v>129</v>
      </c>
      <c r="E42" s="29" t="s">
        <v>3490</v>
      </c>
      <c r="F42" s="30" t="s">
        <v>237</v>
      </c>
      <c r="G42" s="31">
        <v>60</v>
      </c>
      <c r="H42" s="32">
        <v>0</v>
      </c>
      <c r="I42" s="32">
        <f>ROUND(60*H42,P4)</f>
        <v>0</v>
      </c>
      <c r="J42" s="30" t="s">
        <v>118</v>
      </c>
      <c r="O42" s="33">
        <f>I42*0.21</f>
        <v>0</v>
      </c>
      <c r="P42">
        <v>3</v>
      </c>
    </row>
    <row r="43" spans="1:16" ht="288" x14ac:dyDescent="0.3">
      <c r="A43" s="27" t="s">
        <v>101</v>
      </c>
      <c r="B43" s="34"/>
      <c r="E43" s="29" t="s">
        <v>3491</v>
      </c>
      <c r="J43" s="35"/>
    </row>
    <row r="44" spans="1:16" ht="28.8" x14ac:dyDescent="0.3">
      <c r="A44" s="27" t="s">
        <v>103</v>
      </c>
      <c r="B44" s="34"/>
      <c r="E44" s="36" t="s">
        <v>3492</v>
      </c>
      <c r="J44" s="35"/>
    </row>
    <row r="45" spans="1:16" x14ac:dyDescent="0.3">
      <c r="A45" s="27" t="s">
        <v>103</v>
      </c>
      <c r="B45" s="34"/>
      <c r="E45" s="36" t="s">
        <v>3493</v>
      </c>
      <c r="J45" s="35"/>
    </row>
    <row r="46" spans="1:16" ht="28.8" x14ac:dyDescent="0.3">
      <c r="A46" s="27" t="s">
        <v>103</v>
      </c>
      <c r="B46" s="34"/>
      <c r="E46" s="36" t="s">
        <v>3494</v>
      </c>
      <c r="J46" s="35"/>
    </row>
    <row r="47" spans="1:16" ht="28.8" x14ac:dyDescent="0.3">
      <c r="A47" s="27" t="s">
        <v>103</v>
      </c>
      <c r="B47" s="34"/>
      <c r="E47" s="36" t="s">
        <v>3495</v>
      </c>
      <c r="J47" s="35"/>
    </row>
    <row r="48" spans="1:16" x14ac:dyDescent="0.3">
      <c r="A48" s="27" t="s">
        <v>103</v>
      </c>
      <c r="B48" s="34"/>
      <c r="E48" s="36" t="s">
        <v>3496</v>
      </c>
      <c r="J48" s="35"/>
    </row>
    <row r="49" spans="1:16" x14ac:dyDescent="0.3">
      <c r="A49" s="27" t="s">
        <v>103</v>
      </c>
      <c r="B49" s="34"/>
      <c r="E49" s="36" t="s">
        <v>3497</v>
      </c>
      <c r="J49" s="35"/>
    </row>
    <row r="50" spans="1:16" x14ac:dyDescent="0.3">
      <c r="A50" s="27" t="s">
        <v>103</v>
      </c>
      <c r="B50" s="34"/>
      <c r="E50" s="36" t="s">
        <v>3498</v>
      </c>
      <c r="J50" s="35"/>
    </row>
    <row r="51" spans="1:16" ht="288" x14ac:dyDescent="0.3">
      <c r="A51" s="27" t="s">
        <v>105</v>
      </c>
      <c r="B51" s="34"/>
      <c r="E51" s="29" t="s">
        <v>2687</v>
      </c>
      <c r="J51" s="35"/>
    </row>
    <row r="52" spans="1:16" x14ac:dyDescent="0.3">
      <c r="A52" s="27" t="s">
        <v>95</v>
      </c>
      <c r="B52" s="27">
        <v>7</v>
      </c>
      <c r="C52" s="28" t="s">
        <v>3499</v>
      </c>
      <c r="D52" s="27" t="s">
        <v>129</v>
      </c>
      <c r="E52" s="29" t="s">
        <v>3500</v>
      </c>
      <c r="F52" s="30" t="s">
        <v>237</v>
      </c>
      <c r="G52" s="31">
        <v>20</v>
      </c>
      <c r="H52" s="32">
        <v>0</v>
      </c>
      <c r="I52" s="32">
        <f>ROUND(20*H52,P4)</f>
        <v>0</v>
      </c>
      <c r="J52" s="30" t="s">
        <v>118</v>
      </c>
      <c r="O52" s="33">
        <f>I52*0.21</f>
        <v>0</v>
      </c>
      <c r="P52">
        <v>3</v>
      </c>
    </row>
    <row r="53" spans="1:16" ht="288" x14ac:dyDescent="0.3">
      <c r="A53" s="27" t="s">
        <v>101</v>
      </c>
      <c r="B53" s="34"/>
      <c r="E53" s="29" t="s">
        <v>3501</v>
      </c>
      <c r="J53" s="35"/>
    </row>
    <row r="54" spans="1:16" ht="28.8" x14ac:dyDescent="0.3">
      <c r="A54" s="27" t="s">
        <v>103</v>
      </c>
      <c r="B54" s="34"/>
      <c r="E54" s="36" t="s">
        <v>3502</v>
      </c>
      <c r="J54" s="35"/>
    </row>
    <row r="55" spans="1:16" x14ac:dyDescent="0.3">
      <c r="A55" s="27" t="s">
        <v>103</v>
      </c>
      <c r="B55" s="34"/>
      <c r="E55" s="36" t="s">
        <v>3503</v>
      </c>
      <c r="J55" s="35"/>
    </row>
    <row r="56" spans="1:16" x14ac:dyDescent="0.3">
      <c r="A56" s="27" t="s">
        <v>103</v>
      </c>
      <c r="B56" s="34"/>
      <c r="E56" s="36" t="s">
        <v>3504</v>
      </c>
      <c r="J56" s="35"/>
    </row>
    <row r="57" spans="1:16" ht="288" x14ac:dyDescent="0.3">
      <c r="A57" s="27" t="s">
        <v>105</v>
      </c>
      <c r="B57" s="37"/>
      <c r="C57" s="38"/>
      <c r="D57" s="38"/>
      <c r="E57" s="29" t="s">
        <v>2687</v>
      </c>
      <c r="F57" s="38"/>
      <c r="G57" s="38"/>
      <c r="H57" s="38"/>
      <c r="I57" s="38"/>
      <c r="J57"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1"/>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40</v>
      </c>
      <c r="I3" s="16">
        <f>SUMIFS(I9:I91,A9:A91,"SD")</f>
        <v>0</v>
      </c>
      <c r="J3" s="12"/>
      <c r="O3">
        <v>0</v>
      </c>
      <c r="P3">
        <v>2</v>
      </c>
    </row>
    <row r="4" spans="1:16" ht="27.6" x14ac:dyDescent="0.3">
      <c r="A4" s="2" t="s">
        <v>79</v>
      </c>
      <c r="B4" s="13" t="s">
        <v>492</v>
      </c>
      <c r="C4" s="43" t="s">
        <v>3505</v>
      </c>
      <c r="D4" s="44"/>
      <c r="E4" s="14" t="s">
        <v>3506</v>
      </c>
      <c r="F4" s="2"/>
      <c r="G4" s="2"/>
      <c r="H4" s="2"/>
      <c r="I4" s="2"/>
      <c r="J4" s="12"/>
      <c r="O4">
        <v>0.15</v>
      </c>
      <c r="P4">
        <v>2</v>
      </c>
    </row>
    <row r="5" spans="1:16" x14ac:dyDescent="0.3">
      <c r="A5" s="2" t="s">
        <v>495</v>
      </c>
      <c r="B5" s="13" t="s">
        <v>80</v>
      </c>
      <c r="C5" s="43" t="s">
        <v>40</v>
      </c>
      <c r="D5" s="44"/>
      <c r="E5" s="14" t="s">
        <v>26</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SUMIFS(I10:I26,A10:A26,"P")</f>
        <v>0</v>
      </c>
      <c r="J9" s="26"/>
    </row>
    <row r="10" spans="1:16" x14ac:dyDescent="0.3">
      <c r="A10" s="27" t="s">
        <v>95</v>
      </c>
      <c r="B10" s="27">
        <v>1</v>
      </c>
      <c r="C10" s="28" t="s">
        <v>496</v>
      </c>
      <c r="D10" s="27" t="s">
        <v>129</v>
      </c>
      <c r="E10" s="29" t="s">
        <v>497</v>
      </c>
      <c r="F10" s="30" t="s">
        <v>229</v>
      </c>
      <c r="G10" s="31">
        <v>28.585000000000001</v>
      </c>
      <c r="H10" s="32">
        <v>0</v>
      </c>
      <c r="I10" s="32">
        <f>ROUND(28.585*H10,P4)</f>
        <v>0</v>
      </c>
      <c r="J10" s="30" t="s">
        <v>118</v>
      </c>
      <c r="O10" s="33">
        <f>I10*0.21</f>
        <v>0</v>
      </c>
      <c r="P10">
        <v>3</v>
      </c>
    </row>
    <row r="11" spans="1:16" ht="172.8" x14ac:dyDescent="0.3">
      <c r="A11" s="27" t="s">
        <v>101</v>
      </c>
      <c r="B11" s="34"/>
      <c r="E11" s="29" t="s">
        <v>3507</v>
      </c>
      <c r="J11" s="35"/>
    </row>
    <row r="12" spans="1:16" ht="28.8" x14ac:dyDescent="0.3">
      <c r="A12" s="27" t="s">
        <v>103</v>
      </c>
      <c r="B12" s="34"/>
      <c r="E12" s="36" t="s">
        <v>3508</v>
      </c>
      <c r="J12" s="35"/>
    </row>
    <row r="13" spans="1:16" ht="28.8" x14ac:dyDescent="0.3">
      <c r="A13" s="27" t="s">
        <v>103</v>
      </c>
      <c r="B13" s="34"/>
      <c r="E13" s="36" t="s">
        <v>3509</v>
      </c>
      <c r="J13" s="35"/>
    </row>
    <row r="14" spans="1:16" x14ac:dyDescent="0.3">
      <c r="A14" s="27" t="s">
        <v>103</v>
      </c>
      <c r="B14" s="34"/>
      <c r="E14" s="36" t="s">
        <v>3510</v>
      </c>
      <c r="J14" s="35"/>
    </row>
    <row r="15" spans="1:16" ht="374.4" x14ac:dyDescent="0.3">
      <c r="A15" s="27" t="s">
        <v>105</v>
      </c>
      <c r="B15" s="34"/>
      <c r="E15" s="29" t="s">
        <v>434</v>
      </c>
      <c r="J15" s="35"/>
    </row>
    <row r="16" spans="1:16" x14ac:dyDescent="0.3">
      <c r="A16" s="27" t="s">
        <v>95</v>
      </c>
      <c r="B16" s="27">
        <v>2</v>
      </c>
      <c r="C16" s="28" t="s">
        <v>591</v>
      </c>
      <c r="D16" s="27" t="s">
        <v>129</v>
      </c>
      <c r="E16" s="29" t="s">
        <v>592</v>
      </c>
      <c r="F16" s="30" t="s">
        <v>229</v>
      </c>
      <c r="G16" s="31">
        <v>28.585000000000001</v>
      </c>
      <c r="H16" s="32">
        <v>0</v>
      </c>
      <c r="I16" s="32">
        <f>ROUND(28.585*H16,P4)</f>
        <v>0</v>
      </c>
      <c r="J16" s="30" t="s">
        <v>118</v>
      </c>
      <c r="O16" s="33">
        <f>I16*0.21</f>
        <v>0</v>
      </c>
      <c r="P16">
        <v>3</v>
      </c>
    </row>
    <row r="17" spans="1:16" ht="172.8" x14ac:dyDescent="0.3">
      <c r="A17" s="27" t="s">
        <v>101</v>
      </c>
      <c r="B17" s="34"/>
      <c r="E17" s="29" t="s">
        <v>3507</v>
      </c>
      <c r="J17" s="35"/>
    </row>
    <row r="18" spans="1:16" ht="28.8" x14ac:dyDescent="0.3">
      <c r="A18" s="27" t="s">
        <v>103</v>
      </c>
      <c r="B18" s="34"/>
      <c r="E18" s="36" t="s">
        <v>3508</v>
      </c>
      <c r="J18" s="35"/>
    </row>
    <row r="19" spans="1:16" ht="28.8" x14ac:dyDescent="0.3">
      <c r="A19" s="27" t="s">
        <v>103</v>
      </c>
      <c r="B19" s="34"/>
      <c r="E19" s="36" t="s">
        <v>3509</v>
      </c>
      <c r="J19" s="35"/>
    </row>
    <row r="20" spans="1:16" x14ac:dyDescent="0.3">
      <c r="A20" s="27" t="s">
        <v>103</v>
      </c>
      <c r="B20" s="34"/>
      <c r="E20" s="36" t="s">
        <v>3510</v>
      </c>
      <c r="J20" s="35"/>
    </row>
    <row r="21" spans="1:16" ht="288" x14ac:dyDescent="0.3">
      <c r="A21" s="27" t="s">
        <v>105</v>
      </c>
      <c r="B21" s="34"/>
      <c r="E21" s="29" t="s">
        <v>593</v>
      </c>
      <c r="J21" s="35"/>
    </row>
    <row r="22" spans="1:16" x14ac:dyDescent="0.3">
      <c r="A22" s="27" t="s">
        <v>95</v>
      </c>
      <c r="B22" s="27">
        <v>3</v>
      </c>
      <c r="C22" s="28" t="s">
        <v>610</v>
      </c>
      <c r="D22" s="27" t="s">
        <v>129</v>
      </c>
      <c r="E22" s="29" t="s">
        <v>611</v>
      </c>
      <c r="F22" s="30" t="s">
        <v>248</v>
      </c>
      <c r="G22" s="31">
        <v>1527.9359999999999</v>
      </c>
      <c r="H22" s="32">
        <v>0</v>
      </c>
      <c r="I22" s="32">
        <f>ROUND(1527.936*H22,P4)</f>
        <v>0</v>
      </c>
      <c r="J22" s="30" t="s">
        <v>118</v>
      </c>
      <c r="O22" s="33">
        <f>I22*0.21</f>
        <v>0</v>
      </c>
      <c r="P22">
        <v>3</v>
      </c>
    </row>
    <row r="23" spans="1:16" ht="187.2" x14ac:dyDescent="0.3">
      <c r="A23" s="27" t="s">
        <v>101</v>
      </c>
      <c r="B23" s="34"/>
      <c r="E23" s="29" t="s">
        <v>3511</v>
      </c>
      <c r="J23" s="35"/>
    </row>
    <row r="24" spans="1:16" ht="28.8" x14ac:dyDescent="0.3">
      <c r="A24" s="27" t="s">
        <v>103</v>
      </c>
      <c r="B24" s="34"/>
      <c r="E24" s="36" t="s">
        <v>3512</v>
      </c>
      <c r="J24" s="35"/>
    </row>
    <row r="25" spans="1:16" x14ac:dyDescent="0.3">
      <c r="A25" s="27" t="s">
        <v>103</v>
      </c>
      <c r="B25" s="34"/>
      <c r="E25" s="36" t="s">
        <v>3513</v>
      </c>
      <c r="J25" s="35"/>
    </row>
    <row r="26" spans="1:16" ht="28.8" x14ac:dyDescent="0.3">
      <c r="A26" s="27" t="s">
        <v>105</v>
      </c>
      <c r="B26" s="34"/>
      <c r="E26" s="29" t="s">
        <v>617</v>
      </c>
      <c r="J26" s="35"/>
    </row>
    <row r="27" spans="1:16" x14ac:dyDescent="0.3">
      <c r="A27" s="21" t="s">
        <v>92</v>
      </c>
      <c r="B27" s="22"/>
      <c r="C27" s="23" t="s">
        <v>124</v>
      </c>
      <c r="D27" s="24"/>
      <c r="E27" s="21" t="s">
        <v>226</v>
      </c>
      <c r="F27" s="24"/>
      <c r="G27" s="24"/>
      <c r="H27" s="24"/>
      <c r="I27" s="25">
        <f>SUMIFS(I28:I91,A28:A91,"P")</f>
        <v>0</v>
      </c>
      <c r="J27" s="26"/>
    </row>
    <row r="28" spans="1:16" x14ac:dyDescent="0.3">
      <c r="A28" s="27" t="s">
        <v>95</v>
      </c>
      <c r="B28" s="27">
        <v>4</v>
      </c>
      <c r="C28" s="28" t="s">
        <v>697</v>
      </c>
      <c r="D28" s="27" t="s">
        <v>97</v>
      </c>
      <c r="E28" s="29" t="s">
        <v>698</v>
      </c>
      <c r="F28" s="30" t="s">
        <v>229</v>
      </c>
      <c r="G28" s="31">
        <v>274.43</v>
      </c>
      <c r="H28" s="32">
        <v>0</v>
      </c>
      <c r="I28" s="32">
        <f>ROUND(274.43*H28,P4)</f>
        <v>0</v>
      </c>
      <c r="J28" s="30" t="s">
        <v>118</v>
      </c>
      <c r="O28" s="33">
        <f>I28*0.21</f>
        <v>0</v>
      </c>
      <c r="P28">
        <v>3</v>
      </c>
    </row>
    <row r="29" spans="1:16" ht="158.4" x14ac:dyDescent="0.3">
      <c r="A29" s="27" t="s">
        <v>101</v>
      </c>
      <c r="B29" s="34"/>
      <c r="E29" s="29" t="s">
        <v>3514</v>
      </c>
      <c r="J29" s="35"/>
    </row>
    <row r="30" spans="1:16" ht="28.8" x14ac:dyDescent="0.3">
      <c r="A30" s="27" t="s">
        <v>103</v>
      </c>
      <c r="B30" s="34"/>
      <c r="E30" s="36" t="s">
        <v>3515</v>
      </c>
      <c r="J30" s="35"/>
    </row>
    <row r="31" spans="1:16" ht="28.8" x14ac:dyDescent="0.3">
      <c r="A31" s="27" t="s">
        <v>103</v>
      </c>
      <c r="B31" s="34"/>
      <c r="E31" s="36" t="s">
        <v>3516</v>
      </c>
      <c r="J31" s="35"/>
    </row>
    <row r="32" spans="1:16" ht="28.8" x14ac:dyDescent="0.3">
      <c r="A32" s="27" t="s">
        <v>103</v>
      </c>
      <c r="B32" s="34"/>
      <c r="E32" s="36" t="s">
        <v>3517</v>
      </c>
      <c r="J32" s="35"/>
    </row>
    <row r="33" spans="1:16" ht="28.8" x14ac:dyDescent="0.3">
      <c r="A33" s="27" t="s">
        <v>103</v>
      </c>
      <c r="B33" s="34"/>
      <c r="E33" s="36" t="s">
        <v>3518</v>
      </c>
      <c r="J33" s="35"/>
    </row>
    <row r="34" spans="1:16" x14ac:dyDescent="0.3">
      <c r="A34" s="27" t="s">
        <v>103</v>
      </c>
      <c r="B34" s="34"/>
      <c r="E34" s="36" t="s">
        <v>3519</v>
      </c>
      <c r="J34" s="35"/>
    </row>
    <row r="35" spans="1:16" ht="57.6" x14ac:dyDescent="0.3">
      <c r="A35" s="27" t="s">
        <v>105</v>
      </c>
      <c r="B35" s="34"/>
      <c r="E35" s="29" t="s">
        <v>765</v>
      </c>
      <c r="J35" s="35"/>
    </row>
    <row r="36" spans="1:16" x14ac:dyDescent="0.3">
      <c r="A36" s="27" t="s">
        <v>95</v>
      </c>
      <c r="B36" s="27">
        <v>5</v>
      </c>
      <c r="C36" s="28" t="s">
        <v>697</v>
      </c>
      <c r="D36" s="27" t="s">
        <v>107</v>
      </c>
      <c r="E36" s="29" t="s">
        <v>698</v>
      </c>
      <c r="F36" s="30" t="s">
        <v>229</v>
      </c>
      <c r="G36" s="31">
        <v>267.50700000000001</v>
      </c>
      <c r="H36" s="32">
        <v>0</v>
      </c>
      <c r="I36" s="32">
        <f>ROUND(267.507*H36,P4)</f>
        <v>0</v>
      </c>
      <c r="J36" s="30" t="s">
        <v>118</v>
      </c>
      <c r="O36" s="33">
        <f>I36*0.21</f>
        <v>0</v>
      </c>
      <c r="P36">
        <v>3</v>
      </c>
    </row>
    <row r="37" spans="1:16" ht="158.4" x14ac:dyDescent="0.3">
      <c r="A37" s="27" t="s">
        <v>101</v>
      </c>
      <c r="B37" s="34"/>
      <c r="E37" s="29" t="s">
        <v>3520</v>
      </c>
      <c r="J37" s="35"/>
    </row>
    <row r="38" spans="1:16" ht="28.8" x14ac:dyDescent="0.3">
      <c r="A38" s="27" t="s">
        <v>103</v>
      </c>
      <c r="B38" s="34"/>
      <c r="E38" s="36" t="s">
        <v>3521</v>
      </c>
      <c r="J38" s="35"/>
    </row>
    <row r="39" spans="1:16" ht="28.8" x14ac:dyDescent="0.3">
      <c r="A39" s="27" t="s">
        <v>103</v>
      </c>
      <c r="B39" s="34"/>
      <c r="E39" s="36" t="s">
        <v>3522</v>
      </c>
      <c r="J39" s="35"/>
    </row>
    <row r="40" spans="1:16" ht="28.8" x14ac:dyDescent="0.3">
      <c r="A40" s="27" t="s">
        <v>103</v>
      </c>
      <c r="B40" s="34"/>
      <c r="E40" s="36" t="s">
        <v>3523</v>
      </c>
      <c r="J40" s="35"/>
    </row>
    <row r="41" spans="1:16" ht="28.8" x14ac:dyDescent="0.3">
      <c r="A41" s="27" t="s">
        <v>103</v>
      </c>
      <c r="B41" s="34"/>
      <c r="E41" s="36" t="s">
        <v>3524</v>
      </c>
      <c r="J41" s="35"/>
    </row>
    <row r="42" spans="1:16" ht="28.8" x14ac:dyDescent="0.3">
      <c r="A42" s="27" t="s">
        <v>103</v>
      </c>
      <c r="B42" s="34"/>
      <c r="E42" s="36" t="s">
        <v>3525</v>
      </c>
      <c r="J42" s="35"/>
    </row>
    <row r="43" spans="1:16" ht="28.8" x14ac:dyDescent="0.3">
      <c r="A43" s="27" t="s">
        <v>103</v>
      </c>
      <c r="B43" s="34"/>
      <c r="E43" s="36" t="s">
        <v>3526</v>
      </c>
      <c r="J43" s="35"/>
    </row>
    <row r="44" spans="1:16" x14ac:dyDescent="0.3">
      <c r="A44" s="27" t="s">
        <v>103</v>
      </c>
      <c r="B44" s="34"/>
      <c r="E44" s="36" t="s">
        <v>3527</v>
      </c>
      <c r="J44" s="35"/>
    </row>
    <row r="45" spans="1:16" ht="57.6" x14ac:dyDescent="0.3">
      <c r="A45" s="27" t="s">
        <v>105</v>
      </c>
      <c r="B45" s="34"/>
      <c r="E45" s="29" t="s">
        <v>765</v>
      </c>
      <c r="J45" s="35"/>
    </row>
    <row r="46" spans="1:16" x14ac:dyDescent="0.3">
      <c r="A46" s="27" t="s">
        <v>95</v>
      </c>
      <c r="B46" s="27">
        <v>6</v>
      </c>
      <c r="C46" s="28" t="s">
        <v>916</v>
      </c>
      <c r="D46" s="27" t="s">
        <v>129</v>
      </c>
      <c r="E46" s="29" t="s">
        <v>917</v>
      </c>
      <c r="F46" s="30" t="s">
        <v>229</v>
      </c>
      <c r="G46" s="31">
        <v>37.624000000000002</v>
      </c>
      <c r="H46" s="32">
        <v>0</v>
      </c>
      <c r="I46" s="32">
        <f>ROUND(37.624*H46,P4)</f>
        <v>0</v>
      </c>
      <c r="J46" s="30" t="s">
        <v>118</v>
      </c>
      <c r="O46" s="33">
        <f>I46*0.21</f>
        <v>0</v>
      </c>
      <c r="P46">
        <v>3</v>
      </c>
    </row>
    <row r="47" spans="1:16" ht="172.8" x14ac:dyDescent="0.3">
      <c r="A47" s="27" t="s">
        <v>101</v>
      </c>
      <c r="B47" s="34"/>
      <c r="E47" s="29" t="s">
        <v>3528</v>
      </c>
      <c r="J47" s="35"/>
    </row>
    <row r="48" spans="1:16" ht="28.8" x14ac:dyDescent="0.3">
      <c r="A48" s="27" t="s">
        <v>103</v>
      </c>
      <c r="B48" s="34"/>
      <c r="E48" s="36" t="s">
        <v>3529</v>
      </c>
      <c r="J48" s="35"/>
    </row>
    <row r="49" spans="1:16" ht="28.8" x14ac:dyDescent="0.3">
      <c r="A49" s="27" t="s">
        <v>103</v>
      </c>
      <c r="B49" s="34"/>
      <c r="E49" s="36" t="s">
        <v>3530</v>
      </c>
      <c r="J49" s="35"/>
    </row>
    <row r="50" spans="1:16" x14ac:dyDescent="0.3">
      <c r="A50" s="27" t="s">
        <v>103</v>
      </c>
      <c r="B50" s="34"/>
      <c r="E50" s="36" t="s">
        <v>3531</v>
      </c>
      <c r="J50" s="35"/>
    </row>
    <row r="51" spans="1:16" ht="115.2" x14ac:dyDescent="0.3">
      <c r="A51" s="27" t="s">
        <v>105</v>
      </c>
      <c r="B51" s="34"/>
      <c r="E51" s="29" t="s">
        <v>989</v>
      </c>
      <c r="J51" s="35"/>
    </row>
    <row r="52" spans="1:16" x14ac:dyDescent="0.3">
      <c r="A52" s="27" t="s">
        <v>95</v>
      </c>
      <c r="B52" s="27">
        <v>7</v>
      </c>
      <c r="C52" s="28" t="s">
        <v>990</v>
      </c>
      <c r="D52" s="27" t="s">
        <v>97</v>
      </c>
      <c r="E52" s="29" t="s">
        <v>991</v>
      </c>
      <c r="F52" s="30" t="s">
        <v>248</v>
      </c>
      <c r="G52" s="31">
        <v>1290.0060000000001</v>
      </c>
      <c r="H52" s="32">
        <v>0</v>
      </c>
      <c r="I52" s="32">
        <f>ROUND(1290.006*H52,P4)</f>
        <v>0</v>
      </c>
      <c r="J52" s="30" t="s">
        <v>118</v>
      </c>
      <c r="O52" s="33">
        <f>I52*0.21</f>
        <v>0</v>
      </c>
      <c r="P52">
        <v>3</v>
      </c>
    </row>
    <row r="53" spans="1:16" ht="158.4" x14ac:dyDescent="0.3">
      <c r="A53" s="27" t="s">
        <v>101</v>
      </c>
      <c r="B53" s="34"/>
      <c r="E53" s="29" t="s">
        <v>3532</v>
      </c>
      <c r="J53" s="35"/>
    </row>
    <row r="54" spans="1:16" ht="28.8" x14ac:dyDescent="0.3">
      <c r="A54" s="27" t="s">
        <v>103</v>
      </c>
      <c r="B54" s="34"/>
      <c r="E54" s="36" t="s">
        <v>3533</v>
      </c>
      <c r="J54" s="35"/>
    </row>
    <row r="55" spans="1:16" x14ac:dyDescent="0.3">
      <c r="A55" s="27" t="s">
        <v>103</v>
      </c>
      <c r="B55" s="34"/>
      <c r="E55" s="36" t="s">
        <v>3534</v>
      </c>
      <c r="J55" s="35"/>
    </row>
    <row r="56" spans="1:16" ht="72" x14ac:dyDescent="0.3">
      <c r="A56" s="27" t="s">
        <v>105</v>
      </c>
      <c r="B56" s="34"/>
      <c r="E56" s="29" t="s">
        <v>997</v>
      </c>
      <c r="J56" s="35"/>
    </row>
    <row r="57" spans="1:16" x14ac:dyDescent="0.3">
      <c r="A57" s="27" t="s">
        <v>95</v>
      </c>
      <c r="B57" s="27">
        <v>8</v>
      </c>
      <c r="C57" s="28" t="s">
        <v>990</v>
      </c>
      <c r="D57" s="27" t="s">
        <v>107</v>
      </c>
      <c r="E57" s="29" t="s">
        <v>991</v>
      </c>
      <c r="F57" s="30" t="s">
        <v>248</v>
      </c>
      <c r="G57" s="31">
        <v>1323.616</v>
      </c>
      <c r="H57" s="32">
        <v>0</v>
      </c>
      <c r="I57" s="32">
        <f>ROUND(1323.616*H57,P4)</f>
        <v>0</v>
      </c>
      <c r="J57" s="30" t="s">
        <v>118</v>
      </c>
      <c r="O57" s="33">
        <f>I57*0.21</f>
        <v>0</v>
      </c>
      <c r="P57">
        <v>3</v>
      </c>
    </row>
    <row r="58" spans="1:16" ht="158.4" x14ac:dyDescent="0.3">
      <c r="A58" s="27" t="s">
        <v>101</v>
      </c>
      <c r="B58" s="34"/>
      <c r="E58" s="29" t="s">
        <v>3535</v>
      </c>
      <c r="J58" s="35"/>
    </row>
    <row r="59" spans="1:16" ht="28.8" x14ac:dyDescent="0.3">
      <c r="A59" s="27" t="s">
        <v>103</v>
      </c>
      <c r="B59" s="34"/>
      <c r="E59" s="36" t="s">
        <v>3536</v>
      </c>
      <c r="J59" s="35"/>
    </row>
    <row r="60" spans="1:16" x14ac:dyDescent="0.3">
      <c r="A60" s="27" t="s">
        <v>103</v>
      </c>
      <c r="B60" s="34"/>
      <c r="E60" s="36" t="s">
        <v>3537</v>
      </c>
      <c r="J60" s="35"/>
    </row>
    <row r="61" spans="1:16" ht="72" x14ac:dyDescent="0.3">
      <c r="A61" s="27" t="s">
        <v>105</v>
      </c>
      <c r="B61" s="34"/>
      <c r="E61" s="29" t="s">
        <v>997</v>
      </c>
      <c r="J61" s="35"/>
    </row>
    <row r="62" spans="1:16" x14ac:dyDescent="0.3">
      <c r="A62" s="27" t="s">
        <v>95</v>
      </c>
      <c r="B62" s="27">
        <v>9</v>
      </c>
      <c r="C62" s="28" t="s">
        <v>1005</v>
      </c>
      <c r="D62" s="27" t="s">
        <v>129</v>
      </c>
      <c r="E62" s="29" t="s">
        <v>1006</v>
      </c>
      <c r="F62" s="30" t="s">
        <v>248</v>
      </c>
      <c r="G62" s="31">
        <v>28.353000000000002</v>
      </c>
      <c r="H62" s="32">
        <v>0</v>
      </c>
      <c r="I62" s="32">
        <f>ROUND(28.353*H62,P4)</f>
        <v>0</v>
      </c>
      <c r="J62" s="30" t="s">
        <v>118</v>
      </c>
      <c r="O62" s="33">
        <f>I62*0.21</f>
        <v>0</v>
      </c>
      <c r="P62">
        <v>3</v>
      </c>
    </row>
    <row r="63" spans="1:16" ht="201.6" x14ac:dyDescent="0.3">
      <c r="A63" s="27" t="s">
        <v>101</v>
      </c>
      <c r="B63" s="34"/>
      <c r="E63" s="29" t="s">
        <v>1007</v>
      </c>
      <c r="J63" s="35"/>
    </row>
    <row r="64" spans="1:16" ht="28.8" x14ac:dyDescent="0.3">
      <c r="A64" s="27" t="s">
        <v>103</v>
      </c>
      <c r="B64" s="34"/>
      <c r="E64" s="36" t="s">
        <v>3538</v>
      </c>
      <c r="J64" s="35"/>
    </row>
    <row r="65" spans="1:16" ht="28.8" x14ac:dyDescent="0.3">
      <c r="A65" s="27" t="s">
        <v>103</v>
      </c>
      <c r="B65" s="34"/>
      <c r="E65" s="36" t="s">
        <v>3539</v>
      </c>
      <c r="J65" s="35"/>
    </row>
    <row r="66" spans="1:16" x14ac:dyDescent="0.3">
      <c r="A66" s="27" t="s">
        <v>103</v>
      </c>
      <c r="B66" s="34"/>
      <c r="E66" s="36" t="s">
        <v>3540</v>
      </c>
      <c r="J66" s="35"/>
    </row>
    <row r="67" spans="1:16" ht="57.6" x14ac:dyDescent="0.3">
      <c r="A67" s="27" t="s">
        <v>105</v>
      </c>
      <c r="B67" s="34"/>
      <c r="E67" s="29" t="s">
        <v>1011</v>
      </c>
      <c r="J67" s="35"/>
    </row>
    <row r="68" spans="1:16" x14ac:dyDescent="0.3">
      <c r="A68" s="27" t="s">
        <v>95</v>
      </c>
      <c r="B68" s="27">
        <v>10</v>
      </c>
      <c r="C68" s="28" t="s">
        <v>1012</v>
      </c>
      <c r="D68" s="27" t="s">
        <v>129</v>
      </c>
      <c r="E68" s="29" t="s">
        <v>1013</v>
      </c>
      <c r="F68" s="30" t="s">
        <v>229</v>
      </c>
      <c r="G68" s="31">
        <v>50.067999999999998</v>
      </c>
      <c r="H68" s="32">
        <v>0</v>
      </c>
      <c r="I68" s="32">
        <f>ROUND(50.068*H68,P4)</f>
        <v>0</v>
      </c>
      <c r="J68" s="30" t="s">
        <v>100</v>
      </c>
      <c r="O68" s="33">
        <f>I68*0.21</f>
        <v>0</v>
      </c>
      <c r="P68">
        <v>3</v>
      </c>
    </row>
    <row r="69" spans="1:16" ht="158.4" x14ac:dyDescent="0.3">
      <c r="A69" s="27" t="s">
        <v>101</v>
      </c>
      <c r="B69" s="34"/>
      <c r="E69" s="29" t="s">
        <v>3541</v>
      </c>
      <c r="J69" s="35"/>
    </row>
    <row r="70" spans="1:16" ht="28.8" x14ac:dyDescent="0.3">
      <c r="A70" s="27" t="s">
        <v>103</v>
      </c>
      <c r="B70" s="34"/>
      <c r="E70" s="36" t="s">
        <v>3542</v>
      </c>
      <c r="J70" s="35"/>
    </row>
    <row r="71" spans="1:16" ht="28.8" x14ac:dyDescent="0.3">
      <c r="A71" s="27" t="s">
        <v>103</v>
      </c>
      <c r="B71" s="34"/>
      <c r="E71" s="36" t="s">
        <v>3543</v>
      </c>
      <c r="J71" s="35"/>
    </row>
    <row r="72" spans="1:16" ht="28.8" x14ac:dyDescent="0.3">
      <c r="A72" s="27" t="s">
        <v>103</v>
      </c>
      <c r="B72" s="34"/>
      <c r="E72" s="36" t="s">
        <v>3544</v>
      </c>
      <c r="J72" s="35"/>
    </row>
    <row r="73" spans="1:16" ht="28.8" x14ac:dyDescent="0.3">
      <c r="A73" s="27" t="s">
        <v>103</v>
      </c>
      <c r="B73" s="34"/>
      <c r="E73" s="36" t="s">
        <v>3545</v>
      </c>
      <c r="J73" s="35"/>
    </row>
    <row r="74" spans="1:16" x14ac:dyDescent="0.3">
      <c r="A74" s="27" t="s">
        <v>103</v>
      </c>
      <c r="B74" s="34"/>
      <c r="E74" s="36" t="s">
        <v>3546</v>
      </c>
      <c r="J74" s="35"/>
    </row>
    <row r="75" spans="1:16" ht="187.2" x14ac:dyDescent="0.3">
      <c r="A75" s="27" t="s">
        <v>105</v>
      </c>
      <c r="B75" s="34"/>
      <c r="E75" s="29" t="s">
        <v>1066</v>
      </c>
      <c r="J75" s="35"/>
    </row>
    <row r="76" spans="1:16" x14ac:dyDescent="0.3">
      <c r="A76" s="27" t="s">
        <v>95</v>
      </c>
      <c r="B76" s="27">
        <v>11</v>
      </c>
      <c r="C76" s="28" t="s">
        <v>1067</v>
      </c>
      <c r="D76" s="27" t="s">
        <v>129</v>
      </c>
      <c r="E76" s="29" t="s">
        <v>1068</v>
      </c>
      <c r="F76" s="30" t="s">
        <v>229</v>
      </c>
      <c r="G76" s="31">
        <v>76.430000000000007</v>
      </c>
      <c r="H76" s="32">
        <v>0</v>
      </c>
      <c r="I76" s="32">
        <f>ROUND(76.43*H76,P4)</f>
        <v>0</v>
      </c>
      <c r="J76" s="30" t="s">
        <v>100</v>
      </c>
      <c r="O76" s="33">
        <f>I76*0.21</f>
        <v>0</v>
      </c>
      <c r="P76">
        <v>3</v>
      </c>
    </row>
    <row r="77" spans="1:16" ht="172.8" x14ac:dyDescent="0.3">
      <c r="A77" s="27" t="s">
        <v>101</v>
      </c>
      <c r="B77" s="34"/>
      <c r="E77" s="29" t="s">
        <v>3547</v>
      </c>
      <c r="J77" s="35"/>
    </row>
    <row r="78" spans="1:16" ht="28.8" x14ac:dyDescent="0.3">
      <c r="A78" s="27" t="s">
        <v>103</v>
      </c>
      <c r="B78" s="34"/>
      <c r="E78" s="36" t="s">
        <v>3548</v>
      </c>
      <c r="J78" s="35"/>
    </row>
    <row r="79" spans="1:16" ht="28.8" x14ac:dyDescent="0.3">
      <c r="A79" s="27" t="s">
        <v>103</v>
      </c>
      <c r="B79" s="34"/>
      <c r="E79" s="36" t="s">
        <v>3549</v>
      </c>
      <c r="J79" s="35"/>
    </row>
    <row r="80" spans="1:16" ht="28.8" x14ac:dyDescent="0.3">
      <c r="A80" s="27" t="s">
        <v>103</v>
      </c>
      <c r="B80" s="34"/>
      <c r="E80" s="36" t="s">
        <v>3550</v>
      </c>
      <c r="J80" s="35"/>
    </row>
    <row r="81" spans="1:16" ht="28.8" x14ac:dyDescent="0.3">
      <c r="A81" s="27" t="s">
        <v>103</v>
      </c>
      <c r="B81" s="34"/>
      <c r="E81" s="36" t="s">
        <v>3551</v>
      </c>
      <c r="J81" s="35"/>
    </row>
    <row r="82" spans="1:16" x14ac:dyDescent="0.3">
      <c r="A82" s="27" t="s">
        <v>103</v>
      </c>
      <c r="B82" s="34"/>
      <c r="E82" s="36" t="s">
        <v>3552</v>
      </c>
      <c r="J82" s="35"/>
    </row>
    <row r="83" spans="1:16" ht="187.2" x14ac:dyDescent="0.3">
      <c r="A83" s="27" t="s">
        <v>105</v>
      </c>
      <c r="B83" s="34"/>
      <c r="E83" s="29" t="s">
        <v>1066</v>
      </c>
      <c r="J83" s="35"/>
    </row>
    <row r="84" spans="1:16" x14ac:dyDescent="0.3">
      <c r="A84" s="27" t="s">
        <v>95</v>
      </c>
      <c r="B84" s="27">
        <v>12</v>
      </c>
      <c r="C84" s="28" t="s">
        <v>1120</v>
      </c>
      <c r="D84" s="27" t="s">
        <v>129</v>
      </c>
      <c r="E84" s="29" t="s">
        <v>1121</v>
      </c>
      <c r="F84" s="30" t="s">
        <v>229</v>
      </c>
      <c r="G84" s="31">
        <v>116.574</v>
      </c>
      <c r="H84" s="32">
        <v>0</v>
      </c>
      <c r="I84" s="32">
        <f>ROUND(116.574*H84,P4)</f>
        <v>0</v>
      </c>
      <c r="J84" s="30" t="s">
        <v>100</v>
      </c>
      <c r="O84" s="33">
        <f>I84*0.21</f>
        <v>0</v>
      </c>
      <c r="P84">
        <v>3</v>
      </c>
    </row>
    <row r="85" spans="1:16" ht="158.4" x14ac:dyDescent="0.3">
      <c r="A85" s="27" t="s">
        <v>101</v>
      </c>
      <c r="B85" s="34"/>
      <c r="E85" s="29" t="s">
        <v>3553</v>
      </c>
      <c r="J85" s="35"/>
    </row>
    <row r="86" spans="1:16" ht="28.8" x14ac:dyDescent="0.3">
      <c r="A86" s="27" t="s">
        <v>103</v>
      </c>
      <c r="B86" s="34"/>
      <c r="E86" s="36" t="s">
        <v>3554</v>
      </c>
      <c r="J86" s="35"/>
    </row>
    <row r="87" spans="1:16" ht="28.8" x14ac:dyDescent="0.3">
      <c r="A87" s="27" t="s">
        <v>103</v>
      </c>
      <c r="B87" s="34"/>
      <c r="E87" s="36" t="s">
        <v>3555</v>
      </c>
      <c r="J87" s="35"/>
    </row>
    <row r="88" spans="1:16" ht="28.8" x14ac:dyDescent="0.3">
      <c r="A88" s="27" t="s">
        <v>103</v>
      </c>
      <c r="B88" s="34"/>
      <c r="E88" s="36" t="s">
        <v>3556</v>
      </c>
      <c r="J88" s="35"/>
    </row>
    <row r="89" spans="1:16" ht="28.8" x14ac:dyDescent="0.3">
      <c r="A89" s="27" t="s">
        <v>103</v>
      </c>
      <c r="B89" s="34"/>
      <c r="E89" s="36" t="s">
        <v>3557</v>
      </c>
      <c r="J89" s="35"/>
    </row>
    <row r="90" spans="1:16" x14ac:dyDescent="0.3">
      <c r="A90" s="27" t="s">
        <v>103</v>
      </c>
      <c r="B90" s="34"/>
      <c r="E90" s="36" t="s">
        <v>3558</v>
      </c>
      <c r="J90" s="35"/>
    </row>
    <row r="91" spans="1:16" ht="187.2" x14ac:dyDescent="0.3">
      <c r="A91" s="27" t="s">
        <v>105</v>
      </c>
      <c r="B91" s="37"/>
      <c r="C91" s="38"/>
      <c r="D91" s="38"/>
      <c r="E91" s="29" t="s">
        <v>1066</v>
      </c>
      <c r="F91" s="38"/>
      <c r="G91" s="38"/>
      <c r="H91" s="38"/>
      <c r="I91" s="38"/>
      <c r="J91"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5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41</v>
      </c>
      <c r="I3" s="16">
        <f>SUMIFS(I9:I58,A9:A58,"SD")</f>
        <v>0</v>
      </c>
      <c r="J3" s="12"/>
      <c r="O3">
        <v>0</v>
      </c>
      <c r="P3">
        <v>2</v>
      </c>
    </row>
    <row r="4" spans="1:16" ht="27.6" x14ac:dyDescent="0.3">
      <c r="A4" s="2" t="s">
        <v>79</v>
      </c>
      <c r="B4" s="13" t="s">
        <v>492</v>
      </c>
      <c r="C4" s="43" t="s">
        <v>3505</v>
      </c>
      <c r="D4" s="44"/>
      <c r="E4" s="14" t="s">
        <v>3506</v>
      </c>
      <c r="F4" s="2"/>
      <c r="G4" s="2"/>
      <c r="H4" s="2"/>
      <c r="I4" s="2"/>
      <c r="J4" s="12"/>
      <c r="O4">
        <v>0.15</v>
      </c>
      <c r="P4">
        <v>2</v>
      </c>
    </row>
    <row r="5" spans="1:16" x14ac:dyDescent="0.3">
      <c r="A5" s="2" t="s">
        <v>495</v>
      </c>
      <c r="B5" s="13" t="s">
        <v>80</v>
      </c>
      <c r="C5" s="43" t="s">
        <v>41</v>
      </c>
      <c r="D5" s="44"/>
      <c r="E5" s="14" t="s">
        <v>28</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SUMIFS(I10:I49,A10:A49,"P")</f>
        <v>0</v>
      </c>
      <c r="J9" s="26"/>
    </row>
    <row r="10" spans="1:16" x14ac:dyDescent="0.3">
      <c r="A10" s="27" t="s">
        <v>95</v>
      </c>
      <c r="B10" s="27">
        <v>1</v>
      </c>
      <c r="C10" s="28" t="s">
        <v>452</v>
      </c>
      <c r="D10" s="27" t="s">
        <v>129</v>
      </c>
      <c r="E10" s="29" t="s">
        <v>453</v>
      </c>
      <c r="F10" s="30" t="s">
        <v>229</v>
      </c>
      <c r="G10" s="31">
        <v>680.72500000000002</v>
      </c>
      <c r="H10" s="32">
        <v>0</v>
      </c>
      <c r="I10" s="32">
        <f>ROUND(680.725*H10,P4)</f>
        <v>0</v>
      </c>
      <c r="J10" s="30" t="s">
        <v>118</v>
      </c>
      <c r="O10" s="33">
        <f>I10*0.21</f>
        <v>0</v>
      </c>
      <c r="P10">
        <v>3</v>
      </c>
    </row>
    <row r="11" spans="1:16" ht="115.2" x14ac:dyDescent="0.3">
      <c r="A11" s="27" t="s">
        <v>101</v>
      </c>
      <c r="B11" s="34"/>
      <c r="E11" s="29" t="s">
        <v>3559</v>
      </c>
      <c r="J11" s="35"/>
    </row>
    <row r="12" spans="1:16" ht="28.8" x14ac:dyDescent="0.3">
      <c r="A12" s="27" t="s">
        <v>103</v>
      </c>
      <c r="B12" s="34"/>
      <c r="E12" s="36" t="s">
        <v>3560</v>
      </c>
      <c r="J12" s="35"/>
    </row>
    <row r="13" spans="1:16" x14ac:dyDescent="0.3">
      <c r="A13" s="27" t="s">
        <v>103</v>
      </c>
      <c r="B13" s="34"/>
      <c r="E13" s="36" t="s">
        <v>3561</v>
      </c>
      <c r="J13" s="35"/>
    </row>
    <row r="14" spans="1:16" ht="409.6" x14ac:dyDescent="0.3">
      <c r="A14" s="27" t="s">
        <v>105</v>
      </c>
      <c r="B14" s="34"/>
      <c r="E14" s="29" t="s">
        <v>472</v>
      </c>
      <c r="J14" s="35"/>
    </row>
    <row r="15" spans="1:16" x14ac:dyDescent="0.3">
      <c r="A15" s="27" t="s">
        <v>95</v>
      </c>
      <c r="B15" s="27">
        <v>2</v>
      </c>
      <c r="C15" s="28" t="s">
        <v>426</v>
      </c>
      <c r="D15" s="27" t="s">
        <v>129</v>
      </c>
      <c r="E15" s="29" t="s">
        <v>427</v>
      </c>
      <c r="F15" s="30" t="s">
        <v>229</v>
      </c>
      <c r="G15" s="31">
        <v>203.65600000000001</v>
      </c>
      <c r="H15" s="32">
        <v>0</v>
      </c>
      <c r="I15" s="32">
        <f>ROUND(203.656*H15,P4)</f>
        <v>0</v>
      </c>
      <c r="J15" s="30" t="s">
        <v>118</v>
      </c>
      <c r="O15" s="33">
        <f>I15*0.21</f>
        <v>0</v>
      </c>
      <c r="P15">
        <v>3</v>
      </c>
    </row>
    <row r="16" spans="1:16" ht="187.2" x14ac:dyDescent="0.3">
      <c r="A16" s="27" t="s">
        <v>101</v>
      </c>
      <c r="B16" s="34"/>
      <c r="E16" s="29" t="s">
        <v>3562</v>
      </c>
      <c r="J16" s="35"/>
    </row>
    <row r="17" spans="1:16" ht="28.8" x14ac:dyDescent="0.3">
      <c r="A17" s="27" t="s">
        <v>103</v>
      </c>
      <c r="B17" s="34"/>
      <c r="E17" s="36" t="s">
        <v>3563</v>
      </c>
      <c r="J17" s="35"/>
    </row>
    <row r="18" spans="1:16" ht="28.8" x14ac:dyDescent="0.3">
      <c r="A18" s="27" t="s">
        <v>103</v>
      </c>
      <c r="B18" s="34"/>
      <c r="E18" s="36" t="s">
        <v>3564</v>
      </c>
      <c r="J18" s="35"/>
    </row>
    <row r="19" spans="1:16" ht="28.8" x14ac:dyDescent="0.3">
      <c r="A19" s="27" t="s">
        <v>103</v>
      </c>
      <c r="B19" s="34"/>
      <c r="E19" s="36" t="s">
        <v>3565</v>
      </c>
      <c r="J19" s="35"/>
    </row>
    <row r="20" spans="1:16" ht="28.8" x14ac:dyDescent="0.3">
      <c r="A20" s="27" t="s">
        <v>103</v>
      </c>
      <c r="B20" s="34"/>
      <c r="E20" s="36" t="s">
        <v>3566</v>
      </c>
      <c r="J20" s="35"/>
    </row>
    <row r="21" spans="1:16" ht="28.8" x14ac:dyDescent="0.3">
      <c r="A21" s="27" t="s">
        <v>103</v>
      </c>
      <c r="B21" s="34"/>
      <c r="E21" s="36" t="s">
        <v>3567</v>
      </c>
      <c r="J21" s="35"/>
    </row>
    <row r="22" spans="1:16" ht="28.8" x14ac:dyDescent="0.3">
      <c r="A22" s="27" t="s">
        <v>103</v>
      </c>
      <c r="B22" s="34"/>
      <c r="E22" s="36" t="s">
        <v>3568</v>
      </c>
      <c r="J22" s="35"/>
    </row>
    <row r="23" spans="1:16" x14ac:dyDescent="0.3">
      <c r="A23" s="27" t="s">
        <v>103</v>
      </c>
      <c r="B23" s="34"/>
      <c r="E23" s="36" t="s">
        <v>3569</v>
      </c>
      <c r="J23" s="35"/>
    </row>
    <row r="24" spans="1:16" ht="374.4" x14ac:dyDescent="0.3">
      <c r="A24" s="27" t="s">
        <v>105</v>
      </c>
      <c r="B24" s="34"/>
      <c r="E24" s="29" t="s">
        <v>434</v>
      </c>
      <c r="J24" s="35"/>
    </row>
    <row r="25" spans="1:16" x14ac:dyDescent="0.3">
      <c r="A25" s="27" t="s">
        <v>95</v>
      </c>
      <c r="B25" s="27">
        <v>3</v>
      </c>
      <c r="C25" s="28" t="s">
        <v>1592</v>
      </c>
      <c r="D25" s="27" t="s">
        <v>129</v>
      </c>
      <c r="E25" s="29" t="s">
        <v>1593</v>
      </c>
      <c r="F25" s="30" t="s">
        <v>229</v>
      </c>
      <c r="G25" s="31">
        <v>8.5999999999999993E-2</v>
      </c>
      <c r="H25" s="32">
        <v>0</v>
      </c>
      <c r="I25" s="32">
        <f>ROUND(0.086*H25,P4)</f>
        <v>0</v>
      </c>
      <c r="J25" s="30" t="s">
        <v>118</v>
      </c>
      <c r="O25" s="33">
        <f>I25*0.21</f>
        <v>0</v>
      </c>
      <c r="P25">
        <v>3</v>
      </c>
    </row>
    <row r="26" spans="1:16" ht="172.8" x14ac:dyDescent="0.3">
      <c r="A26" s="27" t="s">
        <v>101</v>
      </c>
      <c r="B26" s="34"/>
      <c r="E26" s="29" t="s">
        <v>1860</v>
      </c>
      <c r="J26" s="35"/>
    </row>
    <row r="27" spans="1:16" ht="28.8" x14ac:dyDescent="0.3">
      <c r="A27" s="27" t="s">
        <v>103</v>
      </c>
      <c r="B27" s="34"/>
      <c r="E27" s="36" t="s">
        <v>3570</v>
      </c>
      <c r="J27" s="35"/>
    </row>
    <row r="28" spans="1:16" x14ac:dyDescent="0.3">
      <c r="A28" s="27" t="s">
        <v>103</v>
      </c>
      <c r="B28" s="34"/>
      <c r="E28" s="36" t="s">
        <v>3571</v>
      </c>
      <c r="J28" s="35"/>
    </row>
    <row r="29" spans="1:16" ht="316.8" x14ac:dyDescent="0.3">
      <c r="A29" s="27" t="s">
        <v>105</v>
      </c>
      <c r="B29" s="34"/>
      <c r="E29" s="29" t="s">
        <v>1591</v>
      </c>
      <c r="J29" s="35"/>
    </row>
    <row r="30" spans="1:16" x14ac:dyDescent="0.3">
      <c r="A30" s="27" t="s">
        <v>95</v>
      </c>
      <c r="B30" s="27">
        <v>4</v>
      </c>
      <c r="C30" s="28" t="s">
        <v>476</v>
      </c>
      <c r="D30" s="27" t="s">
        <v>129</v>
      </c>
      <c r="E30" s="29" t="s">
        <v>477</v>
      </c>
      <c r="F30" s="30" t="s">
        <v>229</v>
      </c>
      <c r="G30" s="31">
        <v>680.72500000000002</v>
      </c>
      <c r="H30" s="32">
        <v>0</v>
      </c>
      <c r="I30" s="32">
        <f>ROUND(680.725*H30,P4)</f>
        <v>0</v>
      </c>
      <c r="J30" s="30" t="s">
        <v>118</v>
      </c>
      <c r="O30" s="33">
        <f>I30*0.21</f>
        <v>0</v>
      </c>
      <c r="P30">
        <v>3</v>
      </c>
    </row>
    <row r="31" spans="1:16" ht="115.2" x14ac:dyDescent="0.3">
      <c r="A31" s="27" t="s">
        <v>101</v>
      </c>
      <c r="B31" s="34"/>
      <c r="E31" s="29" t="s">
        <v>3559</v>
      </c>
      <c r="J31" s="35"/>
    </row>
    <row r="32" spans="1:16" ht="28.8" x14ac:dyDescent="0.3">
      <c r="A32" s="27" t="s">
        <v>103</v>
      </c>
      <c r="B32" s="34"/>
      <c r="E32" s="36" t="s">
        <v>3560</v>
      </c>
      <c r="J32" s="35"/>
    </row>
    <row r="33" spans="1:16" x14ac:dyDescent="0.3">
      <c r="A33" s="27" t="s">
        <v>103</v>
      </c>
      <c r="B33" s="34"/>
      <c r="E33" s="36" t="s">
        <v>3561</v>
      </c>
      <c r="J33" s="35"/>
    </row>
    <row r="34" spans="1:16" ht="216" x14ac:dyDescent="0.3">
      <c r="A34" s="27" t="s">
        <v>105</v>
      </c>
      <c r="B34" s="34"/>
      <c r="E34" s="29" t="s">
        <v>481</v>
      </c>
      <c r="J34" s="35"/>
    </row>
    <row r="35" spans="1:16" x14ac:dyDescent="0.3">
      <c r="A35" s="27" t="s">
        <v>95</v>
      </c>
      <c r="B35" s="27">
        <v>5</v>
      </c>
      <c r="C35" s="28" t="s">
        <v>435</v>
      </c>
      <c r="D35" s="27" t="s">
        <v>129</v>
      </c>
      <c r="E35" s="29" t="s">
        <v>436</v>
      </c>
      <c r="F35" s="30" t="s">
        <v>229</v>
      </c>
      <c r="G35" s="31">
        <v>203.65600000000001</v>
      </c>
      <c r="H35" s="32">
        <v>0</v>
      </c>
      <c r="I35" s="32">
        <f>ROUND(203.656*H35,P4)</f>
        <v>0</v>
      </c>
      <c r="J35" s="30" t="s">
        <v>118</v>
      </c>
      <c r="O35" s="33">
        <f>I35*0.21</f>
        <v>0</v>
      </c>
      <c r="P35">
        <v>3</v>
      </c>
    </row>
    <row r="36" spans="1:16" ht="172.8" x14ac:dyDescent="0.3">
      <c r="A36" s="27" t="s">
        <v>101</v>
      </c>
      <c r="B36" s="34"/>
      <c r="E36" s="29" t="s">
        <v>3572</v>
      </c>
      <c r="J36" s="35"/>
    </row>
    <row r="37" spans="1:16" ht="28.8" x14ac:dyDescent="0.3">
      <c r="A37" s="27" t="s">
        <v>103</v>
      </c>
      <c r="B37" s="34"/>
      <c r="E37" s="36" t="s">
        <v>3563</v>
      </c>
      <c r="J37" s="35"/>
    </row>
    <row r="38" spans="1:16" ht="28.8" x14ac:dyDescent="0.3">
      <c r="A38" s="27" t="s">
        <v>103</v>
      </c>
      <c r="B38" s="34"/>
      <c r="E38" s="36" t="s">
        <v>3564</v>
      </c>
      <c r="J38" s="35"/>
    </row>
    <row r="39" spans="1:16" ht="28.8" x14ac:dyDescent="0.3">
      <c r="A39" s="27" t="s">
        <v>103</v>
      </c>
      <c r="B39" s="34"/>
      <c r="E39" s="36" t="s">
        <v>3565</v>
      </c>
      <c r="J39" s="35"/>
    </row>
    <row r="40" spans="1:16" ht="28.8" x14ac:dyDescent="0.3">
      <c r="A40" s="27" t="s">
        <v>103</v>
      </c>
      <c r="B40" s="34"/>
      <c r="E40" s="36" t="s">
        <v>3566</v>
      </c>
      <c r="J40" s="35"/>
    </row>
    <row r="41" spans="1:16" ht="28.8" x14ac:dyDescent="0.3">
      <c r="A41" s="27" t="s">
        <v>103</v>
      </c>
      <c r="B41" s="34"/>
      <c r="E41" s="36" t="s">
        <v>3567</v>
      </c>
      <c r="J41" s="35"/>
    </row>
    <row r="42" spans="1:16" ht="28.8" x14ac:dyDescent="0.3">
      <c r="A42" s="27" t="s">
        <v>103</v>
      </c>
      <c r="B42" s="34"/>
      <c r="E42" s="36" t="s">
        <v>3568</v>
      </c>
      <c r="J42" s="35"/>
    </row>
    <row r="43" spans="1:16" x14ac:dyDescent="0.3">
      <c r="A43" s="27" t="s">
        <v>103</v>
      </c>
      <c r="B43" s="34"/>
      <c r="E43" s="36" t="s">
        <v>3569</v>
      </c>
      <c r="J43" s="35"/>
    </row>
    <row r="44" spans="1:16" ht="43.2" x14ac:dyDescent="0.3">
      <c r="A44" s="27" t="s">
        <v>105</v>
      </c>
      <c r="B44" s="34"/>
      <c r="E44" s="29" t="s">
        <v>438</v>
      </c>
      <c r="J44" s="35"/>
    </row>
    <row r="45" spans="1:16" x14ac:dyDescent="0.3">
      <c r="A45" s="27" t="s">
        <v>95</v>
      </c>
      <c r="B45" s="27">
        <v>6</v>
      </c>
      <c r="C45" s="28" t="s">
        <v>1635</v>
      </c>
      <c r="D45" s="27" t="s">
        <v>129</v>
      </c>
      <c r="E45" s="29" t="s">
        <v>1636</v>
      </c>
      <c r="F45" s="30" t="s">
        <v>248</v>
      </c>
      <c r="G45" s="31">
        <v>1281.7840000000001</v>
      </c>
      <c r="H45" s="32">
        <v>0</v>
      </c>
      <c r="I45" s="32">
        <f>ROUND(1281.784*H45,P4)</f>
        <v>0</v>
      </c>
      <c r="J45" s="30" t="s">
        <v>118</v>
      </c>
      <c r="O45" s="33">
        <f>I45*0.21</f>
        <v>0</v>
      </c>
      <c r="P45">
        <v>3</v>
      </c>
    </row>
    <row r="46" spans="1:16" ht="172.8" x14ac:dyDescent="0.3">
      <c r="A46" s="27" t="s">
        <v>101</v>
      </c>
      <c r="B46" s="34"/>
      <c r="E46" s="29" t="s">
        <v>3573</v>
      </c>
      <c r="J46" s="35"/>
    </row>
    <row r="47" spans="1:16" ht="28.8" x14ac:dyDescent="0.3">
      <c r="A47" s="27" t="s">
        <v>103</v>
      </c>
      <c r="B47" s="34"/>
      <c r="E47" s="36" t="s">
        <v>3574</v>
      </c>
      <c r="J47" s="35"/>
    </row>
    <row r="48" spans="1:16" x14ac:dyDescent="0.3">
      <c r="A48" s="27" t="s">
        <v>103</v>
      </c>
      <c r="B48" s="34"/>
      <c r="E48" s="36" t="s">
        <v>3575</v>
      </c>
      <c r="J48" s="35"/>
    </row>
    <row r="49" spans="1:16" ht="28.8" x14ac:dyDescent="0.3">
      <c r="A49" s="27" t="s">
        <v>105</v>
      </c>
      <c r="B49" s="34"/>
      <c r="E49" s="29" t="s">
        <v>1647</v>
      </c>
      <c r="J49" s="35"/>
    </row>
    <row r="50" spans="1:16" x14ac:dyDescent="0.3">
      <c r="A50" s="21" t="s">
        <v>92</v>
      </c>
      <c r="B50" s="22"/>
      <c r="C50" s="23" t="s">
        <v>107</v>
      </c>
      <c r="D50" s="24"/>
      <c r="E50" s="21" t="s">
        <v>618</v>
      </c>
      <c r="F50" s="24"/>
      <c r="G50" s="24"/>
      <c r="H50" s="24"/>
      <c r="I50" s="25">
        <f>SUMIFS(I51:I58,A51:A58,"P")</f>
        <v>0</v>
      </c>
      <c r="J50" s="26"/>
    </row>
    <row r="51" spans="1:16" x14ac:dyDescent="0.3">
      <c r="A51" s="27" t="s">
        <v>95</v>
      </c>
      <c r="B51" s="27">
        <v>7</v>
      </c>
      <c r="C51" s="28" t="s">
        <v>1648</v>
      </c>
      <c r="D51" s="27" t="s">
        <v>1659</v>
      </c>
      <c r="E51" s="29" t="s">
        <v>1660</v>
      </c>
      <c r="F51" s="30" t="s">
        <v>1650</v>
      </c>
      <c r="G51" s="31">
        <v>837.178</v>
      </c>
      <c r="H51" s="32">
        <v>0</v>
      </c>
      <c r="I51" s="32">
        <f>ROUND(837.178*H51,P4)</f>
        <v>0</v>
      </c>
      <c r="J51" s="30" t="s">
        <v>1200</v>
      </c>
      <c r="O51" s="33">
        <f>I51*0.21</f>
        <v>0</v>
      </c>
      <c r="P51">
        <v>3</v>
      </c>
    </row>
    <row r="52" spans="1:16" ht="172.8" x14ac:dyDescent="0.3">
      <c r="A52" s="27" t="s">
        <v>101</v>
      </c>
      <c r="B52" s="34"/>
      <c r="E52" s="29" t="s">
        <v>3576</v>
      </c>
      <c r="J52" s="35"/>
    </row>
    <row r="53" spans="1:16" ht="28.8" x14ac:dyDescent="0.3">
      <c r="A53" s="27" t="s">
        <v>103</v>
      </c>
      <c r="B53" s="34"/>
      <c r="E53" s="36" t="s">
        <v>3577</v>
      </c>
      <c r="J53" s="35"/>
    </row>
    <row r="54" spans="1:16" ht="28.8" x14ac:dyDescent="0.3">
      <c r="A54" s="27" t="s">
        <v>103</v>
      </c>
      <c r="B54" s="34"/>
      <c r="E54" s="36" t="s">
        <v>3578</v>
      </c>
      <c r="J54" s="35"/>
    </row>
    <row r="55" spans="1:16" ht="28.8" x14ac:dyDescent="0.3">
      <c r="A55" s="27" t="s">
        <v>103</v>
      </c>
      <c r="B55" s="34"/>
      <c r="E55" s="36" t="s">
        <v>3579</v>
      </c>
      <c r="J55" s="35"/>
    </row>
    <row r="56" spans="1:16" ht="28.8" x14ac:dyDescent="0.3">
      <c r="A56" s="27" t="s">
        <v>103</v>
      </c>
      <c r="B56" s="34"/>
      <c r="E56" s="36" t="s">
        <v>3580</v>
      </c>
      <c r="J56" s="35"/>
    </row>
    <row r="57" spans="1:16" x14ac:dyDescent="0.3">
      <c r="A57" s="27" t="s">
        <v>103</v>
      </c>
      <c r="B57" s="34"/>
      <c r="E57" s="36" t="s">
        <v>3581</v>
      </c>
      <c r="J57" s="35"/>
    </row>
    <row r="58" spans="1:16" ht="72" x14ac:dyDescent="0.3">
      <c r="A58" s="27" t="s">
        <v>105</v>
      </c>
      <c r="B58" s="37"/>
      <c r="C58" s="38"/>
      <c r="D58" s="38"/>
      <c r="E58" s="29" t="s">
        <v>1777</v>
      </c>
      <c r="F58" s="38"/>
      <c r="G58" s="38"/>
      <c r="H58" s="38"/>
      <c r="I58" s="38"/>
      <c r="J58"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55"/>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42</v>
      </c>
      <c r="I3" s="16">
        <f>SUMIFS(I8:I55,A8:A55,"SD")</f>
        <v>0</v>
      </c>
      <c r="J3" s="12"/>
      <c r="O3">
        <v>0</v>
      </c>
      <c r="P3">
        <v>2</v>
      </c>
    </row>
    <row r="4" spans="1:16" ht="27.6" x14ac:dyDescent="0.3">
      <c r="A4" s="2" t="s">
        <v>79</v>
      </c>
      <c r="B4" s="13" t="s">
        <v>80</v>
      </c>
      <c r="C4" s="43" t="s">
        <v>42</v>
      </c>
      <c r="D4" s="44"/>
      <c r="E4" s="14" t="s">
        <v>43</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SUMIFS(I9:I25,A9:A25,"P")</f>
        <v>0</v>
      </c>
      <c r="J8" s="26"/>
    </row>
    <row r="9" spans="1:16" x14ac:dyDescent="0.3">
      <c r="A9" s="27" t="s">
        <v>95</v>
      </c>
      <c r="B9" s="27">
        <v>1</v>
      </c>
      <c r="C9" s="28" t="s">
        <v>3582</v>
      </c>
      <c r="D9" s="27" t="s">
        <v>97</v>
      </c>
      <c r="E9" s="29" t="s">
        <v>3583</v>
      </c>
      <c r="F9" s="30" t="s">
        <v>229</v>
      </c>
      <c r="G9" s="31">
        <v>188.45699999999999</v>
      </c>
      <c r="H9" s="32">
        <v>0</v>
      </c>
      <c r="I9" s="32">
        <f>ROUND(188.457*H9,P4)</f>
        <v>0</v>
      </c>
      <c r="J9" s="30" t="s">
        <v>118</v>
      </c>
      <c r="O9" s="33">
        <f>I9*0.21</f>
        <v>0</v>
      </c>
      <c r="P9">
        <v>3</v>
      </c>
    </row>
    <row r="10" spans="1:16" ht="158.4" x14ac:dyDescent="0.3">
      <c r="A10" s="27" t="s">
        <v>101</v>
      </c>
      <c r="B10" s="34"/>
      <c r="E10" s="29" t="s">
        <v>3584</v>
      </c>
      <c r="J10" s="35"/>
    </row>
    <row r="11" spans="1:16" ht="28.8" x14ac:dyDescent="0.3">
      <c r="A11" s="27" t="s">
        <v>103</v>
      </c>
      <c r="B11" s="34"/>
      <c r="E11" s="36" t="s">
        <v>3585</v>
      </c>
      <c r="J11" s="35"/>
    </row>
    <row r="12" spans="1:16" ht="28.8" x14ac:dyDescent="0.3">
      <c r="A12" s="27" t="s">
        <v>103</v>
      </c>
      <c r="B12" s="34"/>
      <c r="E12" s="36" t="s">
        <v>3586</v>
      </c>
      <c r="J12" s="35"/>
    </row>
    <row r="13" spans="1:16" x14ac:dyDescent="0.3">
      <c r="A13" s="27" t="s">
        <v>103</v>
      </c>
      <c r="B13" s="34"/>
      <c r="E13" s="36" t="s">
        <v>3587</v>
      </c>
      <c r="J13" s="35"/>
    </row>
    <row r="14" spans="1:16" ht="86.4" x14ac:dyDescent="0.3">
      <c r="A14" s="27" t="s">
        <v>105</v>
      </c>
      <c r="B14" s="34"/>
      <c r="E14" s="29" t="s">
        <v>3588</v>
      </c>
      <c r="J14" s="35"/>
    </row>
    <row r="15" spans="1:16" x14ac:dyDescent="0.3">
      <c r="A15" s="27" t="s">
        <v>95</v>
      </c>
      <c r="B15" s="27">
        <v>2</v>
      </c>
      <c r="C15" s="28" t="s">
        <v>3582</v>
      </c>
      <c r="D15" s="27" t="s">
        <v>107</v>
      </c>
      <c r="E15" s="29" t="s">
        <v>3583</v>
      </c>
      <c r="F15" s="30" t="s">
        <v>229</v>
      </c>
      <c r="G15" s="31">
        <v>50.575000000000003</v>
      </c>
      <c r="H15" s="32">
        <v>0</v>
      </c>
      <c r="I15" s="32">
        <f>ROUND(50.575*H15,P4)</f>
        <v>0</v>
      </c>
      <c r="J15" s="30" t="s">
        <v>118</v>
      </c>
      <c r="O15" s="33">
        <f>I15*0.21</f>
        <v>0</v>
      </c>
      <c r="P15">
        <v>3</v>
      </c>
    </row>
    <row r="16" spans="1:16" ht="158.4" x14ac:dyDescent="0.3">
      <c r="A16" s="27" t="s">
        <v>101</v>
      </c>
      <c r="B16" s="34"/>
      <c r="E16" s="29" t="s">
        <v>3589</v>
      </c>
      <c r="J16" s="35"/>
    </row>
    <row r="17" spans="1:16" ht="28.8" x14ac:dyDescent="0.3">
      <c r="A17" s="27" t="s">
        <v>103</v>
      </c>
      <c r="B17" s="34"/>
      <c r="E17" s="36" t="s">
        <v>3590</v>
      </c>
      <c r="J17" s="35"/>
    </row>
    <row r="18" spans="1:16" ht="28.8" x14ac:dyDescent="0.3">
      <c r="A18" s="27" t="s">
        <v>103</v>
      </c>
      <c r="B18" s="34"/>
      <c r="E18" s="36" t="s">
        <v>3591</v>
      </c>
      <c r="J18" s="35"/>
    </row>
    <row r="19" spans="1:16" x14ac:dyDescent="0.3">
      <c r="A19" s="27" t="s">
        <v>103</v>
      </c>
      <c r="B19" s="34"/>
      <c r="E19" s="36" t="s">
        <v>3592</v>
      </c>
      <c r="J19" s="35"/>
    </row>
    <row r="20" spans="1:16" ht="86.4" x14ac:dyDescent="0.3">
      <c r="A20" s="27" t="s">
        <v>105</v>
      </c>
      <c r="B20" s="34"/>
      <c r="E20" s="29" t="s">
        <v>3588</v>
      </c>
      <c r="J20" s="35"/>
    </row>
    <row r="21" spans="1:16" x14ac:dyDescent="0.3">
      <c r="A21" s="27" t="s">
        <v>95</v>
      </c>
      <c r="B21" s="27">
        <v>3</v>
      </c>
      <c r="C21" s="28" t="s">
        <v>1635</v>
      </c>
      <c r="D21" s="27" t="s">
        <v>129</v>
      </c>
      <c r="E21" s="29" t="s">
        <v>1636</v>
      </c>
      <c r="F21" s="30" t="s">
        <v>248</v>
      </c>
      <c r="G21" s="31">
        <v>1043.4369999999999</v>
      </c>
      <c r="H21" s="32">
        <v>0</v>
      </c>
      <c r="I21" s="32">
        <f>ROUND(1043.437*H21,P4)</f>
        <v>0</v>
      </c>
      <c r="J21" s="30" t="s">
        <v>118</v>
      </c>
      <c r="O21" s="33">
        <f>I21*0.21</f>
        <v>0</v>
      </c>
      <c r="P21">
        <v>3</v>
      </c>
    </row>
    <row r="22" spans="1:16" ht="172.8" x14ac:dyDescent="0.3">
      <c r="A22" s="27" t="s">
        <v>101</v>
      </c>
      <c r="B22" s="34"/>
      <c r="E22" s="29" t="s">
        <v>3593</v>
      </c>
      <c r="J22" s="35"/>
    </row>
    <row r="23" spans="1:16" ht="28.8" x14ac:dyDescent="0.3">
      <c r="A23" s="27" t="s">
        <v>103</v>
      </c>
      <c r="B23" s="34"/>
      <c r="E23" s="36" t="s">
        <v>3594</v>
      </c>
      <c r="J23" s="35"/>
    </row>
    <row r="24" spans="1:16" x14ac:dyDescent="0.3">
      <c r="A24" s="27" t="s">
        <v>103</v>
      </c>
      <c r="B24" s="34"/>
      <c r="E24" s="36" t="s">
        <v>3595</v>
      </c>
      <c r="J24" s="35"/>
    </row>
    <row r="25" spans="1:16" ht="28.8" x14ac:dyDescent="0.3">
      <c r="A25" s="27" t="s">
        <v>105</v>
      </c>
      <c r="B25" s="34"/>
      <c r="E25" s="29" t="s">
        <v>1647</v>
      </c>
      <c r="J25" s="35"/>
    </row>
    <row r="26" spans="1:16" x14ac:dyDescent="0.3">
      <c r="A26" s="21" t="s">
        <v>92</v>
      </c>
      <c r="B26" s="22"/>
      <c r="C26" s="23" t="s">
        <v>124</v>
      </c>
      <c r="D26" s="24"/>
      <c r="E26" s="21" t="s">
        <v>226</v>
      </c>
      <c r="F26" s="24"/>
      <c r="G26" s="24"/>
      <c r="H26" s="24"/>
      <c r="I26" s="25">
        <f>SUMIFS(I27:I40,A27:A40,"P")</f>
        <v>0</v>
      </c>
      <c r="J26" s="26"/>
    </row>
    <row r="27" spans="1:16" x14ac:dyDescent="0.3">
      <c r="A27" s="27" t="s">
        <v>95</v>
      </c>
      <c r="B27" s="27">
        <v>4</v>
      </c>
      <c r="C27" s="28" t="s">
        <v>990</v>
      </c>
      <c r="D27" s="27" t="s">
        <v>129</v>
      </c>
      <c r="E27" s="29" t="s">
        <v>991</v>
      </c>
      <c r="F27" s="30" t="s">
        <v>248</v>
      </c>
      <c r="G27" s="31">
        <v>2861.6149999999998</v>
      </c>
      <c r="H27" s="32">
        <v>0</v>
      </c>
      <c r="I27" s="32">
        <f>ROUND(2861.615*H27,P4)</f>
        <v>0</v>
      </c>
      <c r="J27" s="30" t="s">
        <v>118</v>
      </c>
      <c r="O27" s="33">
        <f>I27*0.21</f>
        <v>0</v>
      </c>
      <c r="P27">
        <v>3</v>
      </c>
    </row>
    <row r="28" spans="1:16" ht="158.4" x14ac:dyDescent="0.3">
      <c r="A28" s="27" t="s">
        <v>101</v>
      </c>
      <c r="B28" s="34"/>
      <c r="E28" s="29" t="s">
        <v>3596</v>
      </c>
      <c r="J28" s="35"/>
    </row>
    <row r="29" spans="1:16" ht="28.8" x14ac:dyDescent="0.3">
      <c r="A29" s="27" t="s">
        <v>103</v>
      </c>
      <c r="B29" s="34"/>
      <c r="E29" s="36" t="s">
        <v>3597</v>
      </c>
      <c r="J29" s="35"/>
    </row>
    <row r="30" spans="1:16" x14ac:dyDescent="0.3">
      <c r="A30" s="27" t="s">
        <v>103</v>
      </c>
      <c r="B30" s="34"/>
      <c r="E30" s="36" t="s">
        <v>3598</v>
      </c>
      <c r="J30" s="35"/>
    </row>
    <row r="31" spans="1:16" ht="72" x14ac:dyDescent="0.3">
      <c r="A31" s="27" t="s">
        <v>105</v>
      </c>
      <c r="B31" s="34"/>
      <c r="E31" s="29" t="s">
        <v>997</v>
      </c>
      <c r="J31" s="35"/>
    </row>
    <row r="32" spans="1:16" x14ac:dyDescent="0.3">
      <c r="A32" s="27" t="s">
        <v>95</v>
      </c>
      <c r="B32" s="27">
        <v>5</v>
      </c>
      <c r="C32" s="28" t="s">
        <v>1012</v>
      </c>
      <c r="D32" s="27" t="s">
        <v>129</v>
      </c>
      <c r="E32" s="29" t="s">
        <v>1013</v>
      </c>
      <c r="F32" s="30" t="s">
        <v>229</v>
      </c>
      <c r="G32" s="31">
        <v>142.94999999999999</v>
      </c>
      <c r="H32" s="32">
        <v>0</v>
      </c>
      <c r="I32" s="32">
        <f>ROUND(142.95*H32,P4)</f>
        <v>0</v>
      </c>
      <c r="J32" s="30" t="s">
        <v>100</v>
      </c>
      <c r="O32" s="33">
        <f>I32*0.21</f>
        <v>0</v>
      </c>
      <c r="P32">
        <v>3</v>
      </c>
    </row>
    <row r="33" spans="1:16" ht="115.2" x14ac:dyDescent="0.3">
      <c r="A33" s="27" t="s">
        <v>101</v>
      </c>
      <c r="B33" s="34"/>
      <c r="E33" s="29" t="s">
        <v>3599</v>
      </c>
      <c r="J33" s="35"/>
    </row>
    <row r="34" spans="1:16" ht="28.8" x14ac:dyDescent="0.3">
      <c r="A34" s="27" t="s">
        <v>103</v>
      </c>
      <c r="B34" s="34"/>
      <c r="E34" s="36" t="s">
        <v>3600</v>
      </c>
      <c r="J34" s="35"/>
    </row>
    <row r="35" spans="1:16" x14ac:dyDescent="0.3">
      <c r="A35" s="27" t="s">
        <v>103</v>
      </c>
      <c r="B35" s="34"/>
      <c r="E35" s="36" t="s">
        <v>3601</v>
      </c>
      <c r="J35" s="35"/>
    </row>
    <row r="36" spans="1:16" ht="187.2" x14ac:dyDescent="0.3">
      <c r="A36" s="27" t="s">
        <v>105</v>
      </c>
      <c r="B36" s="34"/>
      <c r="E36" s="29" t="s">
        <v>1066</v>
      </c>
      <c r="J36" s="35"/>
    </row>
    <row r="37" spans="1:16" x14ac:dyDescent="0.3">
      <c r="A37" s="27" t="s">
        <v>95</v>
      </c>
      <c r="B37" s="27">
        <v>6</v>
      </c>
      <c r="C37" s="28" t="s">
        <v>3602</v>
      </c>
      <c r="D37" s="27" t="s">
        <v>129</v>
      </c>
      <c r="E37" s="29" t="s">
        <v>3603</v>
      </c>
      <c r="F37" s="30" t="s">
        <v>229</v>
      </c>
      <c r="G37" s="31">
        <v>14.295</v>
      </c>
      <c r="H37" s="32">
        <v>0</v>
      </c>
      <c r="I37" s="32">
        <f>ROUND(14.295*H37,P4)</f>
        <v>0</v>
      </c>
      <c r="J37" s="30" t="s">
        <v>118</v>
      </c>
      <c r="O37" s="33">
        <f>I37*0.21</f>
        <v>0</v>
      </c>
      <c r="P37">
        <v>3</v>
      </c>
    </row>
    <row r="38" spans="1:16" ht="43.2" x14ac:dyDescent="0.3">
      <c r="A38" s="27" t="s">
        <v>101</v>
      </c>
      <c r="B38" s="34"/>
      <c r="E38" s="29" t="s">
        <v>3604</v>
      </c>
      <c r="J38" s="35"/>
    </row>
    <row r="39" spans="1:16" x14ac:dyDescent="0.3">
      <c r="A39" s="27" t="s">
        <v>103</v>
      </c>
      <c r="B39" s="34"/>
      <c r="E39" s="36" t="s">
        <v>3605</v>
      </c>
      <c r="J39" s="35"/>
    </row>
    <row r="40" spans="1:16" ht="158.4" x14ac:dyDescent="0.3">
      <c r="A40" s="27" t="s">
        <v>105</v>
      </c>
      <c r="B40" s="34"/>
      <c r="E40" s="29" t="s">
        <v>3606</v>
      </c>
      <c r="J40" s="35"/>
    </row>
    <row r="41" spans="1:16" x14ac:dyDescent="0.3">
      <c r="A41" s="21" t="s">
        <v>92</v>
      </c>
      <c r="B41" s="22"/>
      <c r="C41" s="23" t="s">
        <v>252</v>
      </c>
      <c r="D41" s="24"/>
      <c r="E41" s="21" t="s">
        <v>253</v>
      </c>
      <c r="F41" s="24"/>
      <c r="G41" s="24"/>
      <c r="H41" s="24"/>
      <c r="I41" s="25">
        <f>SUMIFS(I42:I55,A42:A55,"P")</f>
        <v>0</v>
      </c>
      <c r="J41" s="26"/>
    </row>
    <row r="42" spans="1:16" x14ac:dyDescent="0.3">
      <c r="A42" s="27" t="s">
        <v>95</v>
      </c>
      <c r="B42" s="27">
        <v>7</v>
      </c>
      <c r="C42" s="28" t="s">
        <v>1217</v>
      </c>
      <c r="D42" s="27" t="s">
        <v>129</v>
      </c>
      <c r="E42" s="29" t="s">
        <v>1218</v>
      </c>
      <c r="F42" s="30" t="s">
        <v>237</v>
      </c>
      <c r="G42" s="31">
        <v>75.768000000000001</v>
      </c>
      <c r="H42" s="32">
        <v>0</v>
      </c>
      <c r="I42" s="32">
        <f>ROUND(75.768*H42,P4)</f>
        <v>0</v>
      </c>
      <c r="J42" s="30" t="s">
        <v>118</v>
      </c>
      <c r="O42" s="33">
        <f>I42*0.21</f>
        <v>0</v>
      </c>
      <c r="P42">
        <v>3</v>
      </c>
    </row>
    <row r="43" spans="1:16" ht="172.8" x14ac:dyDescent="0.3">
      <c r="A43" s="27" t="s">
        <v>101</v>
      </c>
      <c r="B43" s="34"/>
      <c r="E43" s="29" t="s">
        <v>3607</v>
      </c>
      <c r="J43" s="35"/>
    </row>
    <row r="44" spans="1:16" ht="28.8" x14ac:dyDescent="0.3">
      <c r="A44" s="27" t="s">
        <v>103</v>
      </c>
      <c r="B44" s="34"/>
      <c r="E44" s="36" t="s">
        <v>3608</v>
      </c>
      <c r="J44" s="35"/>
    </row>
    <row r="45" spans="1:16" ht="28.8" x14ac:dyDescent="0.3">
      <c r="A45" s="27" t="s">
        <v>103</v>
      </c>
      <c r="B45" s="34"/>
      <c r="E45" s="36" t="s">
        <v>3609</v>
      </c>
      <c r="J45" s="35"/>
    </row>
    <row r="46" spans="1:16" ht="28.8" x14ac:dyDescent="0.3">
      <c r="A46" s="27" t="s">
        <v>103</v>
      </c>
      <c r="B46" s="34"/>
      <c r="E46" s="36" t="s">
        <v>3610</v>
      </c>
      <c r="J46" s="35"/>
    </row>
    <row r="47" spans="1:16" x14ac:dyDescent="0.3">
      <c r="A47" s="27" t="s">
        <v>103</v>
      </c>
      <c r="B47" s="34"/>
      <c r="E47" s="36" t="s">
        <v>3611</v>
      </c>
      <c r="J47" s="35"/>
    </row>
    <row r="48" spans="1:16" ht="28.8" x14ac:dyDescent="0.3">
      <c r="A48" s="27" t="s">
        <v>105</v>
      </c>
      <c r="B48" s="34"/>
      <c r="E48" s="29" t="s">
        <v>1241</v>
      </c>
      <c r="J48" s="35"/>
    </row>
    <row r="49" spans="1:16" x14ac:dyDescent="0.3">
      <c r="A49" s="27" t="s">
        <v>95</v>
      </c>
      <c r="B49" s="27">
        <v>8</v>
      </c>
      <c r="C49" s="28" t="s">
        <v>1242</v>
      </c>
      <c r="D49" s="27" t="s">
        <v>129</v>
      </c>
      <c r="E49" s="29" t="s">
        <v>1243</v>
      </c>
      <c r="F49" s="30" t="s">
        <v>237</v>
      </c>
      <c r="G49" s="31">
        <v>75.768000000000001</v>
      </c>
      <c r="H49" s="32">
        <v>0</v>
      </c>
      <c r="I49" s="32">
        <f>ROUND(75.768*H49,P4)</f>
        <v>0</v>
      </c>
      <c r="J49" s="30" t="s">
        <v>118</v>
      </c>
      <c r="O49" s="33">
        <f>I49*0.21</f>
        <v>0</v>
      </c>
      <c r="P49">
        <v>3</v>
      </c>
    </row>
    <row r="50" spans="1:16" ht="172.8" x14ac:dyDescent="0.3">
      <c r="A50" s="27" t="s">
        <v>101</v>
      </c>
      <c r="B50" s="34"/>
      <c r="E50" s="29" t="s">
        <v>3607</v>
      </c>
      <c r="J50" s="35"/>
    </row>
    <row r="51" spans="1:16" ht="28.8" x14ac:dyDescent="0.3">
      <c r="A51" s="27" t="s">
        <v>103</v>
      </c>
      <c r="B51" s="34"/>
      <c r="E51" s="36" t="s">
        <v>3608</v>
      </c>
      <c r="J51" s="35"/>
    </row>
    <row r="52" spans="1:16" ht="28.8" x14ac:dyDescent="0.3">
      <c r="A52" s="27" t="s">
        <v>103</v>
      </c>
      <c r="B52" s="34"/>
      <c r="E52" s="36" t="s">
        <v>3609</v>
      </c>
      <c r="J52" s="35"/>
    </row>
    <row r="53" spans="1:16" ht="28.8" x14ac:dyDescent="0.3">
      <c r="A53" s="27" t="s">
        <v>103</v>
      </c>
      <c r="B53" s="34"/>
      <c r="E53" s="36" t="s">
        <v>3610</v>
      </c>
      <c r="J53" s="35"/>
    </row>
    <row r="54" spans="1:16" x14ac:dyDescent="0.3">
      <c r="A54" s="27" t="s">
        <v>103</v>
      </c>
      <c r="B54" s="34"/>
      <c r="E54" s="36" t="s">
        <v>3611</v>
      </c>
      <c r="J54" s="35"/>
    </row>
    <row r="55" spans="1:16" ht="43.2" x14ac:dyDescent="0.3">
      <c r="A55" s="27" t="s">
        <v>105</v>
      </c>
      <c r="B55" s="37"/>
      <c r="C55" s="38"/>
      <c r="D55" s="38"/>
      <c r="E55" s="29" t="s">
        <v>1244</v>
      </c>
      <c r="F55" s="38"/>
      <c r="G55" s="38"/>
      <c r="H55" s="38"/>
      <c r="I55" s="38"/>
      <c r="J55"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07"/>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33.441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44</v>
      </c>
      <c r="I3" s="16">
        <f>SUMIFS(I8:I107,A8:A107,"SD")</f>
        <v>0</v>
      </c>
      <c r="J3" s="12"/>
      <c r="O3">
        <v>0</v>
      </c>
      <c r="P3">
        <v>2</v>
      </c>
    </row>
    <row r="4" spans="1:16" x14ac:dyDescent="0.3">
      <c r="A4" s="2" t="s">
        <v>79</v>
      </c>
      <c r="B4" s="13" t="s">
        <v>80</v>
      </c>
      <c r="C4" s="43" t="s">
        <v>44</v>
      </c>
      <c r="D4" s="44"/>
      <c r="E4" s="14" t="s">
        <v>45</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SUMIFS(I9:I75,A9:A75,"P")</f>
        <v>0</v>
      </c>
      <c r="J8" s="26"/>
    </row>
    <row r="9" spans="1:16" x14ac:dyDescent="0.3">
      <c r="A9" s="27" t="s">
        <v>95</v>
      </c>
      <c r="B9" s="27">
        <v>1</v>
      </c>
      <c r="C9" s="28" t="s">
        <v>452</v>
      </c>
      <c r="D9" s="27" t="s">
        <v>129</v>
      </c>
      <c r="E9" s="29" t="s">
        <v>453</v>
      </c>
      <c r="F9" s="30" t="s">
        <v>229</v>
      </c>
      <c r="G9" s="31">
        <v>1007.606</v>
      </c>
      <c r="H9" s="32">
        <v>0</v>
      </c>
      <c r="I9" s="32">
        <f>ROUND(1007.606*H9,P4)</f>
        <v>0</v>
      </c>
      <c r="J9" s="30" t="s">
        <v>118</v>
      </c>
      <c r="O9" s="33">
        <f>I9*0.21</f>
        <v>0</v>
      </c>
      <c r="P9">
        <v>3</v>
      </c>
    </row>
    <row r="10" spans="1:16" ht="115.2" x14ac:dyDescent="0.3">
      <c r="A10" s="27" t="s">
        <v>101</v>
      </c>
      <c r="B10" s="34"/>
      <c r="E10" s="29" t="s">
        <v>3612</v>
      </c>
      <c r="J10" s="35"/>
    </row>
    <row r="11" spans="1:16" ht="28.8" x14ac:dyDescent="0.3">
      <c r="A11" s="27" t="s">
        <v>103</v>
      </c>
      <c r="B11" s="34"/>
      <c r="E11" s="36" t="s">
        <v>3613</v>
      </c>
      <c r="J11" s="35"/>
    </row>
    <row r="12" spans="1:16" x14ac:dyDescent="0.3">
      <c r="A12" s="27" t="s">
        <v>103</v>
      </c>
      <c r="B12" s="34"/>
      <c r="E12" s="36" t="s">
        <v>3614</v>
      </c>
      <c r="J12" s="35"/>
    </row>
    <row r="13" spans="1:16" ht="409.6" x14ac:dyDescent="0.3">
      <c r="A13" s="27" t="s">
        <v>105</v>
      </c>
      <c r="B13" s="34"/>
      <c r="E13" s="29" t="s">
        <v>472</v>
      </c>
      <c r="J13" s="35"/>
    </row>
    <row r="14" spans="1:16" x14ac:dyDescent="0.3">
      <c r="A14" s="27" t="s">
        <v>95</v>
      </c>
      <c r="B14" s="27">
        <v>2</v>
      </c>
      <c r="C14" s="28" t="s">
        <v>496</v>
      </c>
      <c r="D14" s="27" t="s">
        <v>129</v>
      </c>
      <c r="E14" s="29" t="s">
        <v>497</v>
      </c>
      <c r="F14" s="30" t="s">
        <v>229</v>
      </c>
      <c r="G14" s="31">
        <v>14.33</v>
      </c>
      <c r="H14" s="32">
        <v>0</v>
      </c>
      <c r="I14" s="32">
        <f>ROUND(14.33*H14,P4)</f>
        <v>0</v>
      </c>
      <c r="J14" s="30" t="s">
        <v>118</v>
      </c>
      <c r="O14" s="33">
        <f>I14*0.21</f>
        <v>0</v>
      </c>
      <c r="P14">
        <v>3</v>
      </c>
    </row>
    <row r="15" spans="1:16" ht="172.8" x14ac:dyDescent="0.3">
      <c r="A15" s="27" t="s">
        <v>101</v>
      </c>
      <c r="B15" s="34"/>
      <c r="E15" s="29" t="s">
        <v>3615</v>
      </c>
      <c r="J15" s="35"/>
    </row>
    <row r="16" spans="1:16" ht="28.8" x14ac:dyDescent="0.3">
      <c r="A16" s="27" t="s">
        <v>103</v>
      </c>
      <c r="B16" s="34"/>
      <c r="E16" s="36" t="s">
        <v>3616</v>
      </c>
      <c r="J16" s="35"/>
    </row>
    <row r="17" spans="1:16" ht="28.8" x14ac:dyDescent="0.3">
      <c r="A17" s="27" t="s">
        <v>103</v>
      </c>
      <c r="B17" s="34"/>
      <c r="E17" s="36" t="s">
        <v>3617</v>
      </c>
      <c r="J17" s="35"/>
    </row>
    <row r="18" spans="1:16" x14ac:dyDescent="0.3">
      <c r="A18" s="27" t="s">
        <v>103</v>
      </c>
      <c r="B18" s="34"/>
      <c r="E18" s="36" t="s">
        <v>3618</v>
      </c>
      <c r="J18" s="35"/>
    </row>
    <row r="19" spans="1:16" ht="374.4" x14ac:dyDescent="0.3">
      <c r="A19" s="27" t="s">
        <v>105</v>
      </c>
      <c r="B19" s="34"/>
      <c r="E19" s="29" t="s">
        <v>434</v>
      </c>
      <c r="J19" s="35"/>
    </row>
    <row r="20" spans="1:16" x14ac:dyDescent="0.3">
      <c r="A20" s="27" t="s">
        <v>95</v>
      </c>
      <c r="B20" s="27">
        <v>3</v>
      </c>
      <c r="C20" s="28" t="s">
        <v>426</v>
      </c>
      <c r="D20" s="27" t="s">
        <v>97</v>
      </c>
      <c r="E20" s="29" t="s">
        <v>427</v>
      </c>
      <c r="F20" s="30" t="s">
        <v>229</v>
      </c>
      <c r="G20" s="31">
        <v>703.93499999999995</v>
      </c>
      <c r="H20" s="32">
        <v>0</v>
      </c>
      <c r="I20" s="32">
        <f>ROUND(703.935*H20,P4)</f>
        <v>0</v>
      </c>
      <c r="J20" s="30" t="s">
        <v>118</v>
      </c>
      <c r="O20" s="33">
        <f>I20*0.21</f>
        <v>0</v>
      </c>
      <c r="P20">
        <v>3</v>
      </c>
    </row>
    <row r="21" spans="1:16" ht="158.4" x14ac:dyDescent="0.3">
      <c r="A21" s="27" t="s">
        <v>101</v>
      </c>
      <c r="B21" s="34"/>
      <c r="E21" s="29" t="s">
        <v>3619</v>
      </c>
      <c r="J21" s="35"/>
    </row>
    <row r="22" spans="1:16" ht="28.8" x14ac:dyDescent="0.3">
      <c r="A22" s="27" t="s">
        <v>103</v>
      </c>
      <c r="B22" s="34"/>
      <c r="E22" s="36" t="s">
        <v>3620</v>
      </c>
      <c r="J22" s="35"/>
    </row>
    <row r="23" spans="1:16" ht="28.8" x14ac:dyDescent="0.3">
      <c r="A23" s="27" t="s">
        <v>103</v>
      </c>
      <c r="B23" s="34"/>
      <c r="E23" s="36" t="s">
        <v>3621</v>
      </c>
      <c r="J23" s="35"/>
    </row>
    <row r="24" spans="1:16" ht="28.8" x14ac:dyDescent="0.3">
      <c r="A24" s="27" t="s">
        <v>103</v>
      </c>
      <c r="B24" s="34"/>
      <c r="E24" s="36" t="s">
        <v>3622</v>
      </c>
      <c r="J24" s="35"/>
    </row>
    <row r="25" spans="1:16" ht="28.8" x14ac:dyDescent="0.3">
      <c r="A25" s="27" t="s">
        <v>103</v>
      </c>
      <c r="B25" s="34"/>
      <c r="E25" s="36" t="s">
        <v>3623</v>
      </c>
      <c r="J25" s="35"/>
    </row>
    <row r="26" spans="1:16" x14ac:dyDescent="0.3">
      <c r="A26" s="27" t="s">
        <v>103</v>
      </c>
      <c r="B26" s="34"/>
      <c r="E26" s="36" t="s">
        <v>3624</v>
      </c>
      <c r="J26" s="35"/>
    </row>
    <row r="27" spans="1:16" ht="374.4" x14ac:dyDescent="0.3">
      <c r="A27" s="27" t="s">
        <v>105</v>
      </c>
      <c r="B27" s="34"/>
      <c r="E27" s="29" t="s">
        <v>434</v>
      </c>
      <c r="J27" s="35"/>
    </row>
    <row r="28" spans="1:16" x14ac:dyDescent="0.3">
      <c r="A28" s="27" t="s">
        <v>95</v>
      </c>
      <c r="B28" s="27">
        <v>4</v>
      </c>
      <c r="C28" s="28" t="s">
        <v>426</v>
      </c>
      <c r="D28" s="27" t="s">
        <v>107</v>
      </c>
      <c r="E28" s="29" t="s">
        <v>427</v>
      </c>
      <c r="F28" s="30" t="s">
        <v>229</v>
      </c>
      <c r="G28" s="31">
        <v>107.762</v>
      </c>
      <c r="H28" s="32">
        <v>0</v>
      </c>
      <c r="I28" s="32">
        <f>ROUND(107.762*H28,P4)</f>
        <v>0</v>
      </c>
      <c r="J28" s="30" t="s">
        <v>118</v>
      </c>
      <c r="O28" s="33">
        <f>I28*0.21</f>
        <v>0</v>
      </c>
      <c r="P28">
        <v>3</v>
      </c>
    </row>
    <row r="29" spans="1:16" ht="172.8" x14ac:dyDescent="0.3">
      <c r="A29" s="27" t="s">
        <v>101</v>
      </c>
      <c r="B29" s="34"/>
      <c r="E29" s="29" t="s">
        <v>3625</v>
      </c>
      <c r="J29" s="35"/>
    </row>
    <row r="30" spans="1:16" ht="28.8" x14ac:dyDescent="0.3">
      <c r="A30" s="27" t="s">
        <v>103</v>
      </c>
      <c r="B30" s="34"/>
      <c r="E30" s="36" t="s">
        <v>3626</v>
      </c>
      <c r="J30" s="35"/>
    </row>
    <row r="31" spans="1:16" ht="28.8" x14ac:dyDescent="0.3">
      <c r="A31" s="27" t="s">
        <v>103</v>
      </c>
      <c r="B31" s="34"/>
      <c r="E31" s="36" t="s">
        <v>3627</v>
      </c>
      <c r="J31" s="35"/>
    </row>
    <row r="32" spans="1:16" ht="28.8" x14ac:dyDescent="0.3">
      <c r="A32" s="27" t="s">
        <v>103</v>
      </c>
      <c r="B32" s="34"/>
      <c r="E32" s="36" t="s">
        <v>3628</v>
      </c>
      <c r="J32" s="35"/>
    </row>
    <row r="33" spans="1:16" x14ac:dyDescent="0.3">
      <c r="A33" s="27" t="s">
        <v>103</v>
      </c>
      <c r="B33" s="34"/>
      <c r="E33" s="36" t="s">
        <v>3629</v>
      </c>
      <c r="J33" s="35"/>
    </row>
    <row r="34" spans="1:16" ht="388.8" x14ac:dyDescent="0.3">
      <c r="A34" s="27" t="s">
        <v>105</v>
      </c>
      <c r="B34" s="34"/>
      <c r="E34" s="29" t="s">
        <v>1588</v>
      </c>
      <c r="J34" s="35"/>
    </row>
    <row r="35" spans="1:16" x14ac:dyDescent="0.3">
      <c r="A35" s="27" t="s">
        <v>95</v>
      </c>
      <c r="B35" s="27">
        <v>5</v>
      </c>
      <c r="C35" s="28" t="s">
        <v>1589</v>
      </c>
      <c r="D35" s="27" t="s">
        <v>129</v>
      </c>
      <c r="E35" s="29" t="s">
        <v>1590</v>
      </c>
      <c r="F35" s="30" t="s">
        <v>229</v>
      </c>
      <c r="G35" s="31">
        <v>703.93499999999995</v>
      </c>
      <c r="H35" s="32">
        <v>0</v>
      </c>
      <c r="I35" s="32">
        <f>ROUND(703.935*H35,P4)</f>
        <v>0</v>
      </c>
      <c r="J35" s="30" t="s">
        <v>118</v>
      </c>
      <c r="O35" s="33">
        <f>I35*0.21</f>
        <v>0</v>
      </c>
      <c r="P35">
        <v>3</v>
      </c>
    </row>
    <row r="36" spans="1:16" ht="158.4" x14ac:dyDescent="0.3">
      <c r="A36" s="27" t="s">
        <v>101</v>
      </c>
      <c r="B36" s="34"/>
      <c r="E36" s="29" t="s">
        <v>3619</v>
      </c>
      <c r="J36" s="35"/>
    </row>
    <row r="37" spans="1:16" ht="28.8" x14ac:dyDescent="0.3">
      <c r="A37" s="27" t="s">
        <v>103</v>
      </c>
      <c r="B37" s="34"/>
      <c r="E37" s="36" t="s">
        <v>3620</v>
      </c>
      <c r="J37" s="35"/>
    </row>
    <row r="38" spans="1:16" ht="28.8" x14ac:dyDescent="0.3">
      <c r="A38" s="27" t="s">
        <v>103</v>
      </c>
      <c r="B38" s="34"/>
      <c r="E38" s="36" t="s">
        <v>3621</v>
      </c>
      <c r="J38" s="35"/>
    </row>
    <row r="39" spans="1:16" ht="28.8" x14ac:dyDescent="0.3">
      <c r="A39" s="27" t="s">
        <v>103</v>
      </c>
      <c r="B39" s="34"/>
      <c r="E39" s="36" t="s">
        <v>3622</v>
      </c>
      <c r="J39" s="35"/>
    </row>
    <row r="40" spans="1:16" ht="28.8" x14ac:dyDescent="0.3">
      <c r="A40" s="27" t="s">
        <v>103</v>
      </c>
      <c r="B40" s="34"/>
      <c r="E40" s="36" t="s">
        <v>3623</v>
      </c>
      <c r="J40" s="35"/>
    </row>
    <row r="41" spans="1:16" x14ac:dyDescent="0.3">
      <c r="A41" s="27" t="s">
        <v>103</v>
      </c>
      <c r="B41" s="34"/>
      <c r="E41" s="36" t="s">
        <v>3624</v>
      </c>
      <c r="J41" s="35"/>
    </row>
    <row r="42" spans="1:16" ht="316.8" x14ac:dyDescent="0.3">
      <c r="A42" s="27" t="s">
        <v>105</v>
      </c>
      <c r="B42" s="34"/>
      <c r="E42" s="29" t="s">
        <v>1591</v>
      </c>
      <c r="J42" s="35"/>
    </row>
    <row r="43" spans="1:16" x14ac:dyDescent="0.3">
      <c r="A43" s="27" t="s">
        <v>95</v>
      </c>
      <c r="B43" s="27">
        <v>6</v>
      </c>
      <c r="C43" s="28" t="s">
        <v>1592</v>
      </c>
      <c r="D43" s="27" t="s">
        <v>129</v>
      </c>
      <c r="E43" s="29" t="s">
        <v>1593</v>
      </c>
      <c r="F43" s="30" t="s">
        <v>229</v>
      </c>
      <c r="G43" s="31">
        <v>4.7E-2</v>
      </c>
      <c r="H43" s="32">
        <v>0</v>
      </c>
      <c r="I43" s="32">
        <f>ROUND(0.047*H43,P4)</f>
        <v>0</v>
      </c>
      <c r="J43" s="30" t="s">
        <v>118</v>
      </c>
      <c r="O43" s="33">
        <f>I43*0.21</f>
        <v>0</v>
      </c>
      <c r="P43">
        <v>3</v>
      </c>
    </row>
    <row r="44" spans="1:16" ht="172.8" x14ac:dyDescent="0.3">
      <c r="A44" s="27" t="s">
        <v>101</v>
      </c>
      <c r="B44" s="34"/>
      <c r="E44" s="29" t="s">
        <v>3630</v>
      </c>
      <c r="J44" s="35"/>
    </row>
    <row r="45" spans="1:16" ht="28.8" x14ac:dyDescent="0.3">
      <c r="A45" s="27" t="s">
        <v>103</v>
      </c>
      <c r="B45" s="34"/>
      <c r="E45" s="36" t="s">
        <v>3631</v>
      </c>
      <c r="J45" s="35"/>
    </row>
    <row r="46" spans="1:16" x14ac:dyDescent="0.3">
      <c r="A46" s="27" t="s">
        <v>103</v>
      </c>
      <c r="B46" s="34"/>
      <c r="E46" s="36" t="s">
        <v>3632</v>
      </c>
      <c r="J46" s="35"/>
    </row>
    <row r="47" spans="1:16" ht="316.8" x14ac:dyDescent="0.3">
      <c r="A47" s="27" t="s">
        <v>105</v>
      </c>
      <c r="B47" s="34"/>
      <c r="E47" s="29" t="s">
        <v>1591</v>
      </c>
      <c r="J47" s="35"/>
    </row>
    <row r="48" spans="1:16" x14ac:dyDescent="0.3">
      <c r="A48" s="27" t="s">
        <v>95</v>
      </c>
      <c r="B48" s="27">
        <v>7</v>
      </c>
      <c r="C48" s="28" t="s">
        <v>476</v>
      </c>
      <c r="D48" s="27" t="s">
        <v>129</v>
      </c>
      <c r="E48" s="29" t="s">
        <v>477</v>
      </c>
      <c r="F48" s="30" t="s">
        <v>229</v>
      </c>
      <c r="G48" s="31">
        <v>1007.606</v>
      </c>
      <c r="H48" s="32">
        <v>0</v>
      </c>
      <c r="I48" s="32">
        <f>ROUND(1007.606*H48,P4)</f>
        <v>0</v>
      </c>
      <c r="J48" s="30" t="s">
        <v>118</v>
      </c>
      <c r="O48" s="33">
        <f>I48*0.21</f>
        <v>0</v>
      </c>
      <c r="P48">
        <v>3</v>
      </c>
    </row>
    <row r="49" spans="1:16" ht="115.2" x14ac:dyDescent="0.3">
      <c r="A49" s="27" t="s">
        <v>101</v>
      </c>
      <c r="B49" s="34"/>
      <c r="E49" s="29" t="s">
        <v>3612</v>
      </c>
      <c r="J49" s="35"/>
    </row>
    <row r="50" spans="1:16" ht="28.8" x14ac:dyDescent="0.3">
      <c r="A50" s="27" t="s">
        <v>103</v>
      </c>
      <c r="B50" s="34"/>
      <c r="E50" s="36" t="s">
        <v>3613</v>
      </c>
      <c r="J50" s="35"/>
    </row>
    <row r="51" spans="1:16" x14ac:dyDescent="0.3">
      <c r="A51" s="27" t="s">
        <v>103</v>
      </c>
      <c r="B51" s="34"/>
      <c r="E51" s="36" t="s">
        <v>3614</v>
      </c>
      <c r="J51" s="35"/>
    </row>
    <row r="52" spans="1:16" ht="216" x14ac:dyDescent="0.3">
      <c r="A52" s="27" t="s">
        <v>105</v>
      </c>
      <c r="B52" s="34"/>
      <c r="E52" s="29" t="s">
        <v>481</v>
      </c>
      <c r="J52" s="35"/>
    </row>
    <row r="53" spans="1:16" x14ac:dyDescent="0.3">
      <c r="A53" s="27" t="s">
        <v>95</v>
      </c>
      <c r="B53" s="27">
        <v>8</v>
      </c>
      <c r="C53" s="28" t="s">
        <v>591</v>
      </c>
      <c r="D53" s="27" t="s">
        <v>129</v>
      </c>
      <c r="E53" s="29" t="s">
        <v>592</v>
      </c>
      <c r="F53" s="30" t="s">
        <v>229</v>
      </c>
      <c r="G53" s="31">
        <v>14.33</v>
      </c>
      <c r="H53" s="32">
        <v>0</v>
      </c>
      <c r="I53" s="32">
        <f>ROUND(14.33*H53,P4)</f>
        <v>0</v>
      </c>
      <c r="J53" s="30" t="s">
        <v>118</v>
      </c>
      <c r="O53" s="33">
        <f>I53*0.21</f>
        <v>0</v>
      </c>
      <c r="P53">
        <v>3</v>
      </c>
    </row>
    <row r="54" spans="1:16" ht="172.8" x14ac:dyDescent="0.3">
      <c r="A54" s="27" t="s">
        <v>101</v>
      </c>
      <c r="B54" s="34"/>
      <c r="E54" s="29" t="s">
        <v>3615</v>
      </c>
      <c r="J54" s="35"/>
    </row>
    <row r="55" spans="1:16" ht="28.8" x14ac:dyDescent="0.3">
      <c r="A55" s="27" t="s">
        <v>103</v>
      </c>
      <c r="B55" s="34"/>
      <c r="E55" s="36" t="s">
        <v>3616</v>
      </c>
      <c r="J55" s="35"/>
    </row>
    <row r="56" spans="1:16" ht="28.8" x14ac:dyDescent="0.3">
      <c r="A56" s="27" t="s">
        <v>103</v>
      </c>
      <c r="B56" s="34"/>
      <c r="E56" s="36" t="s">
        <v>3617</v>
      </c>
      <c r="J56" s="35"/>
    </row>
    <row r="57" spans="1:16" x14ac:dyDescent="0.3">
      <c r="A57" s="27" t="s">
        <v>103</v>
      </c>
      <c r="B57" s="34"/>
      <c r="E57" s="36" t="s">
        <v>3618</v>
      </c>
      <c r="J57" s="35"/>
    </row>
    <row r="58" spans="1:16" ht="288" x14ac:dyDescent="0.3">
      <c r="A58" s="27" t="s">
        <v>105</v>
      </c>
      <c r="B58" s="34"/>
      <c r="E58" s="29" t="s">
        <v>593</v>
      </c>
      <c r="J58" s="35"/>
    </row>
    <row r="59" spans="1:16" x14ac:dyDescent="0.3">
      <c r="A59" s="27" t="s">
        <v>95</v>
      </c>
      <c r="B59" s="27">
        <v>9</v>
      </c>
      <c r="C59" s="28" t="s">
        <v>3633</v>
      </c>
      <c r="D59" s="27" t="s">
        <v>129</v>
      </c>
      <c r="E59" s="29" t="s">
        <v>3634</v>
      </c>
      <c r="F59" s="30" t="s">
        <v>248</v>
      </c>
      <c r="G59" s="31">
        <v>1308.643</v>
      </c>
      <c r="H59" s="32">
        <v>0</v>
      </c>
      <c r="I59" s="32">
        <f>ROUND(1308.643*H59,P4)</f>
        <v>0</v>
      </c>
      <c r="J59" s="30" t="s">
        <v>118</v>
      </c>
      <c r="O59" s="33">
        <f>I59*0.21</f>
        <v>0</v>
      </c>
      <c r="P59">
        <v>3</v>
      </c>
    </row>
    <row r="60" spans="1:16" ht="187.2" x14ac:dyDescent="0.3">
      <c r="A60" s="27" t="s">
        <v>101</v>
      </c>
      <c r="B60" s="34"/>
      <c r="E60" s="29" t="s">
        <v>3635</v>
      </c>
      <c r="J60" s="35"/>
    </row>
    <row r="61" spans="1:16" ht="28.8" x14ac:dyDescent="0.3">
      <c r="A61" s="27" t="s">
        <v>103</v>
      </c>
      <c r="B61" s="34"/>
      <c r="E61" s="36" t="s">
        <v>3636</v>
      </c>
      <c r="J61" s="35"/>
    </row>
    <row r="62" spans="1:16" x14ac:dyDescent="0.3">
      <c r="A62" s="27" t="s">
        <v>103</v>
      </c>
      <c r="B62" s="34"/>
      <c r="E62" s="36" t="s">
        <v>3637</v>
      </c>
      <c r="J62" s="35"/>
    </row>
    <row r="63" spans="1:16" ht="28.8" x14ac:dyDescent="0.3">
      <c r="A63" s="27" t="s">
        <v>105</v>
      </c>
      <c r="B63" s="34"/>
      <c r="E63" s="29" t="s">
        <v>617</v>
      </c>
      <c r="J63" s="35"/>
    </row>
    <row r="64" spans="1:16" x14ac:dyDescent="0.3">
      <c r="A64" s="27" t="s">
        <v>95</v>
      </c>
      <c r="B64" s="27">
        <v>10</v>
      </c>
      <c r="C64" s="28" t="s">
        <v>435</v>
      </c>
      <c r="D64" s="27" t="s">
        <v>129</v>
      </c>
      <c r="E64" s="29" t="s">
        <v>436</v>
      </c>
      <c r="F64" s="30" t="s">
        <v>229</v>
      </c>
      <c r="G64" s="31">
        <v>107.762</v>
      </c>
      <c r="H64" s="32">
        <v>0</v>
      </c>
      <c r="I64" s="32">
        <f>ROUND(107.762*H64,P4)</f>
        <v>0</v>
      </c>
      <c r="J64" s="30" t="s">
        <v>118</v>
      </c>
      <c r="O64" s="33">
        <f>I64*0.21</f>
        <v>0</v>
      </c>
      <c r="P64">
        <v>3</v>
      </c>
    </row>
    <row r="65" spans="1:16" ht="28.8" x14ac:dyDescent="0.3">
      <c r="A65" s="27" t="s">
        <v>101</v>
      </c>
      <c r="B65" s="34"/>
      <c r="E65" s="29" t="s">
        <v>3638</v>
      </c>
      <c r="J65" s="35"/>
    </row>
    <row r="66" spans="1:16" ht="28.8" x14ac:dyDescent="0.3">
      <c r="A66" s="27" t="s">
        <v>103</v>
      </c>
      <c r="B66" s="34"/>
      <c r="E66" s="36" t="s">
        <v>3639</v>
      </c>
      <c r="J66" s="35"/>
    </row>
    <row r="67" spans="1:16" ht="28.8" x14ac:dyDescent="0.3">
      <c r="A67" s="27" t="s">
        <v>103</v>
      </c>
      <c r="B67" s="34"/>
      <c r="E67" s="36" t="s">
        <v>3640</v>
      </c>
      <c r="J67" s="35"/>
    </row>
    <row r="68" spans="1:16" ht="28.8" x14ac:dyDescent="0.3">
      <c r="A68" s="27" t="s">
        <v>103</v>
      </c>
      <c r="B68" s="34"/>
      <c r="E68" s="36" t="s">
        <v>3641</v>
      </c>
      <c r="J68" s="35"/>
    </row>
    <row r="69" spans="1:16" x14ac:dyDescent="0.3">
      <c r="A69" s="27" t="s">
        <v>103</v>
      </c>
      <c r="B69" s="34"/>
      <c r="E69" s="36" t="s">
        <v>3642</v>
      </c>
      <c r="J69" s="35"/>
    </row>
    <row r="70" spans="1:16" ht="72" x14ac:dyDescent="0.3">
      <c r="A70" s="27" t="s">
        <v>105</v>
      </c>
      <c r="B70" s="34"/>
      <c r="E70" s="29" t="s">
        <v>3643</v>
      </c>
      <c r="J70" s="35"/>
    </row>
    <row r="71" spans="1:16" x14ac:dyDescent="0.3">
      <c r="A71" s="27" t="s">
        <v>95</v>
      </c>
      <c r="B71" s="27">
        <v>11</v>
      </c>
      <c r="C71" s="28" t="s">
        <v>1635</v>
      </c>
      <c r="D71" s="27" t="s">
        <v>129</v>
      </c>
      <c r="E71" s="29" t="s">
        <v>1636</v>
      </c>
      <c r="F71" s="30" t="s">
        <v>248</v>
      </c>
      <c r="G71" s="31">
        <v>720.82500000000005</v>
      </c>
      <c r="H71" s="32">
        <v>0</v>
      </c>
      <c r="I71" s="32">
        <f>ROUND(720.825*H71,P4)</f>
        <v>0</v>
      </c>
      <c r="J71" s="30" t="s">
        <v>118</v>
      </c>
      <c r="O71" s="33">
        <f>I71*0.21</f>
        <v>0</v>
      </c>
      <c r="P71">
        <v>3</v>
      </c>
    </row>
    <row r="72" spans="1:16" ht="172.8" x14ac:dyDescent="0.3">
      <c r="A72" s="27" t="s">
        <v>101</v>
      </c>
      <c r="B72" s="34"/>
      <c r="E72" s="29" t="s">
        <v>3644</v>
      </c>
      <c r="J72" s="35"/>
    </row>
    <row r="73" spans="1:16" ht="28.8" x14ac:dyDescent="0.3">
      <c r="A73" s="27" t="s">
        <v>103</v>
      </c>
      <c r="B73" s="34"/>
      <c r="E73" s="36" t="s">
        <v>3645</v>
      </c>
      <c r="J73" s="35"/>
    </row>
    <row r="74" spans="1:16" x14ac:dyDescent="0.3">
      <c r="A74" s="27" t="s">
        <v>103</v>
      </c>
      <c r="B74" s="34"/>
      <c r="E74" s="36" t="s">
        <v>3646</v>
      </c>
      <c r="J74" s="35"/>
    </row>
    <row r="75" spans="1:16" ht="28.8" x14ac:dyDescent="0.3">
      <c r="A75" s="27" t="s">
        <v>105</v>
      </c>
      <c r="B75" s="34"/>
      <c r="E75" s="29" t="s">
        <v>1647</v>
      </c>
      <c r="J75" s="35"/>
    </row>
    <row r="76" spans="1:16" x14ac:dyDescent="0.3">
      <c r="A76" s="21" t="s">
        <v>92</v>
      </c>
      <c r="B76" s="22"/>
      <c r="C76" s="23" t="s">
        <v>107</v>
      </c>
      <c r="D76" s="24"/>
      <c r="E76" s="21" t="s">
        <v>618</v>
      </c>
      <c r="F76" s="24"/>
      <c r="G76" s="24"/>
      <c r="H76" s="24"/>
      <c r="I76" s="25">
        <f>SUMIFS(I77:I84,A77:A84,"P")</f>
        <v>0</v>
      </c>
      <c r="J76" s="26"/>
    </row>
    <row r="77" spans="1:16" x14ac:dyDescent="0.3">
      <c r="A77" s="27" t="s">
        <v>95</v>
      </c>
      <c r="B77" s="27">
        <v>12</v>
      </c>
      <c r="C77" s="28" t="s">
        <v>1648</v>
      </c>
      <c r="D77" s="27" t="s">
        <v>1659</v>
      </c>
      <c r="E77" s="29" t="s">
        <v>1660</v>
      </c>
      <c r="F77" s="30" t="s">
        <v>1650</v>
      </c>
      <c r="G77" s="31">
        <v>703.93499999999995</v>
      </c>
      <c r="H77" s="32">
        <v>0</v>
      </c>
      <c r="I77" s="32">
        <f>ROUND(703.935*H77,P4)</f>
        <v>0</v>
      </c>
      <c r="J77" s="30" t="s">
        <v>1200</v>
      </c>
      <c r="O77" s="33">
        <f>I77*0.21</f>
        <v>0</v>
      </c>
      <c r="P77">
        <v>3</v>
      </c>
    </row>
    <row r="78" spans="1:16" ht="158.4" x14ac:dyDescent="0.3">
      <c r="A78" s="27" t="s">
        <v>101</v>
      </c>
      <c r="B78" s="34"/>
      <c r="E78" s="29" t="s">
        <v>3619</v>
      </c>
      <c r="J78" s="35"/>
    </row>
    <row r="79" spans="1:16" ht="28.8" x14ac:dyDescent="0.3">
      <c r="A79" s="27" t="s">
        <v>103</v>
      </c>
      <c r="B79" s="34"/>
      <c r="E79" s="36" t="s">
        <v>3620</v>
      </c>
      <c r="J79" s="35"/>
    </row>
    <row r="80" spans="1:16" ht="28.8" x14ac:dyDescent="0.3">
      <c r="A80" s="27" t="s">
        <v>103</v>
      </c>
      <c r="B80" s="34"/>
      <c r="E80" s="36" t="s">
        <v>3621</v>
      </c>
      <c r="J80" s="35"/>
    </row>
    <row r="81" spans="1:16" ht="28.8" x14ac:dyDescent="0.3">
      <c r="A81" s="27" t="s">
        <v>103</v>
      </c>
      <c r="B81" s="34"/>
      <c r="E81" s="36" t="s">
        <v>3622</v>
      </c>
      <c r="J81" s="35"/>
    </row>
    <row r="82" spans="1:16" ht="28.8" x14ac:dyDescent="0.3">
      <c r="A82" s="27" t="s">
        <v>103</v>
      </c>
      <c r="B82" s="34"/>
      <c r="E82" s="36" t="s">
        <v>3623</v>
      </c>
      <c r="J82" s="35"/>
    </row>
    <row r="83" spans="1:16" x14ac:dyDescent="0.3">
      <c r="A83" s="27" t="s">
        <v>103</v>
      </c>
      <c r="B83" s="34"/>
      <c r="E83" s="36" t="s">
        <v>3624</v>
      </c>
      <c r="J83" s="35"/>
    </row>
    <row r="84" spans="1:16" ht="72" x14ac:dyDescent="0.3">
      <c r="A84" s="27" t="s">
        <v>105</v>
      </c>
      <c r="B84" s="34"/>
      <c r="E84" s="29" t="s">
        <v>1777</v>
      </c>
      <c r="J84" s="35"/>
    </row>
    <row r="85" spans="1:16" x14ac:dyDescent="0.3">
      <c r="A85" s="21" t="s">
        <v>92</v>
      </c>
      <c r="B85" s="22"/>
      <c r="C85" s="23" t="s">
        <v>124</v>
      </c>
      <c r="D85" s="24"/>
      <c r="E85" s="21" t="s">
        <v>226</v>
      </c>
      <c r="F85" s="24"/>
      <c r="G85" s="24"/>
      <c r="H85" s="24"/>
      <c r="I85" s="25">
        <f>SUMIFS(I86:I107,A86:A107,"P")</f>
        <v>0</v>
      </c>
      <c r="J85" s="26"/>
    </row>
    <row r="86" spans="1:16" x14ac:dyDescent="0.3">
      <c r="A86" s="27" t="s">
        <v>95</v>
      </c>
      <c r="B86" s="27">
        <v>13</v>
      </c>
      <c r="C86" s="28" t="s">
        <v>697</v>
      </c>
      <c r="D86" s="27" t="s">
        <v>129</v>
      </c>
      <c r="E86" s="29" t="s">
        <v>698</v>
      </c>
      <c r="F86" s="30" t="s">
        <v>229</v>
      </c>
      <c r="G86" s="31">
        <v>338.90100000000001</v>
      </c>
      <c r="H86" s="32">
        <v>0</v>
      </c>
      <c r="I86" s="32">
        <f>ROUND(338.901*H86,P4)</f>
        <v>0</v>
      </c>
      <c r="J86" s="30" t="s">
        <v>118</v>
      </c>
      <c r="O86" s="33">
        <f>I86*0.21</f>
        <v>0</v>
      </c>
      <c r="P86">
        <v>3</v>
      </c>
    </row>
    <row r="87" spans="1:16" ht="158.4" x14ac:dyDescent="0.3">
      <c r="A87" s="27" t="s">
        <v>101</v>
      </c>
      <c r="B87" s="34"/>
      <c r="E87" s="29" t="s">
        <v>3647</v>
      </c>
      <c r="J87" s="35"/>
    </row>
    <row r="88" spans="1:16" ht="28.8" x14ac:dyDescent="0.3">
      <c r="A88" s="27" t="s">
        <v>103</v>
      </c>
      <c r="B88" s="34"/>
      <c r="E88" s="36" t="s">
        <v>3648</v>
      </c>
      <c r="J88" s="35"/>
    </row>
    <row r="89" spans="1:16" ht="28.8" x14ac:dyDescent="0.3">
      <c r="A89" s="27" t="s">
        <v>103</v>
      </c>
      <c r="B89" s="34"/>
      <c r="E89" s="36" t="s">
        <v>3649</v>
      </c>
      <c r="J89" s="35"/>
    </row>
    <row r="90" spans="1:16" ht="28.8" x14ac:dyDescent="0.3">
      <c r="A90" s="27" t="s">
        <v>103</v>
      </c>
      <c r="B90" s="34"/>
      <c r="E90" s="36" t="s">
        <v>3650</v>
      </c>
      <c r="J90" s="35"/>
    </row>
    <row r="91" spans="1:16" ht="28.8" x14ac:dyDescent="0.3">
      <c r="A91" s="27" t="s">
        <v>103</v>
      </c>
      <c r="B91" s="34"/>
      <c r="E91" s="36" t="s">
        <v>3651</v>
      </c>
      <c r="J91" s="35"/>
    </row>
    <row r="92" spans="1:16" x14ac:dyDescent="0.3">
      <c r="A92" s="27" t="s">
        <v>103</v>
      </c>
      <c r="B92" s="34"/>
      <c r="E92" s="36" t="s">
        <v>3652</v>
      </c>
      <c r="J92" s="35"/>
    </row>
    <row r="93" spans="1:16" ht="57.6" x14ac:dyDescent="0.3">
      <c r="A93" s="27" t="s">
        <v>105</v>
      </c>
      <c r="B93" s="34"/>
      <c r="E93" s="29" t="s">
        <v>765</v>
      </c>
      <c r="J93" s="35"/>
    </row>
    <row r="94" spans="1:16" x14ac:dyDescent="0.3">
      <c r="A94" s="27" t="s">
        <v>95</v>
      </c>
      <c r="B94" s="27">
        <v>14</v>
      </c>
      <c r="C94" s="28" t="s">
        <v>1956</v>
      </c>
      <c r="D94" s="27" t="s">
        <v>129</v>
      </c>
      <c r="E94" s="29" t="s">
        <v>1957</v>
      </c>
      <c r="F94" s="30" t="s">
        <v>229</v>
      </c>
      <c r="G94" s="31">
        <v>96.043000000000006</v>
      </c>
      <c r="H94" s="32">
        <v>0</v>
      </c>
      <c r="I94" s="32">
        <f>ROUND(96.043*H94,P4)</f>
        <v>0</v>
      </c>
      <c r="J94" s="30" t="s">
        <v>118</v>
      </c>
      <c r="O94" s="33">
        <f>I94*0.21</f>
        <v>0</v>
      </c>
      <c r="P94">
        <v>3</v>
      </c>
    </row>
    <row r="95" spans="1:16" ht="158.4" x14ac:dyDescent="0.3">
      <c r="A95" s="27" t="s">
        <v>101</v>
      </c>
      <c r="B95" s="34"/>
      <c r="E95" s="29" t="s">
        <v>3653</v>
      </c>
      <c r="J95" s="35"/>
    </row>
    <row r="96" spans="1:16" ht="28.8" x14ac:dyDescent="0.3">
      <c r="A96" s="27" t="s">
        <v>103</v>
      </c>
      <c r="B96" s="34"/>
      <c r="E96" s="36" t="s">
        <v>3654</v>
      </c>
      <c r="J96" s="35"/>
    </row>
    <row r="97" spans="1:16" ht="28.8" x14ac:dyDescent="0.3">
      <c r="A97" s="27" t="s">
        <v>103</v>
      </c>
      <c r="B97" s="34"/>
      <c r="E97" s="36" t="s">
        <v>3655</v>
      </c>
      <c r="J97" s="35"/>
    </row>
    <row r="98" spans="1:16" ht="28.8" x14ac:dyDescent="0.3">
      <c r="A98" s="27" t="s">
        <v>103</v>
      </c>
      <c r="B98" s="34"/>
      <c r="E98" s="36" t="s">
        <v>3656</v>
      </c>
      <c r="J98" s="35"/>
    </row>
    <row r="99" spans="1:16" ht="28.8" x14ac:dyDescent="0.3">
      <c r="A99" s="27" t="s">
        <v>103</v>
      </c>
      <c r="B99" s="34"/>
      <c r="E99" s="36" t="s">
        <v>3657</v>
      </c>
      <c r="J99" s="35"/>
    </row>
    <row r="100" spans="1:16" x14ac:dyDescent="0.3">
      <c r="A100" s="27" t="s">
        <v>103</v>
      </c>
      <c r="B100" s="34"/>
      <c r="E100" s="36" t="s">
        <v>3658</v>
      </c>
      <c r="J100" s="35"/>
    </row>
    <row r="101" spans="1:16" ht="115.2" x14ac:dyDescent="0.3">
      <c r="A101" s="27" t="s">
        <v>105</v>
      </c>
      <c r="B101" s="34"/>
      <c r="E101" s="29" t="s">
        <v>989</v>
      </c>
      <c r="J101" s="35"/>
    </row>
    <row r="102" spans="1:16" x14ac:dyDescent="0.3">
      <c r="A102" s="27" t="s">
        <v>95</v>
      </c>
      <c r="B102" s="27">
        <v>15</v>
      </c>
      <c r="C102" s="28" t="s">
        <v>916</v>
      </c>
      <c r="D102" s="27" t="s">
        <v>129</v>
      </c>
      <c r="E102" s="29" t="s">
        <v>917</v>
      </c>
      <c r="F102" s="30" t="s">
        <v>229</v>
      </c>
      <c r="G102" s="31">
        <v>25.850999999999999</v>
      </c>
      <c r="H102" s="32">
        <v>0</v>
      </c>
      <c r="I102" s="32">
        <f>ROUND(25.851*H102,P4)</f>
        <v>0</v>
      </c>
      <c r="J102" s="30" t="s">
        <v>118</v>
      </c>
      <c r="O102" s="33">
        <f>I102*0.21</f>
        <v>0</v>
      </c>
      <c r="P102">
        <v>3</v>
      </c>
    </row>
    <row r="103" spans="1:16" ht="158.4" x14ac:dyDescent="0.3">
      <c r="A103" s="27" t="s">
        <v>101</v>
      </c>
      <c r="B103" s="34"/>
      <c r="E103" s="29" t="s">
        <v>3659</v>
      </c>
      <c r="J103" s="35"/>
    </row>
    <row r="104" spans="1:16" ht="28.8" x14ac:dyDescent="0.3">
      <c r="A104" s="27" t="s">
        <v>103</v>
      </c>
      <c r="B104" s="34"/>
      <c r="E104" s="36" t="s">
        <v>3660</v>
      </c>
      <c r="J104" s="35"/>
    </row>
    <row r="105" spans="1:16" ht="28.8" x14ac:dyDescent="0.3">
      <c r="A105" s="27" t="s">
        <v>103</v>
      </c>
      <c r="B105" s="34"/>
      <c r="E105" s="36" t="s">
        <v>3661</v>
      </c>
      <c r="J105" s="35"/>
    </row>
    <row r="106" spans="1:16" x14ac:dyDescent="0.3">
      <c r="A106" s="27" t="s">
        <v>103</v>
      </c>
      <c r="B106" s="34"/>
      <c r="E106" s="36" t="s">
        <v>3662</v>
      </c>
      <c r="J106" s="35"/>
    </row>
    <row r="107" spans="1:16" ht="115.2" x14ac:dyDescent="0.3">
      <c r="A107" s="27" t="s">
        <v>105</v>
      </c>
      <c r="B107" s="37"/>
      <c r="C107" s="38"/>
      <c r="D107" s="38"/>
      <c r="E107" s="29" t="s">
        <v>989</v>
      </c>
      <c r="F107" s="38"/>
      <c r="G107" s="38"/>
      <c r="H107" s="38"/>
      <c r="I107" s="38"/>
      <c r="J107"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3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46</v>
      </c>
      <c r="I3" s="16">
        <f>SUMIFS(I9:I133,A9:A133,"SD")</f>
        <v>0</v>
      </c>
      <c r="J3" s="12"/>
      <c r="O3">
        <v>0</v>
      </c>
      <c r="P3">
        <v>2</v>
      </c>
    </row>
    <row r="4" spans="1:16" x14ac:dyDescent="0.3">
      <c r="A4" s="2" t="s">
        <v>79</v>
      </c>
      <c r="B4" s="13" t="s">
        <v>492</v>
      </c>
      <c r="C4" s="43" t="s">
        <v>3663</v>
      </c>
      <c r="D4" s="44"/>
      <c r="E4" s="14" t="s">
        <v>3664</v>
      </c>
      <c r="F4" s="2"/>
      <c r="G4" s="2"/>
      <c r="H4" s="2"/>
      <c r="I4" s="2"/>
      <c r="J4" s="12"/>
      <c r="O4">
        <v>0.15</v>
      </c>
      <c r="P4">
        <v>2</v>
      </c>
    </row>
    <row r="5" spans="1:16" x14ac:dyDescent="0.3">
      <c r="A5" s="2" t="s">
        <v>495</v>
      </c>
      <c r="B5" s="13" t="s">
        <v>80</v>
      </c>
      <c r="C5" s="43" t="s">
        <v>46</v>
      </c>
      <c r="D5" s="44"/>
      <c r="E5" s="14" t="s">
        <v>47</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SUMIFS(I10:I31,A10:A31,"P")</f>
        <v>0</v>
      </c>
      <c r="J9" s="26"/>
    </row>
    <row r="10" spans="1:16" x14ac:dyDescent="0.3">
      <c r="A10" s="27" t="s">
        <v>95</v>
      </c>
      <c r="B10" s="27">
        <v>1</v>
      </c>
      <c r="C10" s="28" t="s">
        <v>496</v>
      </c>
      <c r="D10" s="27" t="s">
        <v>129</v>
      </c>
      <c r="E10" s="29" t="s">
        <v>497</v>
      </c>
      <c r="F10" s="30" t="s">
        <v>229</v>
      </c>
      <c r="G10" s="31">
        <v>0.35299999999999998</v>
      </c>
      <c r="H10" s="32">
        <v>0</v>
      </c>
      <c r="I10" s="32">
        <f>ROUND(0.353*H10,P4)</f>
        <v>0</v>
      </c>
      <c r="J10" s="30" t="s">
        <v>118</v>
      </c>
      <c r="O10" s="33">
        <f>I10*0.21</f>
        <v>0</v>
      </c>
      <c r="P10">
        <v>3</v>
      </c>
    </row>
    <row r="11" spans="1:16" ht="172.8" x14ac:dyDescent="0.3">
      <c r="A11" s="27" t="s">
        <v>101</v>
      </c>
      <c r="B11" s="34"/>
      <c r="E11" s="29" t="s">
        <v>3665</v>
      </c>
      <c r="J11" s="35"/>
    </row>
    <row r="12" spans="1:16" ht="28.8" x14ac:dyDescent="0.3">
      <c r="A12" s="27" t="s">
        <v>103</v>
      </c>
      <c r="B12" s="34"/>
      <c r="E12" s="36" t="s">
        <v>3666</v>
      </c>
      <c r="J12" s="35"/>
    </row>
    <row r="13" spans="1:16" ht="28.8" x14ac:dyDescent="0.3">
      <c r="A13" s="27" t="s">
        <v>103</v>
      </c>
      <c r="B13" s="34"/>
      <c r="E13" s="36" t="s">
        <v>3667</v>
      </c>
      <c r="J13" s="35"/>
    </row>
    <row r="14" spans="1:16" ht="28.8" x14ac:dyDescent="0.3">
      <c r="A14" s="27" t="s">
        <v>103</v>
      </c>
      <c r="B14" s="34"/>
      <c r="E14" s="36" t="s">
        <v>3668</v>
      </c>
      <c r="J14" s="35"/>
    </row>
    <row r="15" spans="1:16" ht="28.8" x14ac:dyDescent="0.3">
      <c r="A15" s="27" t="s">
        <v>103</v>
      </c>
      <c r="B15" s="34"/>
      <c r="E15" s="36" t="s">
        <v>3669</v>
      </c>
      <c r="J15" s="35"/>
    </row>
    <row r="16" spans="1:16" x14ac:dyDescent="0.3">
      <c r="A16" s="27" t="s">
        <v>103</v>
      </c>
      <c r="B16" s="34"/>
      <c r="E16" s="36" t="s">
        <v>3670</v>
      </c>
      <c r="J16" s="35"/>
    </row>
    <row r="17" spans="1:16" ht="374.4" x14ac:dyDescent="0.3">
      <c r="A17" s="27" t="s">
        <v>105</v>
      </c>
      <c r="B17" s="34"/>
      <c r="E17" s="29" t="s">
        <v>434</v>
      </c>
      <c r="J17" s="35"/>
    </row>
    <row r="18" spans="1:16" x14ac:dyDescent="0.3">
      <c r="A18" s="27" t="s">
        <v>95</v>
      </c>
      <c r="B18" s="27">
        <v>2</v>
      </c>
      <c r="C18" s="28" t="s">
        <v>591</v>
      </c>
      <c r="D18" s="27" t="s">
        <v>129</v>
      </c>
      <c r="E18" s="29" t="s">
        <v>592</v>
      </c>
      <c r="F18" s="30" t="s">
        <v>229</v>
      </c>
      <c r="G18" s="31">
        <v>0.35299999999999998</v>
      </c>
      <c r="H18" s="32">
        <v>0</v>
      </c>
      <c r="I18" s="32">
        <f>ROUND(0.353*H18,P4)</f>
        <v>0</v>
      </c>
      <c r="J18" s="30" t="s">
        <v>118</v>
      </c>
      <c r="O18" s="33">
        <f>I18*0.21</f>
        <v>0</v>
      </c>
      <c r="P18">
        <v>3</v>
      </c>
    </row>
    <row r="19" spans="1:16" ht="172.8" x14ac:dyDescent="0.3">
      <c r="A19" s="27" t="s">
        <v>101</v>
      </c>
      <c r="B19" s="34"/>
      <c r="E19" s="29" t="s">
        <v>3665</v>
      </c>
      <c r="J19" s="35"/>
    </row>
    <row r="20" spans="1:16" ht="28.8" x14ac:dyDescent="0.3">
      <c r="A20" s="27" t="s">
        <v>103</v>
      </c>
      <c r="B20" s="34"/>
      <c r="E20" s="36" t="s">
        <v>3666</v>
      </c>
      <c r="J20" s="35"/>
    </row>
    <row r="21" spans="1:16" ht="28.8" x14ac:dyDescent="0.3">
      <c r="A21" s="27" t="s">
        <v>103</v>
      </c>
      <c r="B21" s="34"/>
      <c r="E21" s="36" t="s">
        <v>3667</v>
      </c>
      <c r="J21" s="35"/>
    </row>
    <row r="22" spans="1:16" ht="28.8" x14ac:dyDescent="0.3">
      <c r="A22" s="27" t="s">
        <v>103</v>
      </c>
      <c r="B22" s="34"/>
      <c r="E22" s="36" t="s">
        <v>3668</v>
      </c>
      <c r="J22" s="35"/>
    </row>
    <row r="23" spans="1:16" ht="28.8" x14ac:dyDescent="0.3">
      <c r="A23" s="27" t="s">
        <v>103</v>
      </c>
      <c r="B23" s="34"/>
      <c r="E23" s="36" t="s">
        <v>3669</v>
      </c>
      <c r="J23" s="35"/>
    </row>
    <row r="24" spans="1:16" x14ac:dyDescent="0.3">
      <c r="A24" s="27" t="s">
        <v>103</v>
      </c>
      <c r="B24" s="34"/>
      <c r="E24" s="36" t="s">
        <v>3670</v>
      </c>
      <c r="J24" s="35"/>
    </row>
    <row r="25" spans="1:16" ht="288" x14ac:dyDescent="0.3">
      <c r="A25" s="27" t="s">
        <v>105</v>
      </c>
      <c r="B25" s="34"/>
      <c r="E25" s="29" t="s">
        <v>593</v>
      </c>
      <c r="J25" s="35"/>
    </row>
    <row r="26" spans="1:16" x14ac:dyDescent="0.3">
      <c r="A26" s="27" t="s">
        <v>95</v>
      </c>
      <c r="B26" s="27">
        <v>3</v>
      </c>
      <c r="C26" s="28" t="s">
        <v>610</v>
      </c>
      <c r="D26" s="27" t="s">
        <v>129</v>
      </c>
      <c r="E26" s="29" t="s">
        <v>611</v>
      </c>
      <c r="F26" s="30" t="s">
        <v>248</v>
      </c>
      <c r="G26" s="31">
        <v>1013.25</v>
      </c>
      <c r="H26" s="32">
        <v>0</v>
      </c>
      <c r="I26" s="32">
        <f>ROUND(1013.25*H26,P4)</f>
        <v>0</v>
      </c>
      <c r="J26" s="30" t="s">
        <v>118</v>
      </c>
      <c r="O26" s="33">
        <f>I26*0.21</f>
        <v>0</v>
      </c>
      <c r="P26">
        <v>3</v>
      </c>
    </row>
    <row r="27" spans="1:16" ht="187.2" x14ac:dyDescent="0.3">
      <c r="A27" s="27" t="s">
        <v>101</v>
      </c>
      <c r="B27" s="34"/>
      <c r="E27" s="29" t="s">
        <v>612</v>
      </c>
      <c r="J27" s="35"/>
    </row>
    <row r="28" spans="1:16" ht="28.8" x14ac:dyDescent="0.3">
      <c r="A28" s="27" t="s">
        <v>103</v>
      </c>
      <c r="B28" s="34"/>
      <c r="E28" s="36" t="s">
        <v>3671</v>
      </c>
      <c r="J28" s="35"/>
    </row>
    <row r="29" spans="1:16" ht="28.8" x14ac:dyDescent="0.3">
      <c r="A29" s="27" t="s">
        <v>103</v>
      </c>
      <c r="B29" s="34"/>
      <c r="E29" s="36" t="s">
        <v>3672</v>
      </c>
      <c r="J29" s="35"/>
    </row>
    <row r="30" spans="1:16" x14ac:dyDescent="0.3">
      <c r="A30" s="27" t="s">
        <v>103</v>
      </c>
      <c r="B30" s="34"/>
      <c r="E30" s="36" t="s">
        <v>3673</v>
      </c>
      <c r="J30" s="35"/>
    </row>
    <row r="31" spans="1:16" ht="28.8" x14ac:dyDescent="0.3">
      <c r="A31" s="27" t="s">
        <v>105</v>
      </c>
      <c r="B31" s="34"/>
      <c r="E31" s="29" t="s">
        <v>617</v>
      </c>
      <c r="J31" s="35"/>
    </row>
    <row r="32" spans="1:16" x14ac:dyDescent="0.3">
      <c r="A32" s="21" t="s">
        <v>92</v>
      </c>
      <c r="B32" s="22"/>
      <c r="C32" s="23" t="s">
        <v>124</v>
      </c>
      <c r="D32" s="24"/>
      <c r="E32" s="21" t="s">
        <v>226</v>
      </c>
      <c r="F32" s="24"/>
      <c r="G32" s="24"/>
      <c r="H32" s="24"/>
      <c r="I32" s="25">
        <f>SUMIFS(I33:I106,A33:A106,"P")</f>
        <v>0</v>
      </c>
      <c r="J32" s="26"/>
    </row>
    <row r="33" spans="1:16" x14ac:dyDescent="0.3">
      <c r="A33" s="27" t="s">
        <v>95</v>
      </c>
      <c r="B33" s="27">
        <v>4</v>
      </c>
      <c r="C33" s="28" t="s">
        <v>697</v>
      </c>
      <c r="D33" s="27" t="s">
        <v>97</v>
      </c>
      <c r="E33" s="29" t="s">
        <v>698</v>
      </c>
      <c r="F33" s="30" t="s">
        <v>229</v>
      </c>
      <c r="G33" s="31">
        <v>94.421999999999997</v>
      </c>
      <c r="H33" s="32">
        <v>0</v>
      </c>
      <c r="I33" s="32">
        <f>ROUND(94.422*H33,P4)</f>
        <v>0</v>
      </c>
      <c r="J33" s="30" t="s">
        <v>118</v>
      </c>
      <c r="O33" s="33">
        <f>I33*0.21</f>
        <v>0</v>
      </c>
      <c r="P33">
        <v>3</v>
      </c>
    </row>
    <row r="34" spans="1:16" ht="158.4" x14ac:dyDescent="0.3">
      <c r="A34" s="27" t="s">
        <v>101</v>
      </c>
      <c r="B34" s="34"/>
      <c r="E34" s="29" t="s">
        <v>699</v>
      </c>
      <c r="J34" s="35"/>
    </row>
    <row r="35" spans="1:16" ht="28.8" x14ac:dyDescent="0.3">
      <c r="A35" s="27" t="s">
        <v>103</v>
      </c>
      <c r="B35" s="34"/>
      <c r="E35" s="36" t="s">
        <v>3674</v>
      </c>
      <c r="J35" s="35"/>
    </row>
    <row r="36" spans="1:16" ht="28.8" x14ac:dyDescent="0.3">
      <c r="A36" s="27" t="s">
        <v>103</v>
      </c>
      <c r="B36" s="34"/>
      <c r="E36" s="36" t="s">
        <v>3675</v>
      </c>
      <c r="J36" s="35"/>
    </row>
    <row r="37" spans="1:16" ht="28.8" x14ac:dyDescent="0.3">
      <c r="A37" s="27" t="s">
        <v>103</v>
      </c>
      <c r="B37" s="34"/>
      <c r="E37" s="36" t="s">
        <v>3676</v>
      </c>
      <c r="J37" s="35"/>
    </row>
    <row r="38" spans="1:16" ht="28.8" x14ac:dyDescent="0.3">
      <c r="A38" s="27" t="s">
        <v>103</v>
      </c>
      <c r="B38" s="34"/>
      <c r="E38" s="36" t="s">
        <v>3677</v>
      </c>
      <c r="J38" s="35"/>
    </row>
    <row r="39" spans="1:16" ht="28.8" x14ac:dyDescent="0.3">
      <c r="A39" s="27" t="s">
        <v>103</v>
      </c>
      <c r="B39" s="34"/>
      <c r="E39" s="36" t="s">
        <v>3678</v>
      </c>
      <c r="J39" s="35"/>
    </row>
    <row r="40" spans="1:16" ht="28.8" x14ac:dyDescent="0.3">
      <c r="A40" s="27" t="s">
        <v>103</v>
      </c>
      <c r="B40" s="34"/>
      <c r="E40" s="36" t="s">
        <v>3679</v>
      </c>
      <c r="J40" s="35"/>
    </row>
    <row r="41" spans="1:16" ht="28.8" x14ac:dyDescent="0.3">
      <c r="A41" s="27" t="s">
        <v>103</v>
      </c>
      <c r="B41" s="34"/>
      <c r="E41" s="36" t="s">
        <v>3680</v>
      </c>
      <c r="J41" s="35"/>
    </row>
    <row r="42" spans="1:16" ht="28.8" x14ac:dyDescent="0.3">
      <c r="A42" s="27" t="s">
        <v>103</v>
      </c>
      <c r="B42" s="34"/>
      <c r="E42" s="36" t="s">
        <v>3681</v>
      </c>
      <c r="J42" s="35"/>
    </row>
    <row r="43" spans="1:16" x14ac:dyDescent="0.3">
      <c r="A43" s="27" t="s">
        <v>103</v>
      </c>
      <c r="B43" s="34"/>
      <c r="E43" s="36" t="s">
        <v>3682</v>
      </c>
      <c r="J43" s="35"/>
    </row>
    <row r="44" spans="1:16" ht="57.6" x14ac:dyDescent="0.3">
      <c r="A44" s="27" t="s">
        <v>105</v>
      </c>
      <c r="B44" s="34"/>
      <c r="E44" s="29" t="s">
        <v>765</v>
      </c>
      <c r="J44" s="35"/>
    </row>
    <row r="45" spans="1:16" x14ac:dyDescent="0.3">
      <c r="A45" s="27" t="s">
        <v>95</v>
      </c>
      <c r="B45" s="27">
        <v>5</v>
      </c>
      <c r="C45" s="28" t="s">
        <v>697</v>
      </c>
      <c r="D45" s="27" t="s">
        <v>107</v>
      </c>
      <c r="E45" s="29" t="s">
        <v>698</v>
      </c>
      <c r="F45" s="30" t="s">
        <v>229</v>
      </c>
      <c r="G45" s="31">
        <v>77.924000000000007</v>
      </c>
      <c r="H45" s="32">
        <v>0</v>
      </c>
      <c r="I45" s="32">
        <f>ROUND(77.924*H45,P4)</f>
        <v>0</v>
      </c>
      <c r="J45" s="30" t="s">
        <v>118</v>
      </c>
      <c r="O45" s="33">
        <f>I45*0.21</f>
        <v>0</v>
      </c>
      <c r="P45">
        <v>3</v>
      </c>
    </row>
    <row r="46" spans="1:16" ht="158.4" x14ac:dyDescent="0.3">
      <c r="A46" s="27" t="s">
        <v>101</v>
      </c>
      <c r="B46" s="34"/>
      <c r="E46" s="29" t="s">
        <v>3683</v>
      </c>
      <c r="J46" s="35"/>
    </row>
    <row r="47" spans="1:16" ht="28.8" x14ac:dyDescent="0.3">
      <c r="A47" s="27" t="s">
        <v>103</v>
      </c>
      <c r="B47" s="34"/>
      <c r="E47" s="36" t="s">
        <v>3684</v>
      </c>
      <c r="J47" s="35"/>
    </row>
    <row r="48" spans="1:16" ht="28.8" x14ac:dyDescent="0.3">
      <c r="A48" s="27" t="s">
        <v>103</v>
      </c>
      <c r="B48" s="34"/>
      <c r="E48" s="36" t="s">
        <v>3685</v>
      </c>
      <c r="J48" s="35"/>
    </row>
    <row r="49" spans="1:16" ht="28.8" x14ac:dyDescent="0.3">
      <c r="A49" s="27" t="s">
        <v>103</v>
      </c>
      <c r="B49" s="34"/>
      <c r="E49" s="36" t="s">
        <v>3686</v>
      </c>
      <c r="J49" s="35"/>
    </row>
    <row r="50" spans="1:16" ht="28.8" x14ac:dyDescent="0.3">
      <c r="A50" s="27" t="s">
        <v>103</v>
      </c>
      <c r="B50" s="34"/>
      <c r="E50" s="36" t="s">
        <v>3687</v>
      </c>
      <c r="J50" s="35"/>
    </row>
    <row r="51" spans="1:16" ht="28.8" x14ac:dyDescent="0.3">
      <c r="A51" s="27" t="s">
        <v>103</v>
      </c>
      <c r="B51" s="34"/>
      <c r="E51" s="36" t="s">
        <v>3688</v>
      </c>
      <c r="J51" s="35"/>
    </row>
    <row r="52" spans="1:16" ht="28.8" x14ac:dyDescent="0.3">
      <c r="A52" s="27" t="s">
        <v>103</v>
      </c>
      <c r="B52" s="34"/>
      <c r="E52" s="36" t="s">
        <v>3689</v>
      </c>
      <c r="J52" s="35"/>
    </row>
    <row r="53" spans="1:16" ht="28.8" x14ac:dyDescent="0.3">
      <c r="A53" s="27" t="s">
        <v>103</v>
      </c>
      <c r="B53" s="34"/>
      <c r="E53" s="36" t="s">
        <v>3690</v>
      </c>
      <c r="J53" s="35"/>
    </row>
    <row r="54" spans="1:16" ht="28.8" x14ac:dyDescent="0.3">
      <c r="A54" s="27" t="s">
        <v>103</v>
      </c>
      <c r="B54" s="34"/>
      <c r="E54" s="36" t="s">
        <v>3691</v>
      </c>
      <c r="J54" s="35"/>
    </row>
    <row r="55" spans="1:16" ht="28.8" x14ac:dyDescent="0.3">
      <c r="A55" s="27" t="s">
        <v>103</v>
      </c>
      <c r="B55" s="34"/>
      <c r="E55" s="36" t="s">
        <v>3692</v>
      </c>
      <c r="J55" s="35"/>
    </row>
    <row r="56" spans="1:16" ht="28.8" x14ac:dyDescent="0.3">
      <c r="A56" s="27" t="s">
        <v>103</v>
      </c>
      <c r="B56" s="34"/>
      <c r="E56" s="36" t="s">
        <v>3693</v>
      </c>
      <c r="J56" s="35"/>
    </row>
    <row r="57" spans="1:16" ht="28.8" x14ac:dyDescent="0.3">
      <c r="A57" s="27" t="s">
        <v>103</v>
      </c>
      <c r="B57" s="34"/>
      <c r="E57" s="36" t="s">
        <v>3694</v>
      </c>
      <c r="J57" s="35"/>
    </row>
    <row r="58" spans="1:16" x14ac:dyDescent="0.3">
      <c r="A58" s="27" t="s">
        <v>103</v>
      </c>
      <c r="B58" s="34"/>
      <c r="E58" s="36" t="s">
        <v>3695</v>
      </c>
      <c r="J58" s="35"/>
    </row>
    <row r="59" spans="1:16" ht="57.6" x14ac:dyDescent="0.3">
      <c r="A59" s="27" t="s">
        <v>105</v>
      </c>
      <c r="B59" s="34"/>
      <c r="E59" s="29" t="s">
        <v>765</v>
      </c>
      <c r="J59" s="35"/>
    </row>
    <row r="60" spans="1:16" x14ac:dyDescent="0.3">
      <c r="A60" s="27" t="s">
        <v>95</v>
      </c>
      <c r="B60" s="27">
        <v>6</v>
      </c>
      <c r="C60" s="28" t="s">
        <v>990</v>
      </c>
      <c r="D60" s="27" t="s">
        <v>129</v>
      </c>
      <c r="E60" s="29" t="s">
        <v>991</v>
      </c>
      <c r="F60" s="30" t="s">
        <v>248</v>
      </c>
      <c r="G60" s="31">
        <v>473.00900000000001</v>
      </c>
      <c r="H60" s="32">
        <v>0</v>
      </c>
      <c r="I60" s="32">
        <f>ROUND(473.009*H60,P4)</f>
        <v>0</v>
      </c>
      <c r="J60" s="30" t="s">
        <v>118</v>
      </c>
      <c r="O60" s="33">
        <f>I60*0.21</f>
        <v>0</v>
      </c>
      <c r="P60">
        <v>3</v>
      </c>
    </row>
    <row r="61" spans="1:16" ht="158.4" x14ac:dyDescent="0.3">
      <c r="A61" s="27" t="s">
        <v>101</v>
      </c>
      <c r="B61" s="34"/>
      <c r="E61" s="29" t="s">
        <v>3696</v>
      </c>
      <c r="J61" s="35"/>
    </row>
    <row r="62" spans="1:16" ht="28.8" x14ac:dyDescent="0.3">
      <c r="A62" s="27" t="s">
        <v>103</v>
      </c>
      <c r="B62" s="34"/>
      <c r="E62" s="36" t="s">
        <v>3697</v>
      </c>
      <c r="J62" s="35"/>
    </row>
    <row r="63" spans="1:16" ht="28.8" x14ac:dyDescent="0.3">
      <c r="A63" s="27" t="s">
        <v>103</v>
      </c>
      <c r="B63" s="34"/>
      <c r="E63" s="36" t="s">
        <v>3698</v>
      </c>
      <c r="J63" s="35"/>
    </row>
    <row r="64" spans="1:16" x14ac:dyDescent="0.3">
      <c r="A64" s="27" t="s">
        <v>103</v>
      </c>
      <c r="B64" s="34"/>
      <c r="E64" s="36" t="s">
        <v>3699</v>
      </c>
      <c r="J64" s="35"/>
    </row>
    <row r="65" spans="1:16" ht="72" x14ac:dyDescent="0.3">
      <c r="A65" s="27" t="s">
        <v>105</v>
      </c>
      <c r="B65" s="34"/>
      <c r="E65" s="29" t="s">
        <v>997</v>
      </c>
      <c r="J65" s="35"/>
    </row>
    <row r="66" spans="1:16" x14ac:dyDescent="0.3">
      <c r="A66" s="27" t="s">
        <v>95</v>
      </c>
      <c r="B66" s="27">
        <v>7</v>
      </c>
      <c r="C66" s="28" t="s">
        <v>998</v>
      </c>
      <c r="D66" s="27" t="s">
        <v>129</v>
      </c>
      <c r="E66" s="29" t="s">
        <v>999</v>
      </c>
      <c r="F66" s="30" t="s">
        <v>248</v>
      </c>
      <c r="G66" s="31">
        <v>473.012</v>
      </c>
      <c r="H66" s="32">
        <v>0</v>
      </c>
      <c r="I66" s="32">
        <f>ROUND(473.012*H66,P4)</f>
        <v>0</v>
      </c>
      <c r="J66" s="30" t="s">
        <v>118</v>
      </c>
      <c r="O66" s="33">
        <f>I66*0.21</f>
        <v>0</v>
      </c>
      <c r="P66">
        <v>3</v>
      </c>
    </row>
    <row r="67" spans="1:16" ht="158.4" x14ac:dyDescent="0.3">
      <c r="A67" s="27" t="s">
        <v>101</v>
      </c>
      <c r="B67" s="34"/>
      <c r="E67" s="29" t="s">
        <v>3700</v>
      </c>
      <c r="J67" s="35"/>
    </row>
    <row r="68" spans="1:16" ht="28.8" x14ac:dyDescent="0.3">
      <c r="A68" s="27" t="s">
        <v>103</v>
      </c>
      <c r="B68" s="34"/>
      <c r="E68" s="36" t="s">
        <v>3701</v>
      </c>
      <c r="J68" s="35"/>
    </row>
    <row r="69" spans="1:16" ht="28.8" x14ac:dyDescent="0.3">
      <c r="A69" s="27" t="s">
        <v>103</v>
      </c>
      <c r="B69" s="34"/>
      <c r="E69" s="36" t="s">
        <v>3702</v>
      </c>
      <c r="J69" s="35"/>
    </row>
    <row r="70" spans="1:16" x14ac:dyDescent="0.3">
      <c r="A70" s="27" t="s">
        <v>103</v>
      </c>
      <c r="B70" s="34"/>
      <c r="E70" s="36" t="s">
        <v>3703</v>
      </c>
      <c r="J70" s="35"/>
    </row>
    <row r="71" spans="1:16" ht="72" x14ac:dyDescent="0.3">
      <c r="A71" s="27" t="s">
        <v>105</v>
      </c>
      <c r="B71" s="34"/>
      <c r="E71" s="29" t="s">
        <v>997</v>
      </c>
      <c r="J71" s="35"/>
    </row>
    <row r="72" spans="1:16" x14ac:dyDescent="0.3">
      <c r="A72" s="27" t="s">
        <v>95</v>
      </c>
      <c r="B72" s="27">
        <v>8</v>
      </c>
      <c r="C72" s="28" t="s">
        <v>1012</v>
      </c>
      <c r="D72" s="27" t="s">
        <v>129</v>
      </c>
      <c r="E72" s="29" t="s">
        <v>1013</v>
      </c>
      <c r="F72" s="30" t="s">
        <v>229</v>
      </c>
      <c r="G72" s="31">
        <v>15.186999999999999</v>
      </c>
      <c r="H72" s="32">
        <v>0</v>
      </c>
      <c r="I72" s="32">
        <f>ROUND(15.187*H72,P4)</f>
        <v>0</v>
      </c>
      <c r="J72" s="30" t="s">
        <v>100</v>
      </c>
      <c r="O72" s="33">
        <f>I72*0.21</f>
        <v>0</v>
      </c>
      <c r="P72">
        <v>3</v>
      </c>
    </row>
    <row r="73" spans="1:16" ht="158.4" x14ac:dyDescent="0.3">
      <c r="A73" s="27" t="s">
        <v>101</v>
      </c>
      <c r="B73" s="34"/>
      <c r="E73" s="29" t="s">
        <v>1014</v>
      </c>
      <c r="J73" s="35"/>
    </row>
    <row r="74" spans="1:16" ht="28.8" x14ac:dyDescent="0.3">
      <c r="A74" s="27" t="s">
        <v>103</v>
      </c>
      <c r="B74" s="34"/>
      <c r="E74" s="36" t="s">
        <v>3704</v>
      </c>
      <c r="J74" s="35"/>
    </row>
    <row r="75" spans="1:16" ht="28.8" x14ac:dyDescent="0.3">
      <c r="A75" s="27" t="s">
        <v>103</v>
      </c>
      <c r="B75" s="34"/>
      <c r="E75" s="36" t="s">
        <v>3705</v>
      </c>
      <c r="J75" s="35"/>
    </row>
    <row r="76" spans="1:16" ht="28.8" x14ac:dyDescent="0.3">
      <c r="A76" s="27" t="s">
        <v>103</v>
      </c>
      <c r="B76" s="34"/>
      <c r="E76" s="36" t="s">
        <v>3706</v>
      </c>
      <c r="J76" s="35"/>
    </row>
    <row r="77" spans="1:16" ht="28.8" x14ac:dyDescent="0.3">
      <c r="A77" s="27" t="s">
        <v>103</v>
      </c>
      <c r="B77" s="34"/>
      <c r="E77" s="36" t="s">
        <v>3707</v>
      </c>
      <c r="J77" s="35"/>
    </row>
    <row r="78" spans="1:16" ht="28.8" x14ac:dyDescent="0.3">
      <c r="A78" s="27" t="s">
        <v>103</v>
      </c>
      <c r="B78" s="34"/>
      <c r="E78" s="36" t="s">
        <v>3708</v>
      </c>
      <c r="J78" s="35"/>
    </row>
    <row r="79" spans="1:16" ht="28.8" x14ac:dyDescent="0.3">
      <c r="A79" s="27" t="s">
        <v>103</v>
      </c>
      <c r="B79" s="34"/>
      <c r="E79" s="36" t="s">
        <v>3709</v>
      </c>
      <c r="J79" s="35"/>
    </row>
    <row r="80" spans="1:16" ht="28.8" x14ac:dyDescent="0.3">
      <c r="A80" s="27" t="s">
        <v>103</v>
      </c>
      <c r="B80" s="34"/>
      <c r="E80" s="36" t="s">
        <v>3710</v>
      </c>
      <c r="J80" s="35"/>
    </row>
    <row r="81" spans="1:16" x14ac:dyDescent="0.3">
      <c r="A81" s="27" t="s">
        <v>103</v>
      </c>
      <c r="B81" s="34"/>
      <c r="E81" s="36" t="s">
        <v>3711</v>
      </c>
      <c r="J81" s="35"/>
    </row>
    <row r="82" spans="1:16" ht="187.2" x14ac:dyDescent="0.3">
      <c r="A82" s="27" t="s">
        <v>105</v>
      </c>
      <c r="B82" s="34"/>
      <c r="E82" s="29" t="s">
        <v>1066</v>
      </c>
      <c r="J82" s="35"/>
    </row>
    <row r="83" spans="1:16" x14ac:dyDescent="0.3">
      <c r="A83" s="27" t="s">
        <v>95</v>
      </c>
      <c r="B83" s="27">
        <v>9</v>
      </c>
      <c r="C83" s="28" t="s">
        <v>1067</v>
      </c>
      <c r="D83" s="27" t="s">
        <v>129</v>
      </c>
      <c r="E83" s="29" t="s">
        <v>1068</v>
      </c>
      <c r="F83" s="30" t="s">
        <v>229</v>
      </c>
      <c r="G83" s="31">
        <v>28.327000000000002</v>
      </c>
      <c r="H83" s="32">
        <v>0</v>
      </c>
      <c r="I83" s="32">
        <f>ROUND(28.327*H83,P4)</f>
        <v>0</v>
      </c>
      <c r="J83" s="30" t="s">
        <v>100</v>
      </c>
      <c r="O83" s="33">
        <f>I83*0.21</f>
        <v>0</v>
      </c>
      <c r="P83">
        <v>3</v>
      </c>
    </row>
    <row r="84" spans="1:16" ht="172.8" x14ac:dyDescent="0.3">
      <c r="A84" s="27" t="s">
        <v>101</v>
      </c>
      <c r="B84" s="34"/>
      <c r="E84" s="29" t="s">
        <v>1069</v>
      </c>
      <c r="J84" s="35"/>
    </row>
    <row r="85" spans="1:16" ht="28.8" x14ac:dyDescent="0.3">
      <c r="A85" s="27" t="s">
        <v>103</v>
      </c>
      <c r="B85" s="34"/>
      <c r="E85" s="36" t="s">
        <v>3712</v>
      </c>
      <c r="J85" s="35"/>
    </row>
    <row r="86" spans="1:16" ht="28.8" x14ac:dyDescent="0.3">
      <c r="A86" s="27" t="s">
        <v>103</v>
      </c>
      <c r="B86" s="34"/>
      <c r="E86" s="36" t="s">
        <v>3713</v>
      </c>
      <c r="J86" s="35"/>
    </row>
    <row r="87" spans="1:16" ht="28.8" x14ac:dyDescent="0.3">
      <c r="A87" s="27" t="s">
        <v>103</v>
      </c>
      <c r="B87" s="34"/>
      <c r="E87" s="36" t="s">
        <v>3714</v>
      </c>
      <c r="J87" s="35"/>
    </row>
    <row r="88" spans="1:16" ht="28.8" x14ac:dyDescent="0.3">
      <c r="A88" s="27" t="s">
        <v>103</v>
      </c>
      <c r="B88" s="34"/>
      <c r="E88" s="36" t="s">
        <v>3715</v>
      </c>
      <c r="J88" s="35"/>
    </row>
    <row r="89" spans="1:16" x14ac:dyDescent="0.3">
      <c r="A89" s="27" t="s">
        <v>103</v>
      </c>
      <c r="B89" s="34"/>
      <c r="E89" s="36" t="s">
        <v>3716</v>
      </c>
      <c r="J89" s="35"/>
    </row>
    <row r="90" spans="1:16" ht="28.8" x14ac:dyDescent="0.3">
      <c r="A90" s="27" t="s">
        <v>103</v>
      </c>
      <c r="B90" s="34"/>
      <c r="E90" s="36" t="s">
        <v>3717</v>
      </c>
      <c r="J90" s="35"/>
    </row>
    <row r="91" spans="1:16" ht="28.8" x14ac:dyDescent="0.3">
      <c r="A91" s="27" t="s">
        <v>103</v>
      </c>
      <c r="B91" s="34"/>
      <c r="E91" s="36" t="s">
        <v>3718</v>
      </c>
      <c r="J91" s="35"/>
    </row>
    <row r="92" spans="1:16" ht="28.8" x14ac:dyDescent="0.3">
      <c r="A92" s="27" t="s">
        <v>103</v>
      </c>
      <c r="B92" s="34"/>
      <c r="E92" s="36" t="s">
        <v>3719</v>
      </c>
      <c r="J92" s="35"/>
    </row>
    <row r="93" spans="1:16" x14ac:dyDescent="0.3">
      <c r="A93" s="27" t="s">
        <v>103</v>
      </c>
      <c r="B93" s="34"/>
      <c r="E93" s="36" t="s">
        <v>3720</v>
      </c>
      <c r="J93" s="35"/>
    </row>
    <row r="94" spans="1:16" ht="187.2" x14ac:dyDescent="0.3">
      <c r="A94" s="27" t="s">
        <v>105</v>
      </c>
      <c r="B94" s="34"/>
      <c r="E94" s="29" t="s">
        <v>1066</v>
      </c>
      <c r="J94" s="35"/>
    </row>
    <row r="95" spans="1:16" x14ac:dyDescent="0.3">
      <c r="A95" s="27" t="s">
        <v>95</v>
      </c>
      <c r="B95" s="27">
        <v>10</v>
      </c>
      <c r="C95" s="28" t="s">
        <v>1120</v>
      </c>
      <c r="D95" s="27" t="s">
        <v>129</v>
      </c>
      <c r="E95" s="29" t="s">
        <v>1121</v>
      </c>
      <c r="F95" s="30" t="s">
        <v>229</v>
      </c>
      <c r="G95" s="31">
        <v>42.49</v>
      </c>
      <c r="H95" s="32">
        <v>0</v>
      </c>
      <c r="I95" s="32">
        <f>ROUND(42.49*H95,P4)</f>
        <v>0</v>
      </c>
      <c r="J95" s="30" t="s">
        <v>100</v>
      </c>
      <c r="O95" s="33">
        <f>I95*0.21</f>
        <v>0</v>
      </c>
      <c r="P95">
        <v>3</v>
      </c>
    </row>
    <row r="96" spans="1:16" ht="158.4" x14ac:dyDescent="0.3">
      <c r="A96" s="27" t="s">
        <v>101</v>
      </c>
      <c r="B96" s="34"/>
      <c r="E96" s="29" t="s">
        <v>1122</v>
      </c>
      <c r="J96" s="35"/>
    </row>
    <row r="97" spans="1:16" ht="28.8" x14ac:dyDescent="0.3">
      <c r="A97" s="27" t="s">
        <v>103</v>
      </c>
      <c r="B97" s="34"/>
      <c r="E97" s="36" t="s">
        <v>3721</v>
      </c>
      <c r="J97" s="35"/>
    </row>
    <row r="98" spans="1:16" ht="28.8" x14ac:dyDescent="0.3">
      <c r="A98" s="27" t="s">
        <v>103</v>
      </c>
      <c r="B98" s="34"/>
      <c r="E98" s="36" t="s">
        <v>3722</v>
      </c>
      <c r="J98" s="35"/>
    </row>
    <row r="99" spans="1:16" ht="28.8" x14ac:dyDescent="0.3">
      <c r="A99" s="27" t="s">
        <v>103</v>
      </c>
      <c r="B99" s="34"/>
      <c r="E99" s="36" t="s">
        <v>3723</v>
      </c>
      <c r="J99" s="35"/>
    </row>
    <row r="100" spans="1:16" ht="28.8" x14ac:dyDescent="0.3">
      <c r="A100" s="27" t="s">
        <v>103</v>
      </c>
      <c r="B100" s="34"/>
      <c r="E100" s="36" t="s">
        <v>3724</v>
      </c>
      <c r="J100" s="35"/>
    </row>
    <row r="101" spans="1:16" ht="28.8" x14ac:dyDescent="0.3">
      <c r="A101" s="27" t="s">
        <v>103</v>
      </c>
      <c r="B101" s="34"/>
      <c r="E101" s="36" t="s">
        <v>3725</v>
      </c>
      <c r="J101" s="35"/>
    </row>
    <row r="102" spans="1:16" ht="28.8" x14ac:dyDescent="0.3">
      <c r="A102" s="27" t="s">
        <v>103</v>
      </c>
      <c r="B102" s="34"/>
      <c r="E102" s="36" t="s">
        <v>3726</v>
      </c>
      <c r="J102" s="35"/>
    </row>
    <row r="103" spans="1:16" ht="28.8" x14ac:dyDescent="0.3">
      <c r="A103" s="27" t="s">
        <v>103</v>
      </c>
      <c r="B103" s="34"/>
      <c r="E103" s="36" t="s">
        <v>3727</v>
      </c>
      <c r="J103" s="35"/>
    </row>
    <row r="104" spans="1:16" x14ac:dyDescent="0.3">
      <c r="A104" s="27" t="s">
        <v>103</v>
      </c>
      <c r="B104" s="34"/>
      <c r="E104" s="36" t="s">
        <v>3728</v>
      </c>
      <c r="J104" s="35"/>
    </row>
    <row r="105" spans="1:16" x14ac:dyDescent="0.3">
      <c r="A105" s="27" t="s">
        <v>103</v>
      </c>
      <c r="B105" s="34"/>
      <c r="E105" s="36" t="s">
        <v>3729</v>
      </c>
      <c r="J105" s="35"/>
    </row>
    <row r="106" spans="1:16" ht="187.2" x14ac:dyDescent="0.3">
      <c r="A106" s="27" t="s">
        <v>105</v>
      </c>
      <c r="B106" s="34"/>
      <c r="E106" s="29" t="s">
        <v>1066</v>
      </c>
      <c r="J106" s="35"/>
    </row>
    <row r="107" spans="1:16" x14ac:dyDescent="0.3">
      <c r="A107" s="21" t="s">
        <v>92</v>
      </c>
      <c r="B107" s="22"/>
      <c r="C107" s="23" t="s">
        <v>252</v>
      </c>
      <c r="D107" s="24"/>
      <c r="E107" s="21" t="s">
        <v>253</v>
      </c>
      <c r="F107" s="24"/>
      <c r="G107" s="24"/>
      <c r="H107" s="24"/>
      <c r="I107" s="25">
        <f>SUMIFS(I108:I133,A108:A133,"P")</f>
        <v>0</v>
      </c>
      <c r="J107" s="26"/>
    </row>
    <row r="108" spans="1:16" ht="28.8" x14ac:dyDescent="0.3">
      <c r="A108" s="27" t="s">
        <v>95</v>
      </c>
      <c r="B108" s="27">
        <v>11</v>
      </c>
      <c r="C108" s="28" t="s">
        <v>2870</v>
      </c>
      <c r="D108" s="27" t="s">
        <v>97</v>
      </c>
      <c r="E108" s="29" t="s">
        <v>2871</v>
      </c>
      <c r="F108" s="30" t="s">
        <v>237</v>
      </c>
      <c r="G108" s="31">
        <v>198.58</v>
      </c>
      <c r="H108" s="32">
        <v>0</v>
      </c>
      <c r="I108" s="32">
        <f>ROUND(198.58*H108,P4)</f>
        <v>0</v>
      </c>
      <c r="J108" s="30" t="s">
        <v>118</v>
      </c>
      <c r="O108" s="33">
        <f>I108*0.21</f>
        <v>0</v>
      </c>
      <c r="P108">
        <v>3</v>
      </c>
    </row>
    <row r="109" spans="1:16" ht="288" x14ac:dyDescent="0.3">
      <c r="A109" s="27" t="s">
        <v>101</v>
      </c>
      <c r="B109" s="34"/>
      <c r="E109" s="29" t="s">
        <v>3730</v>
      </c>
      <c r="J109" s="35"/>
    </row>
    <row r="110" spans="1:16" x14ac:dyDescent="0.3">
      <c r="A110" s="27" t="s">
        <v>103</v>
      </c>
      <c r="B110" s="34"/>
      <c r="E110" s="36" t="s">
        <v>3731</v>
      </c>
      <c r="J110" s="35"/>
    </row>
    <row r="111" spans="1:16" ht="28.8" x14ac:dyDescent="0.3">
      <c r="A111" s="27" t="s">
        <v>103</v>
      </c>
      <c r="B111" s="34"/>
      <c r="E111" s="36" t="s">
        <v>3732</v>
      </c>
      <c r="J111" s="35"/>
    </row>
    <row r="112" spans="1:16" ht="28.8" x14ac:dyDescent="0.3">
      <c r="A112" s="27" t="s">
        <v>103</v>
      </c>
      <c r="B112" s="34"/>
      <c r="E112" s="36" t="s">
        <v>3733</v>
      </c>
      <c r="J112" s="35"/>
    </row>
    <row r="113" spans="1:16" x14ac:dyDescent="0.3">
      <c r="A113" s="27" t="s">
        <v>103</v>
      </c>
      <c r="B113" s="34"/>
      <c r="E113" s="36" t="s">
        <v>3734</v>
      </c>
      <c r="J113" s="35"/>
    </row>
    <row r="114" spans="1:16" x14ac:dyDescent="0.3">
      <c r="A114" s="27" t="s">
        <v>103</v>
      </c>
      <c r="B114" s="34"/>
      <c r="E114" s="36" t="s">
        <v>3735</v>
      </c>
      <c r="J114" s="35"/>
    </row>
    <row r="115" spans="1:16" x14ac:dyDescent="0.3">
      <c r="A115" s="27" t="s">
        <v>103</v>
      </c>
      <c r="B115" s="34"/>
      <c r="E115" s="36" t="s">
        <v>3736</v>
      </c>
      <c r="J115" s="35"/>
    </row>
    <row r="116" spans="1:16" ht="57.6" x14ac:dyDescent="0.3">
      <c r="A116" s="27" t="s">
        <v>105</v>
      </c>
      <c r="B116" s="34"/>
      <c r="E116" s="29" t="s">
        <v>2894</v>
      </c>
      <c r="J116" s="35"/>
    </row>
    <row r="117" spans="1:16" ht="28.8" x14ac:dyDescent="0.3">
      <c r="A117" s="27" t="s">
        <v>95</v>
      </c>
      <c r="B117" s="27">
        <v>12</v>
      </c>
      <c r="C117" s="28" t="s">
        <v>2870</v>
      </c>
      <c r="D117" s="27" t="s">
        <v>107</v>
      </c>
      <c r="E117" s="29" t="s">
        <v>2871</v>
      </c>
      <c r="F117" s="30" t="s">
        <v>237</v>
      </c>
      <c r="G117" s="31">
        <v>8.06</v>
      </c>
      <c r="H117" s="32">
        <v>0</v>
      </c>
      <c r="I117" s="32">
        <f>ROUND(8.06*H117,P4)</f>
        <v>0</v>
      </c>
      <c r="J117" s="30" t="s">
        <v>118</v>
      </c>
      <c r="O117" s="33">
        <f>I117*0.21</f>
        <v>0</v>
      </c>
      <c r="P117">
        <v>3</v>
      </c>
    </row>
    <row r="118" spans="1:16" ht="288" x14ac:dyDescent="0.3">
      <c r="A118" s="27" t="s">
        <v>101</v>
      </c>
      <c r="B118" s="34"/>
      <c r="E118" s="29" t="s">
        <v>3737</v>
      </c>
      <c r="J118" s="35"/>
    </row>
    <row r="119" spans="1:16" ht="28.8" x14ac:dyDescent="0.3">
      <c r="A119" s="27" t="s">
        <v>103</v>
      </c>
      <c r="B119" s="34"/>
      <c r="E119" s="36" t="s">
        <v>3738</v>
      </c>
      <c r="J119" s="35"/>
    </row>
    <row r="120" spans="1:16" ht="28.8" x14ac:dyDescent="0.3">
      <c r="A120" s="27" t="s">
        <v>103</v>
      </c>
      <c r="B120" s="34"/>
      <c r="E120" s="36" t="s">
        <v>3739</v>
      </c>
      <c r="J120" s="35"/>
    </row>
    <row r="121" spans="1:16" ht="28.8" x14ac:dyDescent="0.3">
      <c r="A121" s="27" t="s">
        <v>103</v>
      </c>
      <c r="B121" s="34"/>
      <c r="E121" s="36" t="s">
        <v>3740</v>
      </c>
      <c r="J121" s="35"/>
    </row>
    <row r="122" spans="1:16" x14ac:dyDescent="0.3">
      <c r="A122" s="27" t="s">
        <v>103</v>
      </c>
      <c r="B122" s="34"/>
      <c r="E122" s="36" t="s">
        <v>3741</v>
      </c>
      <c r="J122" s="35"/>
    </row>
    <row r="123" spans="1:16" ht="57.6" x14ac:dyDescent="0.3">
      <c r="A123" s="27" t="s">
        <v>105</v>
      </c>
      <c r="B123" s="34"/>
      <c r="E123" s="29" t="s">
        <v>2894</v>
      </c>
      <c r="J123" s="35"/>
    </row>
    <row r="124" spans="1:16" x14ac:dyDescent="0.3">
      <c r="A124" s="27" t="s">
        <v>95</v>
      </c>
      <c r="B124" s="27">
        <v>13</v>
      </c>
      <c r="C124" s="28" t="s">
        <v>3742</v>
      </c>
      <c r="D124" s="27" t="s">
        <v>129</v>
      </c>
      <c r="E124" s="29" t="s">
        <v>3743</v>
      </c>
      <c r="F124" s="30" t="s">
        <v>237</v>
      </c>
      <c r="G124" s="31">
        <v>34</v>
      </c>
      <c r="H124" s="32">
        <v>0</v>
      </c>
      <c r="I124" s="32">
        <f>ROUND(34*H124,P4)</f>
        <v>0</v>
      </c>
      <c r="J124" s="30" t="s">
        <v>118</v>
      </c>
      <c r="O124" s="33">
        <f>I124*0.21</f>
        <v>0</v>
      </c>
      <c r="P124">
        <v>3</v>
      </c>
    </row>
    <row r="125" spans="1:16" ht="316.8" x14ac:dyDescent="0.3">
      <c r="A125" s="27" t="s">
        <v>101</v>
      </c>
      <c r="B125" s="34"/>
      <c r="E125" s="29" t="s">
        <v>3744</v>
      </c>
      <c r="J125" s="35"/>
    </row>
    <row r="126" spans="1:16" ht="28.8" x14ac:dyDescent="0.3">
      <c r="A126" s="27" t="s">
        <v>103</v>
      </c>
      <c r="B126" s="34"/>
      <c r="E126" s="36" t="s">
        <v>3745</v>
      </c>
      <c r="J126" s="35"/>
    </row>
    <row r="127" spans="1:16" x14ac:dyDescent="0.3">
      <c r="A127" s="27" t="s">
        <v>103</v>
      </c>
      <c r="B127" s="34"/>
      <c r="E127" s="36" t="s">
        <v>3746</v>
      </c>
      <c r="J127" s="35"/>
    </row>
    <row r="128" spans="1:16" x14ac:dyDescent="0.3">
      <c r="A128" s="27" t="s">
        <v>103</v>
      </c>
      <c r="B128" s="34"/>
      <c r="E128" s="36" t="s">
        <v>3747</v>
      </c>
      <c r="J128" s="35"/>
    </row>
    <row r="129" spans="1:10" x14ac:dyDescent="0.3">
      <c r="A129" s="27" t="s">
        <v>103</v>
      </c>
      <c r="B129" s="34"/>
      <c r="E129" s="36" t="s">
        <v>3748</v>
      </c>
      <c r="J129" s="35"/>
    </row>
    <row r="130" spans="1:10" x14ac:dyDescent="0.3">
      <c r="A130" s="27" t="s">
        <v>103</v>
      </c>
      <c r="B130" s="34"/>
      <c r="E130" s="36" t="s">
        <v>3749</v>
      </c>
      <c r="J130" s="35"/>
    </row>
    <row r="131" spans="1:10" x14ac:dyDescent="0.3">
      <c r="A131" s="27" t="s">
        <v>103</v>
      </c>
      <c r="B131" s="34"/>
      <c r="E131" s="36" t="s">
        <v>3750</v>
      </c>
      <c r="J131" s="35"/>
    </row>
    <row r="132" spans="1:10" x14ac:dyDescent="0.3">
      <c r="A132" s="27" t="s">
        <v>103</v>
      </c>
      <c r="B132" s="34"/>
      <c r="E132" s="36" t="s">
        <v>3751</v>
      </c>
      <c r="J132" s="35"/>
    </row>
    <row r="133" spans="1:10" ht="57.6" x14ac:dyDescent="0.3">
      <c r="A133" s="27" t="s">
        <v>105</v>
      </c>
      <c r="B133" s="37"/>
      <c r="C133" s="38"/>
      <c r="D133" s="38"/>
      <c r="E133" s="29" t="s">
        <v>2894</v>
      </c>
      <c r="F133" s="38"/>
      <c r="G133" s="38"/>
      <c r="H133" s="38"/>
      <c r="I133" s="38"/>
      <c r="J133"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1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48</v>
      </c>
      <c r="I3" s="16">
        <f>SUMIFS(I9:I114,A9:A114,"SD")</f>
        <v>0</v>
      </c>
      <c r="J3" s="12"/>
      <c r="O3">
        <v>0</v>
      </c>
      <c r="P3">
        <v>2</v>
      </c>
    </row>
    <row r="4" spans="1:16" x14ac:dyDescent="0.3">
      <c r="A4" s="2" t="s">
        <v>79</v>
      </c>
      <c r="B4" s="13" t="s">
        <v>492</v>
      </c>
      <c r="C4" s="43" t="s">
        <v>3663</v>
      </c>
      <c r="D4" s="44"/>
      <c r="E4" s="14" t="s">
        <v>3664</v>
      </c>
      <c r="F4" s="2"/>
      <c r="G4" s="2"/>
      <c r="H4" s="2"/>
      <c r="I4" s="2"/>
      <c r="J4" s="12"/>
      <c r="O4">
        <v>0.15</v>
      </c>
      <c r="P4">
        <v>2</v>
      </c>
    </row>
    <row r="5" spans="1:16" x14ac:dyDescent="0.3">
      <c r="A5" s="2" t="s">
        <v>495</v>
      </c>
      <c r="B5" s="13" t="s">
        <v>80</v>
      </c>
      <c r="C5" s="43" t="s">
        <v>48</v>
      </c>
      <c r="D5" s="44"/>
      <c r="E5" s="14" t="s">
        <v>49</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SUMIFS(I10:I25,A10:A25,"P")</f>
        <v>0</v>
      </c>
      <c r="J9" s="26"/>
    </row>
    <row r="10" spans="1:16" x14ac:dyDescent="0.3">
      <c r="A10" s="27" t="s">
        <v>95</v>
      </c>
      <c r="B10" s="27">
        <v>1</v>
      </c>
      <c r="C10" s="28" t="s">
        <v>496</v>
      </c>
      <c r="D10" s="27" t="s">
        <v>129</v>
      </c>
      <c r="E10" s="29" t="s">
        <v>497</v>
      </c>
      <c r="F10" s="30" t="s">
        <v>229</v>
      </c>
      <c r="G10" s="31">
        <v>0.14599999999999999</v>
      </c>
      <c r="H10" s="32">
        <v>0</v>
      </c>
      <c r="I10" s="32">
        <f>ROUND(0.146*H10,P4)</f>
        <v>0</v>
      </c>
      <c r="J10" s="30" t="s">
        <v>118</v>
      </c>
      <c r="O10" s="33">
        <f>I10*0.21</f>
        <v>0</v>
      </c>
      <c r="P10">
        <v>3</v>
      </c>
    </row>
    <row r="11" spans="1:16" ht="158.4" x14ac:dyDescent="0.3">
      <c r="A11" s="27" t="s">
        <v>101</v>
      </c>
      <c r="B11" s="34"/>
      <c r="E11" s="29" t="s">
        <v>2690</v>
      </c>
      <c r="J11" s="35"/>
    </row>
    <row r="12" spans="1:16" ht="28.8" x14ac:dyDescent="0.3">
      <c r="A12" s="27" t="s">
        <v>103</v>
      </c>
      <c r="B12" s="34"/>
      <c r="E12" s="36" t="s">
        <v>3752</v>
      </c>
      <c r="J12" s="35"/>
    </row>
    <row r="13" spans="1:16" ht="28.8" x14ac:dyDescent="0.3">
      <c r="A13" s="27" t="s">
        <v>103</v>
      </c>
      <c r="B13" s="34"/>
      <c r="E13" s="36" t="s">
        <v>3753</v>
      </c>
      <c r="J13" s="35"/>
    </row>
    <row r="14" spans="1:16" ht="28.8" x14ac:dyDescent="0.3">
      <c r="A14" s="27" t="s">
        <v>103</v>
      </c>
      <c r="B14" s="34"/>
      <c r="E14" s="36" t="s">
        <v>3754</v>
      </c>
      <c r="J14" s="35"/>
    </row>
    <row r="15" spans="1:16" ht="28.8" x14ac:dyDescent="0.3">
      <c r="A15" s="27" t="s">
        <v>103</v>
      </c>
      <c r="B15" s="34"/>
      <c r="E15" s="36" t="s">
        <v>3755</v>
      </c>
      <c r="J15" s="35"/>
    </row>
    <row r="16" spans="1:16" x14ac:dyDescent="0.3">
      <c r="A16" s="27" t="s">
        <v>103</v>
      </c>
      <c r="B16" s="34"/>
      <c r="E16" s="36" t="s">
        <v>3756</v>
      </c>
      <c r="J16" s="35"/>
    </row>
    <row r="17" spans="1:16" ht="374.4" x14ac:dyDescent="0.3">
      <c r="A17" s="27" t="s">
        <v>105</v>
      </c>
      <c r="B17" s="34"/>
      <c r="E17" s="29" t="s">
        <v>434</v>
      </c>
      <c r="J17" s="35"/>
    </row>
    <row r="18" spans="1:16" x14ac:dyDescent="0.3">
      <c r="A18" s="27" t="s">
        <v>95</v>
      </c>
      <c r="B18" s="27">
        <v>2</v>
      </c>
      <c r="C18" s="28" t="s">
        <v>591</v>
      </c>
      <c r="D18" s="27" t="s">
        <v>129</v>
      </c>
      <c r="E18" s="29" t="s">
        <v>592</v>
      </c>
      <c r="F18" s="30" t="s">
        <v>229</v>
      </c>
      <c r="G18" s="31">
        <v>0.14599999999999999</v>
      </c>
      <c r="H18" s="32">
        <v>0</v>
      </c>
      <c r="I18" s="32">
        <f>ROUND(0.146*H18,P4)</f>
        <v>0</v>
      </c>
      <c r="J18" s="30" t="s">
        <v>118</v>
      </c>
      <c r="O18" s="33">
        <f>I18*0.21</f>
        <v>0</v>
      </c>
      <c r="P18">
        <v>3</v>
      </c>
    </row>
    <row r="19" spans="1:16" ht="158.4" x14ac:dyDescent="0.3">
      <c r="A19" s="27" t="s">
        <v>101</v>
      </c>
      <c r="B19" s="34"/>
      <c r="E19" s="29" t="s">
        <v>2690</v>
      </c>
      <c r="J19" s="35"/>
    </row>
    <row r="20" spans="1:16" ht="28.8" x14ac:dyDescent="0.3">
      <c r="A20" s="27" t="s">
        <v>103</v>
      </c>
      <c r="B20" s="34"/>
      <c r="E20" s="36" t="s">
        <v>3752</v>
      </c>
      <c r="J20" s="35"/>
    </row>
    <row r="21" spans="1:16" ht="28.8" x14ac:dyDescent="0.3">
      <c r="A21" s="27" t="s">
        <v>103</v>
      </c>
      <c r="B21" s="34"/>
      <c r="E21" s="36" t="s">
        <v>3753</v>
      </c>
      <c r="J21" s="35"/>
    </row>
    <row r="22" spans="1:16" ht="28.8" x14ac:dyDescent="0.3">
      <c r="A22" s="27" t="s">
        <v>103</v>
      </c>
      <c r="B22" s="34"/>
      <c r="E22" s="36" t="s">
        <v>3754</v>
      </c>
      <c r="J22" s="35"/>
    </row>
    <row r="23" spans="1:16" ht="28.8" x14ac:dyDescent="0.3">
      <c r="A23" s="27" t="s">
        <v>103</v>
      </c>
      <c r="B23" s="34"/>
      <c r="E23" s="36" t="s">
        <v>3755</v>
      </c>
      <c r="J23" s="35"/>
    </row>
    <row r="24" spans="1:16" x14ac:dyDescent="0.3">
      <c r="A24" s="27" t="s">
        <v>103</v>
      </c>
      <c r="B24" s="34"/>
      <c r="E24" s="36" t="s">
        <v>3756</v>
      </c>
      <c r="J24" s="35"/>
    </row>
    <row r="25" spans="1:16" ht="288" x14ac:dyDescent="0.3">
      <c r="A25" s="27" t="s">
        <v>105</v>
      </c>
      <c r="B25" s="34"/>
      <c r="E25" s="29" t="s">
        <v>593</v>
      </c>
      <c r="J25" s="35"/>
    </row>
    <row r="26" spans="1:16" x14ac:dyDescent="0.3">
      <c r="A26" s="21" t="s">
        <v>92</v>
      </c>
      <c r="B26" s="22"/>
      <c r="C26" s="23" t="s">
        <v>124</v>
      </c>
      <c r="D26" s="24"/>
      <c r="E26" s="21" t="s">
        <v>226</v>
      </c>
      <c r="F26" s="24"/>
      <c r="G26" s="24"/>
      <c r="H26" s="24"/>
      <c r="I26" s="25">
        <f>SUMIFS(I27:I80,A27:A80,"P")</f>
        <v>0</v>
      </c>
      <c r="J26" s="26"/>
    </row>
    <row r="27" spans="1:16" x14ac:dyDescent="0.3">
      <c r="A27" s="27" t="s">
        <v>95</v>
      </c>
      <c r="B27" s="27">
        <v>3</v>
      </c>
      <c r="C27" s="28" t="s">
        <v>697</v>
      </c>
      <c r="D27" s="27" t="s">
        <v>116</v>
      </c>
      <c r="E27" s="29" t="s">
        <v>698</v>
      </c>
      <c r="F27" s="30" t="s">
        <v>229</v>
      </c>
      <c r="G27" s="31">
        <v>45.634999999999998</v>
      </c>
      <c r="H27" s="32">
        <v>0</v>
      </c>
      <c r="I27" s="32">
        <f>ROUND(4.64*H27,P4)+ROUND(40.995*H27,P4)</f>
        <v>0</v>
      </c>
      <c r="J27" s="30" t="s">
        <v>118</v>
      </c>
      <c r="O27" s="33">
        <f>I27*0.21</f>
        <v>0</v>
      </c>
      <c r="P27">
        <v>3</v>
      </c>
    </row>
    <row r="28" spans="1:16" ht="158.4" x14ac:dyDescent="0.3">
      <c r="A28" s="27" t="s">
        <v>101</v>
      </c>
      <c r="B28" s="34"/>
      <c r="E28" s="29" t="s">
        <v>3757</v>
      </c>
      <c r="J28" s="35"/>
    </row>
    <row r="29" spans="1:16" ht="28.8" x14ac:dyDescent="0.3">
      <c r="A29" s="27" t="s">
        <v>103</v>
      </c>
      <c r="B29" s="34"/>
      <c r="E29" s="36" t="s">
        <v>3758</v>
      </c>
      <c r="J29" s="35"/>
    </row>
    <row r="30" spans="1:16" ht="28.8" x14ac:dyDescent="0.3">
      <c r="A30" s="27" t="s">
        <v>103</v>
      </c>
      <c r="B30" s="34"/>
      <c r="E30" s="36" t="s">
        <v>3759</v>
      </c>
      <c r="J30" s="35"/>
    </row>
    <row r="31" spans="1:16" ht="28.8" x14ac:dyDescent="0.3">
      <c r="A31" s="27" t="s">
        <v>103</v>
      </c>
      <c r="B31" s="34"/>
      <c r="E31" s="36" t="s">
        <v>3760</v>
      </c>
      <c r="J31" s="35"/>
    </row>
    <row r="32" spans="1:16" ht="28.8" x14ac:dyDescent="0.3">
      <c r="A32" s="27" t="s">
        <v>103</v>
      </c>
      <c r="B32" s="34"/>
      <c r="E32" s="36" t="s">
        <v>3761</v>
      </c>
      <c r="J32" s="35"/>
    </row>
    <row r="33" spans="1:16" ht="28.8" x14ac:dyDescent="0.3">
      <c r="A33" s="27" t="s">
        <v>103</v>
      </c>
      <c r="B33" s="34"/>
      <c r="E33" s="36" t="s">
        <v>3762</v>
      </c>
      <c r="J33" s="35"/>
    </row>
    <row r="34" spans="1:16" x14ac:dyDescent="0.3">
      <c r="A34" s="27" t="s">
        <v>103</v>
      </c>
      <c r="B34" s="34"/>
      <c r="E34" s="36" t="s">
        <v>3763</v>
      </c>
      <c r="J34" s="35"/>
    </row>
    <row r="35" spans="1:16" ht="28.8" x14ac:dyDescent="0.3">
      <c r="A35" s="27" t="s">
        <v>103</v>
      </c>
      <c r="B35" s="34"/>
      <c r="E35" s="36" t="s">
        <v>3764</v>
      </c>
      <c r="J35" s="35"/>
    </row>
    <row r="36" spans="1:16" ht="28.8" x14ac:dyDescent="0.3">
      <c r="A36" s="27" t="s">
        <v>103</v>
      </c>
      <c r="B36" s="34"/>
      <c r="E36" s="36" t="s">
        <v>3765</v>
      </c>
      <c r="J36" s="35"/>
    </row>
    <row r="37" spans="1:16" ht="28.8" x14ac:dyDescent="0.3">
      <c r="A37" s="27" t="s">
        <v>103</v>
      </c>
      <c r="B37" s="34"/>
      <c r="E37" s="36" t="s">
        <v>3766</v>
      </c>
      <c r="J37" s="35"/>
    </row>
    <row r="38" spans="1:16" ht="28.8" x14ac:dyDescent="0.3">
      <c r="A38" s="27" t="s">
        <v>103</v>
      </c>
      <c r="B38" s="34"/>
      <c r="E38" s="36" t="s">
        <v>3767</v>
      </c>
      <c r="J38" s="35"/>
    </row>
    <row r="39" spans="1:16" ht="28.8" x14ac:dyDescent="0.3">
      <c r="A39" s="27" t="s">
        <v>103</v>
      </c>
      <c r="B39" s="34"/>
      <c r="E39" s="36" t="s">
        <v>3768</v>
      </c>
      <c r="J39" s="35"/>
    </row>
    <row r="40" spans="1:16" ht="28.8" x14ac:dyDescent="0.3">
      <c r="A40" s="27" t="s">
        <v>103</v>
      </c>
      <c r="B40" s="34"/>
      <c r="E40" s="36" t="s">
        <v>3769</v>
      </c>
      <c r="J40" s="35"/>
    </row>
    <row r="41" spans="1:16" ht="28.8" x14ac:dyDescent="0.3">
      <c r="A41" s="27" t="s">
        <v>103</v>
      </c>
      <c r="B41" s="34"/>
      <c r="E41" s="36" t="s">
        <v>3770</v>
      </c>
      <c r="J41" s="35"/>
    </row>
    <row r="42" spans="1:16" ht="28.8" x14ac:dyDescent="0.3">
      <c r="A42" s="27" t="s">
        <v>103</v>
      </c>
      <c r="B42" s="34"/>
      <c r="E42" s="36" t="s">
        <v>3771</v>
      </c>
      <c r="J42" s="35"/>
    </row>
    <row r="43" spans="1:16" x14ac:dyDescent="0.3">
      <c r="A43" s="27" t="s">
        <v>103</v>
      </c>
      <c r="B43" s="34"/>
      <c r="E43" s="36" t="s">
        <v>3772</v>
      </c>
      <c r="J43" s="35"/>
    </row>
    <row r="44" spans="1:16" ht="57.6" x14ac:dyDescent="0.3">
      <c r="A44" s="27" t="s">
        <v>105</v>
      </c>
      <c r="B44" s="34"/>
      <c r="E44" s="29" t="s">
        <v>765</v>
      </c>
      <c r="J44" s="35"/>
    </row>
    <row r="45" spans="1:16" x14ac:dyDescent="0.3">
      <c r="A45" s="27" t="s">
        <v>95</v>
      </c>
      <c r="B45" s="27">
        <v>4</v>
      </c>
      <c r="C45" s="28" t="s">
        <v>3773</v>
      </c>
      <c r="D45" s="27" t="s">
        <v>129</v>
      </c>
      <c r="E45" s="29" t="s">
        <v>3774</v>
      </c>
      <c r="F45" s="30" t="s">
        <v>248</v>
      </c>
      <c r="G45" s="31">
        <v>276.46899999999999</v>
      </c>
      <c r="H45" s="32">
        <v>0</v>
      </c>
      <c r="I45" s="32">
        <f>ROUND(29.129*H45,P4)+ROUND(247.34*H45,P4)</f>
        <v>0</v>
      </c>
      <c r="J45" s="30" t="s">
        <v>118</v>
      </c>
      <c r="O45" s="33">
        <f>I45*0.21</f>
        <v>0</v>
      </c>
      <c r="P45">
        <v>3</v>
      </c>
    </row>
    <row r="46" spans="1:16" ht="172.8" x14ac:dyDescent="0.3">
      <c r="A46" s="27" t="s">
        <v>101</v>
      </c>
      <c r="B46" s="34"/>
      <c r="E46" s="29" t="s">
        <v>3775</v>
      </c>
      <c r="J46" s="35"/>
    </row>
    <row r="47" spans="1:16" ht="28.8" x14ac:dyDescent="0.3">
      <c r="A47" s="27" t="s">
        <v>103</v>
      </c>
      <c r="B47" s="34"/>
      <c r="E47" s="36" t="s">
        <v>3776</v>
      </c>
      <c r="J47" s="35"/>
    </row>
    <row r="48" spans="1:16" ht="28.8" x14ac:dyDescent="0.3">
      <c r="A48" s="27" t="s">
        <v>103</v>
      </c>
      <c r="B48" s="34"/>
      <c r="E48" s="36" t="s">
        <v>3777</v>
      </c>
      <c r="J48" s="35"/>
    </row>
    <row r="49" spans="1:16" ht="28.8" x14ac:dyDescent="0.3">
      <c r="A49" s="27" t="s">
        <v>103</v>
      </c>
      <c r="B49" s="34"/>
      <c r="E49" s="36" t="s">
        <v>3778</v>
      </c>
      <c r="J49" s="35"/>
    </row>
    <row r="50" spans="1:16" ht="28.8" x14ac:dyDescent="0.3">
      <c r="A50" s="27" t="s">
        <v>103</v>
      </c>
      <c r="B50" s="34"/>
      <c r="E50" s="36" t="s">
        <v>3779</v>
      </c>
      <c r="J50" s="35"/>
    </row>
    <row r="51" spans="1:16" ht="28.8" x14ac:dyDescent="0.3">
      <c r="A51" s="27" t="s">
        <v>103</v>
      </c>
      <c r="B51" s="34"/>
      <c r="E51" s="36" t="s">
        <v>3780</v>
      </c>
      <c r="J51" s="35"/>
    </row>
    <row r="52" spans="1:16" x14ac:dyDescent="0.3">
      <c r="A52" s="27" t="s">
        <v>103</v>
      </c>
      <c r="B52" s="34"/>
      <c r="E52" s="36" t="s">
        <v>3781</v>
      </c>
      <c r="J52" s="35"/>
    </row>
    <row r="53" spans="1:16" ht="28.8" x14ac:dyDescent="0.3">
      <c r="A53" s="27" t="s">
        <v>103</v>
      </c>
      <c r="B53" s="34"/>
      <c r="E53" s="36" t="s">
        <v>3782</v>
      </c>
      <c r="J53" s="35"/>
    </row>
    <row r="54" spans="1:16" ht="28.8" x14ac:dyDescent="0.3">
      <c r="A54" s="27" t="s">
        <v>103</v>
      </c>
      <c r="B54" s="34"/>
      <c r="E54" s="36" t="s">
        <v>3783</v>
      </c>
      <c r="J54" s="35"/>
    </row>
    <row r="55" spans="1:16" ht="28.8" x14ac:dyDescent="0.3">
      <c r="A55" s="27" t="s">
        <v>103</v>
      </c>
      <c r="B55" s="34"/>
      <c r="E55" s="36" t="s">
        <v>3784</v>
      </c>
      <c r="J55" s="35"/>
    </row>
    <row r="56" spans="1:16" ht="28.8" x14ac:dyDescent="0.3">
      <c r="A56" s="27" t="s">
        <v>103</v>
      </c>
      <c r="B56" s="34"/>
      <c r="E56" s="36" t="s">
        <v>3785</v>
      </c>
      <c r="J56" s="35"/>
    </row>
    <row r="57" spans="1:16" ht="28.8" x14ac:dyDescent="0.3">
      <c r="A57" s="27" t="s">
        <v>103</v>
      </c>
      <c r="B57" s="34"/>
      <c r="E57" s="36" t="s">
        <v>3786</v>
      </c>
      <c r="J57" s="35"/>
    </row>
    <row r="58" spans="1:16" ht="28.8" x14ac:dyDescent="0.3">
      <c r="A58" s="27" t="s">
        <v>103</v>
      </c>
      <c r="B58" s="34"/>
      <c r="E58" s="36" t="s">
        <v>3787</v>
      </c>
      <c r="J58" s="35"/>
    </row>
    <row r="59" spans="1:16" ht="28.8" x14ac:dyDescent="0.3">
      <c r="A59" s="27" t="s">
        <v>103</v>
      </c>
      <c r="B59" s="34"/>
      <c r="E59" s="36" t="s">
        <v>3788</v>
      </c>
      <c r="J59" s="35"/>
    </row>
    <row r="60" spans="1:16" x14ac:dyDescent="0.3">
      <c r="A60" s="27" t="s">
        <v>103</v>
      </c>
      <c r="B60" s="34"/>
      <c r="E60" s="36" t="s">
        <v>3789</v>
      </c>
      <c r="J60" s="35"/>
    </row>
    <row r="61" spans="1:16" ht="187.2" x14ac:dyDescent="0.3">
      <c r="A61" s="27" t="s">
        <v>105</v>
      </c>
      <c r="B61" s="34"/>
      <c r="E61" s="29" t="s">
        <v>3316</v>
      </c>
      <c r="J61" s="35"/>
    </row>
    <row r="62" spans="1:16" x14ac:dyDescent="0.3">
      <c r="A62" s="27" t="s">
        <v>95</v>
      </c>
      <c r="B62" s="27">
        <v>5</v>
      </c>
      <c r="C62" s="28" t="s">
        <v>3790</v>
      </c>
      <c r="D62" s="27" t="s">
        <v>129</v>
      </c>
      <c r="E62" s="29" t="s">
        <v>3791</v>
      </c>
      <c r="F62" s="30" t="s">
        <v>248</v>
      </c>
      <c r="G62" s="31">
        <v>7.8019999999999996</v>
      </c>
      <c r="H62" s="32">
        <v>0</v>
      </c>
      <c r="I62" s="32">
        <f>ROUND(7.802*H62,P4)</f>
        <v>0</v>
      </c>
      <c r="J62" s="30" t="s">
        <v>118</v>
      </c>
      <c r="O62" s="33">
        <f>I62*0.21</f>
        <v>0</v>
      </c>
      <c r="P62">
        <v>3</v>
      </c>
    </row>
    <row r="63" spans="1:16" ht="172.8" x14ac:dyDescent="0.3">
      <c r="A63" s="27" t="s">
        <v>101</v>
      </c>
      <c r="B63" s="34"/>
      <c r="E63" s="29" t="s">
        <v>3792</v>
      </c>
      <c r="J63" s="35"/>
    </row>
    <row r="64" spans="1:16" ht="28.8" x14ac:dyDescent="0.3">
      <c r="A64" s="27" t="s">
        <v>103</v>
      </c>
      <c r="B64" s="34"/>
      <c r="E64" s="36" t="s">
        <v>3793</v>
      </c>
      <c r="J64" s="35"/>
    </row>
    <row r="65" spans="1:16" ht="28.8" x14ac:dyDescent="0.3">
      <c r="A65" s="27" t="s">
        <v>103</v>
      </c>
      <c r="B65" s="34"/>
      <c r="E65" s="36" t="s">
        <v>3794</v>
      </c>
      <c r="J65" s="35"/>
    </row>
    <row r="66" spans="1:16" x14ac:dyDescent="0.3">
      <c r="A66" s="27" t="s">
        <v>103</v>
      </c>
      <c r="B66" s="34"/>
      <c r="E66" s="36" t="s">
        <v>3795</v>
      </c>
      <c r="J66" s="35"/>
    </row>
    <row r="67" spans="1:16" ht="187.2" x14ac:dyDescent="0.3">
      <c r="A67" s="27" t="s">
        <v>105</v>
      </c>
      <c r="B67" s="34"/>
      <c r="E67" s="29" t="s">
        <v>3316</v>
      </c>
      <c r="J67" s="35"/>
    </row>
    <row r="68" spans="1:16" ht="28.8" x14ac:dyDescent="0.3">
      <c r="A68" s="27" t="s">
        <v>95</v>
      </c>
      <c r="B68" s="27">
        <v>6</v>
      </c>
      <c r="C68" s="28" t="s">
        <v>3796</v>
      </c>
      <c r="D68" s="27" t="s">
        <v>129</v>
      </c>
      <c r="E68" s="29" t="s">
        <v>3797</v>
      </c>
      <c r="F68" s="30" t="s">
        <v>248</v>
      </c>
      <c r="G68" s="31">
        <v>7.9089999999999998</v>
      </c>
      <c r="H68" s="32">
        <v>0</v>
      </c>
      <c r="I68" s="32">
        <f>ROUND(0.748*H68,P4)+ROUND(7.161*H68,P4)</f>
        <v>0</v>
      </c>
      <c r="J68" s="30" t="s">
        <v>118</v>
      </c>
      <c r="O68" s="33">
        <f>I68*0.21</f>
        <v>0</v>
      </c>
      <c r="P68">
        <v>3</v>
      </c>
    </row>
    <row r="69" spans="1:16" ht="172.8" x14ac:dyDescent="0.3">
      <c r="A69" s="27" t="s">
        <v>101</v>
      </c>
      <c r="B69" s="34"/>
      <c r="E69" s="29" t="s">
        <v>3798</v>
      </c>
      <c r="J69" s="35"/>
    </row>
    <row r="70" spans="1:16" ht="28.8" x14ac:dyDescent="0.3">
      <c r="A70" s="27" t="s">
        <v>103</v>
      </c>
      <c r="B70" s="34"/>
      <c r="E70" s="36" t="s">
        <v>3799</v>
      </c>
      <c r="J70" s="35"/>
    </row>
    <row r="71" spans="1:16" ht="28.8" x14ac:dyDescent="0.3">
      <c r="A71" s="27" t="s">
        <v>103</v>
      </c>
      <c r="B71" s="34"/>
      <c r="E71" s="36" t="s">
        <v>3800</v>
      </c>
      <c r="J71" s="35"/>
    </row>
    <row r="72" spans="1:16" x14ac:dyDescent="0.3">
      <c r="A72" s="27" t="s">
        <v>103</v>
      </c>
      <c r="B72" s="34"/>
      <c r="E72" s="36" t="s">
        <v>3801</v>
      </c>
      <c r="J72" s="35"/>
    </row>
    <row r="73" spans="1:16" ht="28.8" x14ac:dyDescent="0.3">
      <c r="A73" s="27" t="s">
        <v>103</v>
      </c>
      <c r="B73" s="34"/>
      <c r="E73" s="36" t="s">
        <v>3802</v>
      </c>
      <c r="J73" s="35"/>
    </row>
    <row r="74" spans="1:16" ht="28.8" x14ac:dyDescent="0.3">
      <c r="A74" s="27" t="s">
        <v>103</v>
      </c>
      <c r="B74" s="34"/>
      <c r="E74" s="36" t="s">
        <v>3803</v>
      </c>
      <c r="J74" s="35"/>
    </row>
    <row r="75" spans="1:16" ht="28.8" x14ac:dyDescent="0.3">
      <c r="A75" s="27" t="s">
        <v>103</v>
      </c>
      <c r="B75" s="34"/>
      <c r="E75" s="36" t="s">
        <v>3804</v>
      </c>
      <c r="J75" s="35"/>
    </row>
    <row r="76" spans="1:16" ht="28.8" x14ac:dyDescent="0.3">
      <c r="A76" s="27" t="s">
        <v>103</v>
      </c>
      <c r="B76" s="34"/>
      <c r="E76" s="36" t="s">
        <v>3805</v>
      </c>
      <c r="J76" s="35"/>
    </row>
    <row r="77" spans="1:16" ht="28.8" x14ac:dyDescent="0.3">
      <c r="A77" s="27" t="s">
        <v>103</v>
      </c>
      <c r="B77" s="34"/>
      <c r="E77" s="36" t="s">
        <v>3806</v>
      </c>
      <c r="J77" s="35"/>
    </row>
    <row r="78" spans="1:16" ht="28.8" x14ac:dyDescent="0.3">
      <c r="A78" s="27" t="s">
        <v>103</v>
      </c>
      <c r="B78" s="34"/>
      <c r="E78" s="36" t="s">
        <v>3807</v>
      </c>
      <c r="J78" s="35"/>
    </row>
    <row r="79" spans="1:16" x14ac:dyDescent="0.3">
      <c r="A79" s="27" t="s">
        <v>103</v>
      </c>
      <c r="B79" s="34"/>
      <c r="E79" s="36" t="s">
        <v>3808</v>
      </c>
      <c r="J79" s="35"/>
    </row>
    <row r="80" spans="1:16" ht="187.2" x14ac:dyDescent="0.3">
      <c r="A80" s="27" t="s">
        <v>105</v>
      </c>
      <c r="B80" s="34"/>
      <c r="E80" s="29" t="s">
        <v>3316</v>
      </c>
      <c r="J80" s="35"/>
    </row>
    <row r="81" spans="1:16" x14ac:dyDescent="0.3">
      <c r="A81" s="21" t="s">
        <v>92</v>
      </c>
      <c r="B81" s="22"/>
      <c r="C81" s="23" t="s">
        <v>252</v>
      </c>
      <c r="D81" s="24"/>
      <c r="E81" s="21" t="s">
        <v>253</v>
      </c>
      <c r="F81" s="24"/>
      <c r="G81" s="24"/>
      <c r="H81" s="24"/>
      <c r="I81" s="25">
        <f>SUMIFS(I82:I114,A82:A114,"P")</f>
        <v>0</v>
      </c>
      <c r="J81" s="26"/>
    </row>
    <row r="82" spans="1:16" x14ac:dyDescent="0.3">
      <c r="A82" s="27" t="s">
        <v>95</v>
      </c>
      <c r="B82" s="27">
        <v>7</v>
      </c>
      <c r="C82" s="28" t="s">
        <v>3809</v>
      </c>
      <c r="D82" s="27" t="s">
        <v>129</v>
      </c>
      <c r="E82" s="29" t="s">
        <v>3810</v>
      </c>
      <c r="F82" s="30" t="s">
        <v>237</v>
      </c>
      <c r="G82" s="31">
        <v>155.53</v>
      </c>
      <c r="H82" s="32">
        <v>0</v>
      </c>
      <c r="I82" s="32">
        <f>ROUND(142.02*H82,P4)+ROUND(13.51*H82,P4)</f>
        <v>0</v>
      </c>
      <c r="J82" s="30" t="s">
        <v>118</v>
      </c>
      <c r="O82" s="33">
        <f>I82*0.21</f>
        <v>0</v>
      </c>
      <c r="P82">
        <v>3</v>
      </c>
    </row>
    <row r="83" spans="1:16" ht="288" x14ac:dyDescent="0.3">
      <c r="A83" s="27" t="s">
        <v>101</v>
      </c>
      <c r="B83" s="34"/>
      <c r="E83" s="29" t="s">
        <v>3811</v>
      </c>
      <c r="J83" s="35"/>
    </row>
    <row r="84" spans="1:16" x14ac:dyDescent="0.3">
      <c r="A84" s="27" t="s">
        <v>103</v>
      </c>
      <c r="B84" s="34"/>
      <c r="E84" s="36" t="s">
        <v>3812</v>
      </c>
      <c r="J84" s="35"/>
    </row>
    <row r="85" spans="1:16" x14ac:dyDescent="0.3">
      <c r="A85" s="27" t="s">
        <v>103</v>
      </c>
      <c r="B85" s="34"/>
      <c r="E85" s="36" t="s">
        <v>3813</v>
      </c>
      <c r="J85" s="35"/>
    </row>
    <row r="86" spans="1:16" x14ac:dyDescent="0.3">
      <c r="A86" s="27" t="s">
        <v>103</v>
      </c>
      <c r="B86" s="34"/>
      <c r="E86" s="36" t="s">
        <v>3814</v>
      </c>
      <c r="J86" s="35"/>
    </row>
    <row r="87" spans="1:16" ht="28.8" x14ac:dyDescent="0.3">
      <c r="A87" s="27" t="s">
        <v>103</v>
      </c>
      <c r="B87" s="34"/>
      <c r="E87" s="36" t="s">
        <v>3815</v>
      </c>
      <c r="J87" s="35"/>
    </row>
    <row r="88" spans="1:16" x14ac:dyDescent="0.3">
      <c r="A88" s="27" t="s">
        <v>103</v>
      </c>
      <c r="B88" s="34"/>
      <c r="E88" s="36" t="s">
        <v>3816</v>
      </c>
      <c r="J88" s="35"/>
    </row>
    <row r="89" spans="1:16" x14ac:dyDescent="0.3">
      <c r="A89" s="27" t="s">
        <v>103</v>
      </c>
      <c r="B89" s="34"/>
      <c r="E89" s="36" t="s">
        <v>3817</v>
      </c>
      <c r="J89" s="35"/>
    </row>
    <row r="90" spans="1:16" ht="28.8" x14ac:dyDescent="0.3">
      <c r="A90" s="27" t="s">
        <v>103</v>
      </c>
      <c r="B90" s="34"/>
      <c r="E90" s="36" t="s">
        <v>3818</v>
      </c>
      <c r="J90" s="35"/>
    </row>
    <row r="91" spans="1:16" ht="28.8" x14ac:dyDescent="0.3">
      <c r="A91" s="27" t="s">
        <v>103</v>
      </c>
      <c r="B91" s="34"/>
      <c r="E91" s="36" t="s">
        <v>3819</v>
      </c>
      <c r="J91" s="35"/>
    </row>
    <row r="92" spans="1:16" ht="28.8" x14ac:dyDescent="0.3">
      <c r="A92" s="27" t="s">
        <v>103</v>
      </c>
      <c r="B92" s="34"/>
      <c r="E92" s="36" t="s">
        <v>3820</v>
      </c>
      <c r="J92" s="35"/>
    </row>
    <row r="93" spans="1:16" x14ac:dyDescent="0.3">
      <c r="A93" s="27" t="s">
        <v>103</v>
      </c>
      <c r="B93" s="34"/>
      <c r="E93" s="36" t="s">
        <v>3821</v>
      </c>
      <c r="J93" s="35"/>
    </row>
    <row r="94" spans="1:16" ht="28.8" x14ac:dyDescent="0.3">
      <c r="A94" s="27" t="s">
        <v>103</v>
      </c>
      <c r="B94" s="34"/>
      <c r="E94" s="36" t="s">
        <v>3822</v>
      </c>
      <c r="J94" s="35"/>
    </row>
    <row r="95" spans="1:16" x14ac:dyDescent="0.3">
      <c r="A95" s="27" t="s">
        <v>103</v>
      </c>
      <c r="B95" s="34"/>
      <c r="E95" s="36" t="s">
        <v>3823</v>
      </c>
      <c r="J95" s="35"/>
    </row>
    <row r="96" spans="1:16" x14ac:dyDescent="0.3">
      <c r="A96" s="27" t="s">
        <v>103</v>
      </c>
      <c r="B96" s="34"/>
      <c r="E96" s="36" t="s">
        <v>3824</v>
      </c>
      <c r="J96" s="35"/>
    </row>
    <row r="97" spans="1:16" x14ac:dyDescent="0.3">
      <c r="A97" s="27" t="s">
        <v>103</v>
      </c>
      <c r="B97" s="34"/>
      <c r="E97" s="36" t="s">
        <v>3825</v>
      </c>
      <c r="J97" s="35"/>
    </row>
    <row r="98" spans="1:16" x14ac:dyDescent="0.3">
      <c r="A98" s="27" t="s">
        <v>103</v>
      </c>
      <c r="B98" s="34"/>
      <c r="E98" s="36" t="s">
        <v>3826</v>
      </c>
      <c r="J98" s="35"/>
    </row>
    <row r="99" spans="1:16" x14ac:dyDescent="0.3">
      <c r="A99" s="27" t="s">
        <v>103</v>
      </c>
      <c r="B99" s="34"/>
      <c r="E99" s="36" t="s">
        <v>3827</v>
      </c>
      <c r="J99" s="35"/>
    </row>
    <row r="100" spans="1:16" x14ac:dyDescent="0.3">
      <c r="A100" s="27" t="s">
        <v>103</v>
      </c>
      <c r="B100" s="34"/>
      <c r="E100" s="36" t="s">
        <v>3828</v>
      </c>
      <c r="J100" s="35"/>
    </row>
    <row r="101" spans="1:16" x14ac:dyDescent="0.3">
      <c r="A101" s="27" t="s">
        <v>103</v>
      </c>
      <c r="B101" s="34"/>
      <c r="E101" s="36" t="s">
        <v>3829</v>
      </c>
      <c r="J101" s="35"/>
    </row>
    <row r="102" spans="1:16" x14ac:dyDescent="0.3">
      <c r="A102" s="27" t="s">
        <v>103</v>
      </c>
      <c r="B102" s="34"/>
      <c r="E102" s="36" t="s">
        <v>3830</v>
      </c>
      <c r="J102" s="35"/>
    </row>
    <row r="103" spans="1:16" x14ac:dyDescent="0.3">
      <c r="A103" s="27" t="s">
        <v>103</v>
      </c>
      <c r="B103" s="34"/>
      <c r="E103" s="36" t="s">
        <v>3831</v>
      </c>
      <c r="J103" s="35"/>
    </row>
    <row r="104" spans="1:16" ht="57.6" x14ac:dyDescent="0.3">
      <c r="A104" s="27" t="s">
        <v>105</v>
      </c>
      <c r="B104" s="34"/>
      <c r="E104" s="29" t="s">
        <v>2894</v>
      </c>
      <c r="J104" s="35"/>
    </row>
    <row r="105" spans="1:16" ht="28.8" x14ac:dyDescent="0.3">
      <c r="A105" s="27" t="s">
        <v>95</v>
      </c>
      <c r="B105" s="27">
        <v>8</v>
      </c>
      <c r="C105" s="28" t="s">
        <v>2870</v>
      </c>
      <c r="D105" s="27" t="s">
        <v>97</v>
      </c>
      <c r="E105" s="29" t="s">
        <v>2871</v>
      </c>
      <c r="F105" s="30" t="s">
        <v>237</v>
      </c>
      <c r="G105" s="31">
        <v>1.86</v>
      </c>
      <c r="H105" s="32">
        <v>0</v>
      </c>
      <c r="I105" s="32">
        <f>ROUND(1.86*H105,P4)</f>
        <v>0</v>
      </c>
      <c r="J105" s="30" t="s">
        <v>118</v>
      </c>
      <c r="O105" s="33">
        <f>I105*0.21</f>
        <v>0</v>
      </c>
      <c r="P105">
        <v>3</v>
      </c>
    </row>
    <row r="106" spans="1:16" ht="288" x14ac:dyDescent="0.3">
      <c r="A106" s="27" t="s">
        <v>101</v>
      </c>
      <c r="B106" s="34"/>
      <c r="E106" s="29" t="s">
        <v>2872</v>
      </c>
      <c r="J106" s="35"/>
    </row>
    <row r="107" spans="1:16" ht="28.8" x14ac:dyDescent="0.3">
      <c r="A107" s="27" t="s">
        <v>103</v>
      </c>
      <c r="B107" s="34"/>
      <c r="E107" s="36" t="s">
        <v>3832</v>
      </c>
      <c r="J107" s="35"/>
    </row>
    <row r="108" spans="1:16" x14ac:dyDescent="0.3">
      <c r="A108" s="27" t="s">
        <v>103</v>
      </c>
      <c r="B108" s="34"/>
      <c r="E108" s="36" t="s">
        <v>3833</v>
      </c>
      <c r="J108" s="35"/>
    </row>
    <row r="109" spans="1:16" ht="57.6" x14ac:dyDescent="0.3">
      <c r="A109" s="27" t="s">
        <v>105</v>
      </c>
      <c r="B109" s="34"/>
      <c r="E109" s="29" t="s">
        <v>2894</v>
      </c>
      <c r="J109" s="35"/>
    </row>
    <row r="110" spans="1:16" ht="28.8" x14ac:dyDescent="0.3">
      <c r="A110" s="27" t="s">
        <v>95</v>
      </c>
      <c r="B110" s="27">
        <v>9</v>
      </c>
      <c r="C110" s="28" t="s">
        <v>2870</v>
      </c>
      <c r="D110" s="27" t="s">
        <v>107</v>
      </c>
      <c r="E110" s="29" t="s">
        <v>2871</v>
      </c>
      <c r="F110" s="30" t="s">
        <v>237</v>
      </c>
      <c r="G110" s="31">
        <v>1.39</v>
      </c>
      <c r="H110" s="32">
        <v>0</v>
      </c>
      <c r="I110" s="32">
        <f>ROUND(1.39*H110,P4)</f>
        <v>0</v>
      </c>
      <c r="J110" s="30" t="s">
        <v>118</v>
      </c>
      <c r="O110" s="33">
        <f>I110*0.21</f>
        <v>0</v>
      </c>
      <c r="P110">
        <v>3</v>
      </c>
    </row>
    <row r="111" spans="1:16" ht="288" x14ac:dyDescent="0.3">
      <c r="A111" s="27" t="s">
        <v>101</v>
      </c>
      <c r="B111" s="34"/>
      <c r="E111" s="29" t="s">
        <v>2895</v>
      </c>
      <c r="J111" s="35"/>
    </row>
    <row r="112" spans="1:16" x14ac:dyDescent="0.3">
      <c r="A112" s="27" t="s">
        <v>103</v>
      </c>
      <c r="B112" s="34"/>
      <c r="E112" s="36" t="s">
        <v>3834</v>
      </c>
      <c r="J112" s="35"/>
    </row>
    <row r="113" spans="1:10" x14ac:dyDescent="0.3">
      <c r="A113" s="27" t="s">
        <v>103</v>
      </c>
      <c r="B113" s="34"/>
      <c r="E113" s="36" t="s">
        <v>3835</v>
      </c>
      <c r="J113" s="35"/>
    </row>
    <row r="114" spans="1:10" ht="57.6" x14ac:dyDescent="0.3">
      <c r="A114" s="27" t="s">
        <v>105</v>
      </c>
      <c r="B114" s="37"/>
      <c r="C114" s="38"/>
      <c r="D114" s="38"/>
      <c r="E114" s="29" t="s">
        <v>2894</v>
      </c>
      <c r="F114" s="38"/>
      <c r="G114" s="38"/>
      <c r="H114" s="38"/>
      <c r="I114" s="38"/>
      <c r="J114"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3"/>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50</v>
      </c>
      <c r="I3" s="16">
        <f>SUMIFS(I8:I113,A8:A113,"SD")</f>
        <v>0</v>
      </c>
      <c r="J3" s="12"/>
      <c r="O3">
        <v>0</v>
      </c>
      <c r="P3">
        <v>2</v>
      </c>
    </row>
    <row r="4" spans="1:16" x14ac:dyDescent="0.3">
      <c r="A4" s="2" t="s">
        <v>79</v>
      </c>
      <c r="B4" s="13" t="s">
        <v>80</v>
      </c>
      <c r="C4" s="43" t="s">
        <v>50</v>
      </c>
      <c r="D4" s="44"/>
      <c r="E4" s="14" t="s">
        <v>51</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252</v>
      </c>
      <c r="D8" s="24"/>
      <c r="E8" s="21" t="s">
        <v>253</v>
      </c>
      <c r="F8" s="24"/>
      <c r="G8" s="24"/>
      <c r="H8" s="24"/>
      <c r="I8" s="25">
        <f>SUMIFS(I9:I113,A9:A113,"P")</f>
        <v>0</v>
      </c>
      <c r="J8" s="26"/>
    </row>
    <row r="9" spans="1:16" ht="28.8" x14ac:dyDescent="0.3">
      <c r="A9" s="27" t="s">
        <v>95</v>
      </c>
      <c r="B9" s="27">
        <v>1</v>
      </c>
      <c r="C9" s="28" t="s">
        <v>3836</v>
      </c>
      <c r="D9" s="27" t="s">
        <v>129</v>
      </c>
      <c r="E9" s="29" t="s">
        <v>3837</v>
      </c>
      <c r="F9" s="30" t="s">
        <v>117</v>
      </c>
      <c r="G9" s="31">
        <v>216</v>
      </c>
      <c r="H9" s="32">
        <v>0</v>
      </c>
      <c r="I9" s="32">
        <f>ROUND(216*H9,P4)</f>
        <v>0</v>
      </c>
      <c r="J9" s="30" t="s">
        <v>118</v>
      </c>
      <c r="O9" s="33">
        <f>I9*0.21</f>
        <v>0</v>
      </c>
      <c r="P9">
        <v>3</v>
      </c>
    </row>
    <row r="10" spans="1:16" ht="316.8" x14ac:dyDescent="0.3">
      <c r="A10" s="27" t="s">
        <v>101</v>
      </c>
      <c r="B10" s="34"/>
      <c r="E10" s="29" t="s">
        <v>3838</v>
      </c>
      <c r="J10" s="35"/>
    </row>
    <row r="11" spans="1:16" x14ac:dyDescent="0.3">
      <c r="A11" s="27" t="s">
        <v>103</v>
      </c>
      <c r="B11" s="34"/>
      <c r="E11" s="36" t="s">
        <v>3839</v>
      </c>
      <c r="J11" s="35"/>
    </row>
    <row r="12" spans="1:16" x14ac:dyDescent="0.3">
      <c r="A12" s="27" t="s">
        <v>103</v>
      </c>
      <c r="B12" s="34"/>
      <c r="E12" s="36" t="s">
        <v>3840</v>
      </c>
      <c r="J12" s="35"/>
    </row>
    <row r="13" spans="1:16" x14ac:dyDescent="0.3">
      <c r="A13" s="27" t="s">
        <v>103</v>
      </c>
      <c r="B13" s="34"/>
      <c r="E13" s="36" t="s">
        <v>3841</v>
      </c>
      <c r="J13" s="35"/>
    </row>
    <row r="14" spans="1:16" x14ac:dyDescent="0.3">
      <c r="A14" s="27" t="s">
        <v>103</v>
      </c>
      <c r="B14" s="34"/>
      <c r="E14" s="36" t="s">
        <v>3842</v>
      </c>
      <c r="J14" s="35"/>
    </row>
    <row r="15" spans="1:16" x14ac:dyDescent="0.3">
      <c r="A15" s="27" t="s">
        <v>103</v>
      </c>
      <c r="B15" s="34"/>
      <c r="E15" s="36" t="s">
        <v>3843</v>
      </c>
      <c r="J15" s="35"/>
    </row>
    <row r="16" spans="1:16" x14ac:dyDescent="0.3">
      <c r="A16" s="27" t="s">
        <v>103</v>
      </c>
      <c r="B16" s="34"/>
      <c r="E16" s="36" t="s">
        <v>3844</v>
      </c>
      <c r="J16" s="35"/>
    </row>
    <row r="17" spans="1:16" x14ac:dyDescent="0.3">
      <c r="A17" s="27" t="s">
        <v>103</v>
      </c>
      <c r="B17" s="34"/>
      <c r="E17" s="36" t="s">
        <v>3845</v>
      </c>
      <c r="J17" s="35"/>
    </row>
    <row r="18" spans="1:16" x14ac:dyDescent="0.3">
      <c r="A18" s="27" t="s">
        <v>103</v>
      </c>
      <c r="B18" s="34"/>
      <c r="E18" s="36" t="s">
        <v>3846</v>
      </c>
      <c r="J18" s="35"/>
    </row>
    <row r="19" spans="1:16" x14ac:dyDescent="0.3">
      <c r="A19" s="27" t="s">
        <v>103</v>
      </c>
      <c r="B19" s="34"/>
      <c r="E19" s="36" t="s">
        <v>3847</v>
      </c>
      <c r="J19" s="35"/>
    </row>
    <row r="20" spans="1:16" x14ac:dyDescent="0.3">
      <c r="A20" s="27" t="s">
        <v>103</v>
      </c>
      <c r="B20" s="34"/>
      <c r="E20" s="36" t="s">
        <v>3848</v>
      </c>
      <c r="J20" s="35"/>
    </row>
    <row r="21" spans="1:16" x14ac:dyDescent="0.3">
      <c r="A21" s="27" t="s">
        <v>103</v>
      </c>
      <c r="B21" s="34"/>
      <c r="E21" s="36" t="s">
        <v>3849</v>
      </c>
      <c r="J21" s="35"/>
    </row>
    <row r="22" spans="1:16" x14ac:dyDescent="0.3">
      <c r="A22" s="27" t="s">
        <v>103</v>
      </c>
      <c r="B22" s="34"/>
      <c r="E22" s="36" t="s">
        <v>3850</v>
      </c>
      <c r="J22" s="35"/>
    </row>
    <row r="23" spans="1:16" x14ac:dyDescent="0.3">
      <c r="A23" s="27" t="s">
        <v>103</v>
      </c>
      <c r="B23" s="34"/>
      <c r="E23" s="36" t="s">
        <v>3851</v>
      </c>
      <c r="J23" s="35"/>
    </row>
    <row r="24" spans="1:16" x14ac:dyDescent="0.3">
      <c r="A24" s="27" t="s">
        <v>103</v>
      </c>
      <c r="B24" s="34"/>
      <c r="E24" s="36" t="s">
        <v>3852</v>
      </c>
      <c r="J24" s="35"/>
    </row>
    <row r="25" spans="1:16" x14ac:dyDescent="0.3">
      <c r="A25" s="27" t="s">
        <v>103</v>
      </c>
      <c r="B25" s="34"/>
      <c r="E25" s="36" t="s">
        <v>3853</v>
      </c>
      <c r="J25" s="35"/>
    </row>
    <row r="26" spans="1:16" x14ac:dyDescent="0.3">
      <c r="A26" s="27" t="s">
        <v>103</v>
      </c>
      <c r="B26" s="34"/>
      <c r="E26" s="36" t="s">
        <v>3854</v>
      </c>
      <c r="J26" s="35"/>
    </row>
    <row r="27" spans="1:16" ht="72" x14ac:dyDescent="0.3">
      <c r="A27" s="27" t="s">
        <v>105</v>
      </c>
      <c r="B27" s="34"/>
      <c r="E27" s="29" t="s">
        <v>3855</v>
      </c>
      <c r="J27" s="35"/>
    </row>
    <row r="28" spans="1:16" ht="28.8" x14ac:dyDescent="0.3">
      <c r="A28" s="27" t="s">
        <v>95</v>
      </c>
      <c r="B28" s="27">
        <v>2</v>
      </c>
      <c r="C28" s="28" t="s">
        <v>3856</v>
      </c>
      <c r="D28" s="27" t="s">
        <v>129</v>
      </c>
      <c r="E28" s="29" t="s">
        <v>3857</v>
      </c>
      <c r="F28" s="30" t="s">
        <v>117</v>
      </c>
      <c r="G28" s="31">
        <v>216</v>
      </c>
      <c r="H28" s="32">
        <v>0</v>
      </c>
      <c r="I28" s="32">
        <f>ROUND(216*H28,P4)</f>
        <v>0</v>
      </c>
      <c r="J28" s="30" t="s">
        <v>118</v>
      </c>
      <c r="O28" s="33">
        <f>I28*0.21</f>
        <v>0</v>
      </c>
      <c r="P28">
        <v>3</v>
      </c>
    </row>
    <row r="29" spans="1:16" ht="316.8" x14ac:dyDescent="0.3">
      <c r="A29" s="27" t="s">
        <v>101</v>
      </c>
      <c r="B29" s="34"/>
      <c r="E29" s="29" t="s">
        <v>3858</v>
      </c>
      <c r="J29" s="35"/>
    </row>
    <row r="30" spans="1:16" x14ac:dyDescent="0.3">
      <c r="A30" s="27" t="s">
        <v>103</v>
      </c>
      <c r="B30" s="34"/>
      <c r="E30" s="36" t="s">
        <v>3839</v>
      </c>
      <c r="J30" s="35"/>
    </row>
    <row r="31" spans="1:16" x14ac:dyDescent="0.3">
      <c r="A31" s="27" t="s">
        <v>103</v>
      </c>
      <c r="B31" s="34"/>
      <c r="E31" s="36" t="s">
        <v>3840</v>
      </c>
      <c r="J31" s="35"/>
    </row>
    <row r="32" spans="1:16" x14ac:dyDescent="0.3">
      <c r="A32" s="27" t="s">
        <v>103</v>
      </c>
      <c r="B32" s="34"/>
      <c r="E32" s="36" t="s">
        <v>3841</v>
      </c>
      <c r="J32" s="35"/>
    </row>
    <row r="33" spans="1:16" x14ac:dyDescent="0.3">
      <c r="A33" s="27" t="s">
        <v>103</v>
      </c>
      <c r="B33" s="34"/>
      <c r="E33" s="36" t="s">
        <v>3842</v>
      </c>
      <c r="J33" s="35"/>
    </row>
    <row r="34" spans="1:16" x14ac:dyDescent="0.3">
      <c r="A34" s="27" t="s">
        <v>103</v>
      </c>
      <c r="B34" s="34"/>
      <c r="E34" s="36" t="s">
        <v>3843</v>
      </c>
      <c r="J34" s="35"/>
    </row>
    <row r="35" spans="1:16" x14ac:dyDescent="0.3">
      <c r="A35" s="27" t="s">
        <v>103</v>
      </c>
      <c r="B35" s="34"/>
      <c r="E35" s="36" t="s">
        <v>3844</v>
      </c>
      <c r="J35" s="35"/>
    </row>
    <row r="36" spans="1:16" x14ac:dyDescent="0.3">
      <c r="A36" s="27" t="s">
        <v>103</v>
      </c>
      <c r="B36" s="34"/>
      <c r="E36" s="36" t="s">
        <v>3845</v>
      </c>
      <c r="J36" s="35"/>
    </row>
    <row r="37" spans="1:16" x14ac:dyDescent="0.3">
      <c r="A37" s="27" t="s">
        <v>103</v>
      </c>
      <c r="B37" s="34"/>
      <c r="E37" s="36" t="s">
        <v>3846</v>
      </c>
      <c r="J37" s="35"/>
    </row>
    <row r="38" spans="1:16" x14ac:dyDescent="0.3">
      <c r="A38" s="27" t="s">
        <v>103</v>
      </c>
      <c r="B38" s="34"/>
      <c r="E38" s="36" t="s">
        <v>3847</v>
      </c>
      <c r="J38" s="35"/>
    </row>
    <row r="39" spans="1:16" x14ac:dyDescent="0.3">
      <c r="A39" s="27" t="s">
        <v>103</v>
      </c>
      <c r="B39" s="34"/>
      <c r="E39" s="36" t="s">
        <v>3848</v>
      </c>
      <c r="J39" s="35"/>
    </row>
    <row r="40" spans="1:16" x14ac:dyDescent="0.3">
      <c r="A40" s="27" t="s">
        <v>103</v>
      </c>
      <c r="B40" s="34"/>
      <c r="E40" s="36" t="s">
        <v>3849</v>
      </c>
      <c r="J40" s="35"/>
    </row>
    <row r="41" spans="1:16" x14ac:dyDescent="0.3">
      <c r="A41" s="27" t="s">
        <v>103</v>
      </c>
      <c r="B41" s="34"/>
      <c r="E41" s="36" t="s">
        <v>3850</v>
      </c>
      <c r="J41" s="35"/>
    </row>
    <row r="42" spans="1:16" x14ac:dyDescent="0.3">
      <c r="A42" s="27" t="s">
        <v>103</v>
      </c>
      <c r="B42" s="34"/>
      <c r="E42" s="36" t="s">
        <v>3851</v>
      </c>
      <c r="J42" s="35"/>
    </row>
    <row r="43" spans="1:16" x14ac:dyDescent="0.3">
      <c r="A43" s="27" t="s">
        <v>103</v>
      </c>
      <c r="B43" s="34"/>
      <c r="E43" s="36" t="s">
        <v>3852</v>
      </c>
      <c r="J43" s="35"/>
    </row>
    <row r="44" spans="1:16" x14ac:dyDescent="0.3">
      <c r="A44" s="27" t="s">
        <v>103</v>
      </c>
      <c r="B44" s="34"/>
      <c r="E44" s="36" t="s">
        <v>3853</v>
      </c>
      <c r="J44" s="35"/>
    </row>
    <row r="45" spans="1:16" x14ac:dyDescent="0.3">
      <c r="A45" s="27" t="s">
        <v>103</v>
      </c>
      <c r="B45" s="34"/>
      <c r="E45" s="36" t="s">
        <v>3854</v>
      </c>
      <c r="J45" s="35"/>
    </row>
    <row r="46" spans="1:16" ht="28.8" x14ac:dyDescent="0.3">
      <c r="A46" s="27" t="s">
        <v>105</v>
      </c>
      <c r="B46" s="34"/>
      <c r="E46" s="29" t="s">
        <v>3859</v>
      </c>
      <c r="J46" s="35"/>
    </row>
    <row r="47" spans="1:16" x14ac:dyDescent="0.3">
      <c r="A47" s="27" t="s">
        <v>95</v>
      </c>
      <c r="B47" s="27">
        <v>3</v>
      </c>
      <c r="C47" s="28" t="s">
        <v>3860</v>
      </c>
      <c r="D47" s="27" t="s">
        <v>129</v>
      </c>
      <c r="E47" s="29" t="s">
        <v>3861</v>
      </c>
      <c r="F47" s="30" t="s">
        <v>3862</v>
      </c>
      <c r="G47" s="31">
        <v>78840</v>
      </c>
      <c r="H47" s="32">
        <v>0</v>
      </c>
      <c r="I47" s="32">
        <f>ROUND(78840*H47,P4)</f>
        <v>0</v>
      </c>
      <c r="J47" s="30" t="s">
        <v>118</v>
      </c>
      <c r="O47" s="33">
        <f>I47*0.21</f>
        <v>0</v>
      </c>
      <c r="P47">
        <v>3</v>
      </c>
    </row>
    <row r="48" spans="1:16" ht="316.8" x14ac:dyDescent="0.3">
      <c r="A48" s="27" t="s">
        <v>101</v>
      </c>
      <c r="B48" s="34"/>
      <c r="E48" s="29" t="s">
        <v>3858</v>
      </c>
      <c r="J48" s="35"/>
    </row>
    <row r="49" spans="1:16" x14ac:dyDescent="0.3">
      <c r="A49" s="27" t="s">
        <v>103</v>
      </c>
      <c r="B49" s="34"/>
      <c r="E49" s="36" t="s">
        <v>3863</v>
      </c>
      <c r="J49" s="35"/>
    </row>
    <row r="50" spans="1:16" ht="28.8" x14ac:dyDescent="0.3">
      <c r="A50" s="27" t="s">
        <v>105</v>
      </c>
      <c r="B50" s="34"/>
      <c r="E50" s="29" t="s">
        <v>3864</v>
      </c>
      <c r="J50" s="35"/>
    </row>
    <row r="51" spans="1:16" x14ac:dyDescent="0.3">
      <c r="A51" s="27" t="s">
        <v>95</v>
      </c>
      <c r="B51" s="27">
        <v>4</v>
      </c>
      <c r="C51" s="28" t="s">
        <v>3865</v>
      </c>
      <c r="D51" s="27" t="s">
        <v>129</v>
      </c>
      <c r="E51" s="29" t="s">
        <v>3866</v>
      </c>
      <c r="F51" s="30" t="s">
        <v>117</v>
      </c>
      <c r="G51" s="31">
        <v>151</v>
      </c>
      <c r="H51" s="32">
        <v>0</v>
      </c>
      <c r="I51" s="32">
        <f>ROUND(151*H51,P4)</f>
        <v>0</v>
      </c>
      <c r="J51" s="30" t="s">
        <v>118</v>
      </c>
      <c r="O51" s="33">
        <f>I51*0.21</f>
        <v>0</v>
      </c>
      <c r="P51">
        <v>3</v>
      </c>
    </row>
    <row r="52" spans="1:16" ht="316.8" x14ac:dyDescent="0.3">
      <c r="A52" s="27" t="s">
        <v>101</v>
      </c>
      <c r="B52" s="34"/>
      <c r="E52" s="29" t="s">
        <v>3867</v>
      </c>
      <c r="J52" s="35"/>
    </row>
    <row r="53" spans="1:16" x14ac:dyDescent="0.3">
      <c r="A53" s="27" t="s">
        <v>103</v>
      </c>
      <c r="B53" s="34"/>
      <c r="E53" s="36" t="s">
        <v>3868</v>
      </c>
      <c r="J53" s="35"/>
    </row>
    <row r="54" spans="1:16" x14ac:dyDescent="0.3">
      <c r="A54" s="27" t="s">
        <v>103</v>
      </c>
      <c r="B54" s="34"/>
      <c r="E54" s="36" t="s">
        <v>3869</v>
      </c>
      <c r="J54" s="35"/>
    </row>
    <row r="55" spans="1:16" ht="72" x14ac:dyDescent="0.3">
      <c r="A55" s="27" t="s">
        <v>105</v>
      </c>
      <c r="B55" s="34"/>
      <c r="E55" s="29" t="s">
        <v>3870</v>
      </c>
      <c r="J55" s="35"/>
    </row>
    <row r="56" spans="1:16" x14ac:dyDescent="0.3">
      <c r="A56" s="27" t="s">
        <v>95</v>
      </c>
      <c r="B56" s="27">
        <v>5</v>
      </c>
      <c r="C56" s="28" t="s">
        <v>3871</v>
      </c>
      <c r="D56" s="27" t="s">
        <v>129</v>
      </c>
      <c r="E56" s="29" t="s">
        <v>3872</v>
      </c>
      <c r="F56" s="30" t="s">
        <v>117</v>
      </c>
      <c r="G56" s="31">
        <v>151</v>
      </c>
      <c r="H56" s="32">
        <v>0</v>
      </c>
      <c r="I56" s="32">
        <f>ROUND(151*H56,P4)</f>
        <v>0</v>
      </c>
      <c r="J56" s="30" t="s">
        <v>118</v>
      </c>
      <c r="O56" s="33">
        <f>I56*0.21</f>
        <v>0</v>
      </c>
      <c r="P56">
        <v>3</v>
      </c>
    </row>
    <row r="57" spans="1:16" ht="302.39999999999998" x14ac:dyDescent="0.3">
      <c r="A57" s="27" t="s">
        <v>101</v>
      </c>
      <c r="B57" s="34"/>
      <c r="E57" s="29" t="s">
        <v>3873</v>
      </c>
      <c r="J57" s="35"/>
    </row>
    <row r="58" spans="1:16" x14ac:dyDescent="0.3">
      <c r="A58" s="27" t="s">
        <v>103</v>
      </c>
      <c r="B58" s="34"/>
      <c r="E58" s="36" t="s">
        <v>3868</v>
      </c>
      <c r="J58" s="35"/>
    </row>
    <row r="59" spans="1:16" x14ac:dyDescent="0.3">
      <c r="A59" s="27" t="s">
        <v>103</v>
      </c>
      <c r="B59" s="34"/>
      <c r="E59" s="36" t="s">
        <v>3869</v>
      </c>
      <c r="J59" s="35"/>
    </row>
    <row r="60" spans="1:16" ht="28.8" x14ac:dyDescent="0.3">
      <c r="A60" s="27" t="s">
        <v>105</v>
      </c>
      <c r="B60" s="34"/>
      <c r="E60" s="29" t="s">
        <v>3859</v>
      </c>
      <c r="J60" s="35"/>
    </row>
    <row r="61" spans="1:16" x14ac:dyDescent="0.3">
      <c r="A61" s="27" t="s">
        <v>95</v>
      </c>
      <c r="B61" s="27">
        <v>6</v>
      </c>
      <c r="C61" s="28" t="s">
        <v>3874</v>
      </c>
      <c r="D61" s="27" t="s">
        <v>129</v>
      </c>
      <c r="E61" s="29" t="s">
        <v>3875</v>
      </c>
      <c r="F61" s="30" t="s">
        <v>3862</v>
      </c>
      <c r="G61" s="31">
        <v>55115</v>
      </c>
      <c r="H61" s="32">
        <v>0</v>
      </c>
      <c r="I61" s="32">
        <f>ROUND(55115*H61,P4)</f>
        <v>0</v>
      </c>
      <c r="J61" s="30" t="s">
        <v>118</v>
      </c>
      <c r="O61" s="33">
        <f>I61*0.21</f>
        <v>0</v>
      </c>
      <c r="P61">
        <v>3</v>
      </c>
    </row>
    <row r="62" spans="1:16" ht="302.39999999999998" x14ac:dyDescent="0.3">
      <c r="A62" s="27" t="s">
        <v>101</v>
      </c>
      <c r="B62" s="34"/>
      <c r="E62" s="29" t="s">
        <v>3873</v>
      </c>
      <c r="J62" s="35"/>
    </row>
    <row r="63" spans="1:16" x14ac:dyDescent="0.3">
      <c r="A63" s="27" t="s">
        <v>103</v>
      </c>
      <c r="B63" s="34"/>
      <c r="E63" s="36" t="s">
        <v>3876</v>
      </c>
      <c r="J63" s="35"/>
    </row>
    <row r="64" spans="1:16" x14ac:dyDescent="0.3">
      <c r="A64" s="27" t="s">
        <v>103</v>
      </c>
      <c r="B64" s="34"/>
      <c r="E64" s="36" t="s">
        <v>3877</v>
      </c>
      <c r="J64" s="35"/>
    </row>
    <row r="65" spans="1:16" ht="28.8" x14ac:dyDescent="0.3">
      <c r="A65" s="27" t="s">
        <v>105</v>
      </c>
      <c r="B65" s="34"/>
      <c r="E65" s="29" t="s">
        <v>3878</v>
      </c>
      <c r="J65" s="35"/>
    </row>
    <row r="66" spans="1:16" x14ac:dyDescent="0.3">
      <c r="A66" s="27" t="s">
        <v>95</v>
      </c>
      <c r="B66" s="27">
        <v>7</v>
      </c>
      <c r="C66" s="28" t="s">
        <v>3879</v>
      </c>
      <c r="D66" s="27" t="s">
        <v>129</v>
      </c>
      <c r="E66" s="29" t="s">
        <v>3880</v>
      </c>
      <c r="F66" s="30" t="s">
        <v>117</v>
      </c>
      <c r="G66" s="31">
        <v>2</v>
      </c>
      <c r="H66" s="32">
        <v>0</v>
      </c>
      <c r="I66" s="32">
        <f>ROUND(2*H66,P4)</f>
        <v>0</v>
      </c>
      <c r="J66" s="30" t="s">
        <v>118</v>
      </c>
      <c r="O66" s="33">
        <f>I66*0.21</f>
        <v>0</v>
      </c>
      <c r="P66">
        <v>3</v>
      </c>
    </row>
    <row r="67" spans="1:16" ht="288" x14ac:dyDescent="0.3">
      <c r="A67" s="27" t="s">
        <v>101</v>
      </c>
      <c r="B67" s="34"/>
      <c r="E67" s="29" t="s">
        <v>3881</v>
      </c>
      <c r="J67" s="35"/>
    </row>
    <row r="68" spans="1:16" x14ac:dyDescent="0.3">
      <c r="A68" s="27" t="s">
        <v>103</v>
      </c>
      <c r="B68" s="34"/>
      <c r="E68" s="36" t="s">
        <v>3882</v>
      </c>
      <c r="J68" s="35"/>
    </row>
    <row r="69" spans="1:16" x14ac:dyDescent="0.3">
      <c r="A69" s="27" t="s">
        <v>103</v>
      </c>
      <c r="B69" s="34"/>
      <c r="E69" s="36" t="s">
        <v>3883</v>
      </c>
      <c r="J69" s="35"/>
    </row>
    <row r="70" spans="1:16" ht="86.4" x14ac:dyDescent="0.3">
      <c r="A70" s="27" t="s">
        <v>105</v>
      </c>
      <c r="B70" s="34"/>
      <c r="E70" s="29" t="s">
        <v>3884</v>
      </c>
      <c r="J70" s="35"/>
    </row>
    <row r="71" spans="1:16" x14ac:dyDescent="0.3">
      <c r="A71" s="27" t="s">
        <v>95</v>
      </c>
      <c r="B71" s="27">
        <v>8</v>
      </c>
      <c r="C71" s="28" t="s">
        <v>3885</v>
      </c>
      <c r="D71" s="27" t="s">
        <v>129</v>
      </c>
      <c r="E71" s="29" t="s">
        <v>3886</v>
      </c>
      <c r="F71" s="30" t="s">
        <v>117</v>
      </c>
      <c r="G71" s="31">
        <v>2</v>
      </c>
      <c r="H71" s="32">
        <v>0</v>
      </c>
      <c r="I71" s="32">
        <f>ROUND(2*H71,P4)</f>
        <v>0</v>
      </c>
      <c r="J71" s="30" t="s">
        <v>118</v>
      </c>
      <c r="O71" s="33">
        <f>I71*0.21</f>
        <v>0</v>
      </c>
      <c r="P71">
        <v>3</v>
      </c>
    </row>
    <row r="72" spans="1:16" ht="288" x14ac:dyDescent="0.3">
      <c r="A72" s="27" t="s">
        <v>101</v>
      </c>
      <c r="B72" s="34"/>
      <c r="E72" s="29" t="s">
        <v>3881</v>
      </c>
      <c r="J72" s="35"/>
    </row>
    <row r="73" spans="1:16" x14ac:dyDescent="0.3">
      <c r="A73" s="27" t="s">
        <v>103</v>
      </c>
      <c r="B73" s="34"/>
      <c r="E73" s="36" t="s">
        <v>3882</v>
      </c>
      <c r="J73" s="35"/>
    </row>
    <row r="74" spans="1:16" x14ac:dyDescent="0.3">
      <c r="A74" s="27" t="s">
        <v>103</v>
      </c>
      <c r="B74" s="34"/>
      <c r="E74" s="36" t="s">
        <v>3883</v>
      </c>
      <c r="J74" s="35"/>
    </row>
    <row r="75" spans="1:16" ht="28.8" x14ac:dyDescent="0.3">
      <c r="A75" s="27" t="s">
        <v>105</v>
      </c>
      <c r="B75" s="34"/>
      <c r="E75" s="29" t="s">
        <v>3887</v>
      </c>
      <c r="J75" s="35"/>
    </row>
    <row r="76" spans="1:16" x14ac:dyDescent="0.3">
      <c r="A76" s="27" t="s">
        <v>95</v>
      </c>
      <c r="B76" s="27">
        <v>9</v>
      </c>
      <c r="C76" s="28" t="s">
        <v>3888</v>
      </c>
      <c r="D76" s="27" t="s">
        <v>129</v>
      </c>
      <c r="E76" s="29" t="s">
        <v>3889</v>
      </c>
      <c r="F76" s="30" t="s">
        <v>3862</v>
      </c>
      <c r="G76" s="31">
        <v>124</v>
      </c>
      <c r="H76" s="32">
        <v>0</v>
      </c>
      <c r="I76" s="32">
        <f>ROUND(124*H76,P4)</f>
        <v>0</v>
      </c>
      <c r="J76" s="30" t="s">
        <v>118</v>
      </c>
      <c r="O76" s="33">
        <f>I76*0.21</f>
        <v>0</v>
      </c>
      <c r="P76">
        <v>3</v>
      </c>
    </row>
    <row r="77" spans="1:16" ht="288" x14ac:dyDescent="0.3">
      <c r="A77" s="27" t="s">
        <v>101</v>
      </c>
      <c r="B77" s="34"/>
      <c r="E77" s="29" t="s">
        <v>3881</v>
      </c>
      <c r="J77" s="35"/>
    </row>
    <row r="78" spans="1:16" x14ac:dyDescent="0.3">
      <c r="A78" s="27" t="s">
        <v>103</v>
      </c>
      <c r="B78" s="34"/>
      <c r="E78" s="36" t="s">
        <v>3890</v>
      </c>
      <c r="J78" s="35"/>
    </row>
    <row r="79" spans="1:16" x14ac:dyDescent="0.3">
      <c r="A79" s="27" t="s">
        <v>103</v>
      </c>
      <c r="B79" s="34"/>
      <c r="E79" s="36" t="s">
        <v>3891</v>
      </c>
      <c r="J79" s="35"/>
    </row>
    <row r="80" spans="1:16" ht="28.8" x14ac:dyDescent="0.3">
      <c r="A80" s="27" t="s">
        <v>105</v>
      </c>
      <c r="B80" s="34"/>
      <c r="E80" s="29" t="s">
        <v>3892</v>
      </c>
      <c r="J80" s="35"/>
    </row>
    <row r="81" spans="1:16" x14ac:dyDescent="0.3">
      <c r="A81" s="27" t="s">
        <v>95</v>
      </c>
      <c r="B81" s="27">
        <v>10</v>
      </c>
      <c r="C81" s="28" t="s">
        <v>3893</v>
      </c>
      <c r="D81" s="27" t="s">
        <v>129</v>
      </c>
      <c r="E81" s="29" t="s">
        <v>3894</v>
      </c>
      <c r="F81" s="30" t="s">
        <v>117</v>
      </c>
      <c r="G81" s="31">
        <v>2</v>
      </c>
      <c r="H81" s="32">
        <v>0</v>
      </c>
      <c r="I81" s="32">
        <f>ROUND(2*H81,P4)</f>
        <v>0</v>
      </c>
      <c r="J81" s="30" t="s">
        <v>118</v>
      </c>
      <c r="O81" s="33">
        <f>I81*0.21</f>
        <v>0</v>
      </c>
      <c r="P81">
        <v>3</v>
      </c>
    </row>
    <row r="82" spans="1:16" ht="288" x14ac:dyDescent="0.3">
      <c r="A82" s="27" t="s">
        <v>101</v>
      </c>
      <c r="B82" s="34"/>
      <c r="E82" s="29" t="s">
        <v>3895</v>
      </c>
      <c r="J82" s="35"/>
    </row>
    <row r="83" spans="1:16" x14ac:dyDescent="0.3">
      <c r="A83" s="27" t="s">
        <v>103</v>
      </c>
      <c r="B83" s="34"/>
      <c r="E83" s="36" t="s">
        <v>3896</v>
      </c>
      <c r="J83" s="35"/>
    </row>
    <row r="84" spans="1:16" x14ac:dyDescent="0.3">
      <c r="A84" s="27" t="s">
        <v>103</v>
      </c>
      <c r="B84" s="34"/>
      <c r="E84" s="36" t="s">
        <v>3883</v>
      </c>
      <c r="J84" s="35"/>
    </row>
    <row r="85" spans="1:16" ht="86.4" x14ac:dyDescent="0.3">
      <c r="A85" s="27" t="s">
        <v>105</v>
      </c>
      <c r="B85" s="34"/>
      <c r="E85" s="29" t="s">
        <v>3884</v>
      </c>
      <c r="J85" s="35"/>
    </row>
    <row r="86" spans="1:16" x14ac:dyDescent="0.3">
      <c r="A86" s="27" t="s">
        <v>95</v>
      </c>
      <c r="B86" s="27">
        <v>11</v>
      </c>
      <c r="C86" s="28" t="s">
        <v>3897</v>
      </c>
      <c r="D86" s="27" t="s">
        <v>129</v>
      </c>
      <c r="E86" s="29" t="s">
        <v>3898</v>
      </c>
      <c r="F86" s="30" t="s">
        <v>117</v>
      </c>
      <c r="G86" s="31">
        <v>2</v>
      </c>
      <c r="H86" s="32">
        <v>0</v>
      </c>
      <c r="I86" s="32">
        <f>ROUND(2*H86,P4)</f>
        <v>0</v>
      </c>
      <c r="J86" s="30" t="s">
        <v>118</v>
      </c>
      <c r="O86" s="33">
        <f>I86*0.21</f>
        <v>0</v>
      </c>
      <c r="P86">
        <v>3</v>
      </c>
    </row>
    <row r="87" spans="1:16" ht="288" x14ac:dyDescent="0.3">
      <c r="A87" s="27" t="s">
        <v>101</v>
      </c>
      <c r="B87" s="34"/>
      <c r="E87" s="29" t="s">
        <v>3895</v>
      </c>
      <c r="J87" s="35"/>
    </row>
    <row r="88" spans="1:16" x14ac:dyDescent="0.3">
      <c r="A88" s="27" t="s">
        <v>103</v>
      </c>
      <c r="B88" s="34"/>
      <c r="E88" s="36" t="s">
        <v>3896</v>
      </c>
      <c r="J88" s="35"/>
    </row>
    <row r="89" spans="1:16" x14ac:dyDescent="0.3">
      <c r="A89" s="27" t="s">
        <v>103</v>
      </c>
      <c r="B89" s="34"/>
      <c r="E89" s="36" t="s">
        <v>3883</v>
      </c>
      <c r="J89" s="35"/>
    </row>
    <row r="90" spans="1:16" ht="28.8" x14ac:dyDescent="0.3">
      <c r="A90" s="27" t="s">
        <v>105</v>
      </c>
      <c r="B90" s="34"/>
      <c r="E90" s="29" t="s">
        <v>3887</v>
      </c>
      <c r="J90" s="35"/>
    </row>
    <row r="91" spans="1:16" x14ac:dyDescent="0.3">
      <c r="A91" s="27" t="s">
        <v>95</v>
      </c>
      <c r="B91" s="27">
        <v>12</v>
      </c>
      <c r="C91" s="28" t="s">
        <v>3899</v>
      </c>
      <c r="D91" s="27" t="s">
        <v>129</v>
      </c>
      <c r="E91" s="29" t="s">
        <v>3900</v>
      </c>
      <c r="F91" s="30" t="s">
        <v>3862</v>
      </c>
      <c r="G91" s="31">
        <v>124</v>
      </c>
      <c r="H91" s="32">
        <v>0</v>
      </c>
      <c r="I91" s="32">
        <f>ROUND(124*H91,P4)</f>
        <v>0</v>
      </c>
      <c r="J91" s="30" t="s">
        <v>118</v>
      </c>
      <c r="O91" s="33">
        <f>I91*0.21</f>
        <v>0</v>
      </c>
      <c r="P91">
        <v>3</v>
      </c>
    </row>
    <row r="92" spans="1:16" ht="288" x14ac:dyDescent="0.3">
      <c r="A92" s="27" t="s">
        <v>101</v>
      </c>
      <c r="B92" s="34"/>
      <c r="E92" s="29" t="s">
        <v>3895</v>
      </c>
      <c r="J92" s="35"/>
    </row>
    <row r="93" spans="1:16" x14ac:dyDescent="0.3">
      <c r="A93" s="27" t="s">
        <v>103</v>
      </c>
      <c r="B93" s="34"/>
      <c r="E93" s="36" t="s">
        <v>3901</v>
      </c>
      <c r="J93" s="35"/>
    </row>
    <row r="94" spans="1:16" x14ac:dyDescent="0.3">
      <c r="A94" s="27" t="s">
        <v>103</v>
      </c>
      <c r="B94" s="34"/>
      <c r="E94" s="36" t="s">
        <v>3891</v>
      </c>
      <c r="J94" s="35"/>
    </row>
    <row r="95" spans="1:16" ht="28.8" x14ac:dyDescent="0.3">
      <c r="A95" s="27" t="s">
        <v>105</v>
      </c>
      <c r="B95" s="34"/>
      <c r="E95" s="29" t="s">
        <v>3892</v>
      </c>
      <c r="J95" s="35"/>
    </row>
    <row r="96" spans="1:16" x14ac:dyDescent="0.3">
      <c r="A96" s="27" t="s">
        <v>95</v>
      </c>
      <c r="B96" s="27">
        <v>13</v>
      </c>
      <c r="C96" s="28" t="s">
        <v>3902</v>
      </c>
      <c r="D96" s="27" t="s">
        <v>129</v>
      </c>
      <c r="E96" s="29" t="s">
        <v>3903</v>
      </c>
      <c r="F96" s="30" t="s">
        <v>117</v>
      </c>
      <c r="G96" s="31">
        <v>6</v>
      </c>
      <c r="H96" s="32">
        <v>0</v>
      </c>
      <c r="I96" s="32">
        <f>ROUND(6*H96,P4)</f>
        <v>0</v>
      </c>
      <c r="J96" s="30" t="s">
        <v>118</v>
      </c>
      <c r="O96" s="33">
        <f>I96*0.21</f>
        <v>0</v>
      </c>
      <c r="P96">
        <v>3</v>
      </c>
    </row>
    <row r="97" spans="1:16" ht="316.8" x14ac:dyDescent="0.3">
      <c r="A97" s="27" t="s">
        <v>101</v>
      </c>
      <c r="B97" s="34"/>
      <c r="E97" s="29" t="s">
        <v>3904</v>
      </c>
      <c r="J97" s="35"/>
    </row>
    <row r="98" spans="1:16" x14ac:dyDescent="0.3">
      <c r="A98" s="27" t="s">
        <v>103</v>
      </c>
      <c r="B98" s="34"/>
      <c r="E98" s="36" t="s">
        <v>3905</v>
      </c>
      <c r="J98" s="35"/>
    </row>
    <row r="99" spans="1:16" x14ac:dyDescent="0.3">
      <c r="A99" s="27" t="s">
        <v>103</v>
      </c>
      <c r="B99" s="34"/>
      <c r="E99" s="36" t="s">
        <v>3906</v>
      </c>
      <c r="J99" s="35"/>
    </row>
    <row r="100" spans="1:16" x14ac:dyDescent="0.3">
      <c r="A100" s="27" t="s">
        <v>103</v>
      </c>
      <c r="B100" s="34"/>
      <c r="E100" s="36" t="s">
        <v>3907</v>
      </c>
      <c r="J100" s="35"/>
    </row>
    <row r="101" spans="1:16" ht="72" x14ac:dyDescent="0.3">
      <c r="A101" s="27" t="s">
        <v>105</v>
      </c>
      <c r="B101" s="34"/>
      <c r="E101" s="29" t="s">
        <v>3908</v>
      </c>
      <c r="J101" s="35"/>
    </row>
    <row r="102" spans="1:16" x14ac:dyDescent="0.3">
      <c r="A102" s="27" t="s">
        <v>95</v>
      </c>
      <c r="B102" s="27">
        <v>14</v>
      </c>
      <c r="C102" s="28" t="s">
        <v>3909</v>
      </c>
      <c r="D102" s="27" t="s">
        <v>129</v>
      </c>
      <c r="E102" s="29" t="s">
        <v>3910</v>
      </c>
      <c r="F102" s="30" t="s">
        <v>117</v>
      </c>
      <c r="G102" s="31">
        <v>6</v>
      </c>
      <c r="H102" s="32">
        <v>0</v>
      </c>
      <c r="I102" s="32">
        <f>ROUND(6*H102,P4)</f>
        <v>0</v>
      </c>
      <c r="J102" s="30" t="s">
        <v>118</v>
      </c>
      <c r="O102" s="33">
        <f>I102*0.21</f>
        <v>0</v>
      </c>
      <c r="P102">
        <v>3</v>
      </c>
    </row>
    <row r="103" spans="1:16" ht="316.8" x14ac:dyDescent="0.3">
      <c r="A103" s="27" t="s">
        <v>101</v>
      </c>
      <c r="B103" s="34"/>
      <c r="E103" s="29" t="s">
        <v>3904</v>
      </c>
      <c r="J103" s="35"/>
    </row>
    <row r="104" spans="1:16" x14ac:dyDescent="0.3">
      <c r="A104" s="27" t="s">
        <v>103</v>
      </c>
      <c r="B104" s="34"/>
      <c r="E104" s="36" t="s">
        <v>3905</v>
      </c>
      <c r="J104" s="35"/>
    </row>
    <row r="105" spans="1:16" x14ac:dyDescent="0.3">
      <c r="A105" s="27" t="s">
        <v>103</v>
      </c>
      <c r="B105" s="34"/>
      <c r="E105" s="36" t="s">
        <v>3906</v>
      </c>
      <c r="J105" s="35"/>
    </row>
    <row r="106" spans="1:16" x14ac:dyDescent="0.3">
      <c r="A106" s="27" t="s">
        <v>103</v>
      </c>
      <c r="B106" s="34"/>
      <c r="E106" s="36" t="s">
        <v>3907</v>
      </c>
      <c r="J106" s="35"/>
    </row>
    <row r="107" spans="1:16" ht="28.8" x14ac:dyDescent="0.3">
      <c r="A107" s="27" t="s">
        <v>105</v>
      </c>
      <c r="B107" s="34"/>
      <c r="E107" s="29" t="s">
        <v>3887</v>
      </c>
      <c r="J107" s="35"/>
    </row>
    <row r="108" spans="1:16" x14ac:dyDescent="0.3">
      <c r="A108" s="27" t="s">
        <v>95</v>
      </c>
      <c r="B108" s="27">
        <v>15</v>
      </c>
      <c r="C108" s="28" t="s">
        <v>3911</v>
      </c>
      <c r="D108" s="27" t="s">
        <v>129</v>
      </c>
      <c r="E108" s="29" t="s">
        <v>3912</v>
      </c>
      <c r="F108" s="30" t="s">
        <v>3862</v>
      </c>
      <c r="G108" s="31">
        <v>1460</v>
      </c>
      <c r="H108" s="32">
        <v>0</v>
      </c>
      <c r="I108" s="32">
        <f>ROUND(1460*H108,P4)</f>
        <v>0</v>
      </c>
      <c r="J108" s="30" t="s">
        <v>118</v>
      </c>
      <c r="O108" s="33">
        <f>I108*0.21</f>
        <v>0</v>
      </c>
      <c r="P108">
        <v>3</v>
      </c>
    </row>
    <row r="109" spans="1:16" ht="316.8" x14ac:dyDescent="0.3">
      <c r="A109" s="27" t="s">
        <v>101</v>
      </c>
      <c r="B109" s="34"/>
      <c r="E109" s="29" t="s">
        <v>3904</v>
      </c>
      <c r="J109" s="35"/>
    </row>
    <row r="110" spans="1:16" ht="28.8" x14ac:dyDescent="0.3">
      <c r="A110" s="27" t="s">
        <v>103</v>
      </c>
      <c r="B110" s="34"/>
      <c r="E110" s="36" t="s">
        <v>3913</v>
      </c>
      <c r="J110" s="35"/>
    </row>
    <row r="111" spans="1:16" ht="28.8" x14ac:dyDescent="0.3">
      <c r="A111" s="27" t="s">
        <v>103</v>
      </c>
      <c r="B111" s="34"/>
      <c r="E111" s="36" t="s">
        <v>3914</v>
      </c>
      <c r="J111" s="35"/>
    </row>
    <row r="112" spans="1:16" x14ac:dyDescent="0.3">
      <c r="A112" s="27" t="s">
        <v>103</v>
      </c>
      <c r="B112" s="34"/>
      <c r="E112" s="36" t="s">
        <v>3915</v>
      </c>
      <c r="J112" s="35"/>
    </row>
    <row r="113" spans="1:10" ht="28.8" x14ac:dyDescent="0.3">
      <c r="A113" s="27" t="s">
        <v>105</v>
      </c>
      <c r="B113" s="37"/>
      <c r="C113" s="38"/>
      <c r="D113" s="38"/>
      <c r="E113" s="29" t="s">
        <v>3892</v>
      </c>
      <c r="F113" s="38"/>
      <c r="G113" s="38"/>
      <c r="H113" s="38"/>
      <c r="I113" s="38"/>
      <c r="J113"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256"/>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52</v>
      </c>
      <c r="I3" s="16">
        <f>SUMIFS(I8:I1256,A8:A1256,"SD")</f>
        <v>0</v>
      </c>
      <c r="J3" s="12"/>
      <c r="O3">
        <v>0</v>
      </c>
      <c r="P3">
        <v>2</v>
      </c>
    </row>
    <row r="4" spans="1:16" x14ac:dyDescent="0.3">
      <c r="A4" s="2" t="s">
        <v>79</v>
      </c>
      <c r="B4" s="13" t="s">
        <v>80</v>
      </c>
      <c r="C4" s="43" t="s">
        <v>52</v>
      </c>
      <c r="D4" s="44"/>
      <c r="E4" s="14" t="s">
        <v>53</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252</v>
      </c>
      <c r="D8" s="24"/>
      <c r="E8" s="21" t="s">
        <v>253</v>
      </c>
      <c r="F8" s="24"/>
      <c r="G8" s="24"/>
      <c r="H8" s="24"/>
      <c r="I8" s="25">
        <f>SUMIFS(I9:I1256,A9:A1256,"P")</f>
        <v>0</v>
      </c>
      <c r="J8" s="26"/>
    </row>
    <row r="9" spans="1:16" x14ac:dyDescent="0.3">
      <c r="A9" s="27" t="s">
        <v>95</v>
      </c>
      <c r="B9" s="27">
        <v>1</v>
      </c>
      <c r="C9" s="28" t="s">
        <v>3916</v>
      </c>
      <c r="D9" s="27" t="s">
        <v>97</v>
      </c>
      <c r="E9" s="29" t="s">
        <v>3917</v>
      </c>
      <c r="F9" s="30" t="s">
        <v>117</v>
      </c>
      <c r="G9" s="31">
        <v>89</v>
      </c>
      <c r="H9" s="32">
        <v>0</v>
      </c>
      <c r="I9" s="32">
        <f>ROUND(89*H9,P4)</f>
        <v>0</v>
      </c>
      <c r="J9" s="30" t="s">
        <v>118</v>
      </c>
      <c r="O9" s="33">
        <f>I9*0.21</f>
        <v>0</v>
      </c>
      <c r="P9">
        <v>3</v>
      </c>
    </row>
    <row r="10" spans="1:16" ht="302.39999999999998" x14ac:dyDescent="0.3">
      <c r="A10" s="27" t="s">
        <v>101</v>
      </c>
      <c r="B10" s="34"/>
      <c r="E10" s="29" t="s">
        <v>3918</v>
      </c>
      <c r="J10" s="35"/>
    </row>
    <row r="11" spans="1:16" x14ac:dyDescent="0.3">
      <c r="A11" s="27" t="s">
        <v>103</v>
      </c>
      <c r="B11" s="34"/>
      <c r="E11" s="36" t="s">
        <v>3919</v>
      </c>
      <c r="J11" s="35"/>
    </row>
    <row r="12" spans="1:16" x14ac:dyDescent="0.3">
      <c r="A12" s="27" t="s">
        <v>103</v>
      </c>
      <c r="B12" s="34"/>
      <c r="E12" s="36" t="s">
        <v>3920</v>
      </c>
      <c r="J12" s="35"/>
    </row>
    <row r="13" spans="1:16" x14ac:dyDescent="0.3">
      <c r="A13" s="27" t="s">
        <v>103</v>
      </c>
      <c r="B13" s="34"/>
      <c r="E13" s="36" t="s">
        <v>3921</v>
      </c>
      <c r="J13" s="35"/>
    </row>
    <row r="14" spans="1:16" x14ac:dyDescent="0.3">
      <c r="A14" s="27" t="s">
        <v>103</v>
      </c>
      <c r="B14" s="34"/>
      <c r="E14" s="36" t="s">
        <v>3922</v>
      </c>
      <c r="J14" s="35"/>
    </row>
    <row r="15" spans="1:16" x14ac:dyDescent="0.3">
      <c r="A15" s="27" t="s">
        <v>103</v>
      </c>
      <c r="B15" s="34"/>
      <c r="E15" s="36" t="s">
        <v>3923</v>
      </c>
      <c r="J15" s="35"/>
    </row>
    <row r="16" spans="1:16" x14ac:dyDescent="0.3">
      <c r="A16" s="27" t="s">
        <v>103</v>
      </c>
      <c r="B16" s="34"/>
      <c r="E16" s="36" t="s">
        <v>3924</v>
      </c>
      <c r="J16" s="35"/>
    </row>
    <row r="17" spans="1:10" x14ac:dyDescent="0.3">
      <c r="A17" s="27" t="s">
        <v>103</v>
      </c>
      <c r="B17" s="34"/>
      <c r="E17" s="36" t="s">
        <v>3925</v>
      </c>
      <c r="J17" s="35"/>
    </row>
    <row r="18" spans="1:10" x14ac:dyDescent="0.3">
      <c r="A18" s="27" t="s">
        <v>103</v>
      </c>
      <c r="B18" s="34"/>
      <c r="E18" s="36" t="s">
        <v>3926</v>
      </c>
      <c r="J18" s="35"/>
    </row>
    <row r="19" spans="1:10" x14ac:dyDescent="0.3">
      <c r="A19" s="27" t="s">
        <v>103</v>
      </c>
      <c r="B19" s="34"/>
      <c r="E19" s="36" t="s">
        <v>3927</v>
      </c>
      <c r="J19" s="35"/>
    </row>
    <row r="20" spans="1:10" x14ac:dyDescent="0.3">
      <c r="A20" s="27" t="s">
        <v>103</v>
      </c>
      <c r="B20" s="34"/>
      <c r="E20" s="36" t="s">
        <v>3928</v>
      </c>
      <c r="J20" s="35"/>
    </row>
    <row r="21" spans="1:10" x14ac:dyDescent="0.3">
      <c r="A21" s="27" t="s">
        <v>103</v>
      </c>
      <c r="B21" s="34"/>
      <c r="E21" s="36" t="s">
        <v>3929</v>
      </c>
      <c r="J21" s="35"/>
    </row>
    <row r="22" spans="1:10" x14ac:dyDescent="0.3">
      <c r="A22" s="27" t="s">
        <v>103</v>
      </c>
      <c r="B22" s="34"/>
      <c r="E22" s="36" t="s">
        <v>3930</v>
      </c>
      <c r="J22" s="35"/>
    </row>
    <row r="23" spans="1:10" x14ac:dyDescent="0.3">
      <c r="A23" s="27" t="s">
        <v>103</v>
      </c>
      <c r="B23" s="34"/>
      <c r="E23" s="36" t="s">
        <v>3931</v>
      </c>
      <c r="J23" s="35"/>
    </row>
    <row r="24" spans="1:10" x14ac:dyDescent="0.3">
      <c r="A24" s="27" t="s">
        <v>103</v>
      </c>
      <c r="B24" s="34"/>
      <c r="E24" s="36" t="s">
        <v>3932</v>
      </c>
      <c r="J24" s="35"/>
    </row>
    <row r="25" spans="1:10" x14ac:dyDescent="0.3">
      <c r="A25" s="27" t="s">
        <v>103</v>
      </c>
      <c r="B25" s="34"/>
      <c r="E25" s="36" t="s">
        <v>3933</v>
      </c>
      <c r="J25" s="35"/>
    </row>
    <row r="26" spans="1:10" x14ac:dyDescent="0.3">
      <c r="A26" s="27" t="s">
        <v>103</v>
      </c>
      <c r="B26" s="34"/>
      <c r="E26" s="36" t="s">
        <v>3934</v>
      </c>
      <c r="J26" s="35"/>
    </row>
    <row r="27" spans="1:10" x14ac:dyDescent="0.3">
      <c r="A27" s="27" t="s">
        <v>103</v>
      </c>
      <c r="B27" s="34"/>
      <c r="E27" s="36" t="s">
        <v>3935</v>
      </c>
      <c r="J27" s="35"/>
    </row>
    <row r="28" spans="1:10" x14ac:dyDescent="0.3">
      <c r="A28" s="27" t="s">
        <v>103</v>
      </c>
      <c r="B28" s="34"/>
      <c r="E28" s="36" t="s">
        <v>3936</v>
      </c>
      <c r="J28" s="35"/>
    </row>
    <row r="29" spans="1:10" x14ac:dyDescent="0.3">
      <c r="A29" s="27" t="s">
        <v>103</v>
      </c>
      <c r="B29" s="34"/>
      <c r="E29" s="36" t="s">
        <v>3937</v>
      </c>
      <c r="J29" s="35"/>
    </row>
    <row r="30" spans="1:10" x14ac:dyDescent="0.3">
      <c r="A30" s="27" t="s">
        <v>103</v>
      </c>
      <c r="B30" s="34"/>
      <c r="E30" s="36" t="s">
        <v>3938</v>
      </c>
      <c r="J30" s="35"/>
    </row>
    <row r="31" spans="1:10" x14ac:dyDescent="0.3">
      <c r="A31" s="27" t="s">
        <v>103</v>
      </c>
      <c r="B31" s="34"/>
      <c r="E31" s="36" t="s">
        <v>3939</v>
      </c>
      <c r="J31" s="35"/>
    </row>
    <row r="32" spans="1:10" x14ac:dyDescent="0.3">
      <c r="A32" s="27" t="s">
        <v>103</v>
      </c>
      <c r="B32" s="34"/>
      <c r="E32" s="36" t="s">
        <v>3940</v>
      </c>
      <c r="J32" s="35"/>
    </row>
    <row r="33" spans="1:10" x14ac:dyDescent="0.3">
      <c r="A33" s="27" t="s">
        <v>103</v>
      </c>
      <c r="B33" s="34"/>
      <c r="E33" s="36" t="s">
        <v>3941</v>
      </c>
      <c r="J33" s="35"/>
    </row>
    <row r="34" spans="1:10" x14ac:dyDescent="0.3">
      <c r="A34" s="27" t="s">
        <v>103</v>
      </c>
      <c r="B34" s="34"/>
      <c r="E34" s="36" t="s">
        <v>3942</v>
      </c>
      <c r="J34" s="35"/>
    </row>
    <row r="35" spans="1:10" x14ac:dyDescent="0.3">
      <c r="A35" s="27" t="s">
        <v>103</v>
      </c>
      <c r="B35" s="34"/>
      <c r="E35" s="36" t="s">
        <v>3943</v>
      </c>
      <c r="J35" s="35"/>
    </row>
    <row r="36" spans="1:10" x14ac:dyDescent="0.3">
      <c r="A36" s="27" t="s">
        <v>103</v>
      </c>
      <c r="B36" s="34"/>
      <c r="E36" s="36" t="s">
        <v>3944</v>
      </c>
      <c r="J36" s="35"/>
    </row>
    <row r="37" spans="1:10" x14ac:dyDescent="0.3">
      <c r="A37" s="27" t="s">
        <v>103</v>
      </c>
      <c r="B37" s="34"/>
      <c r="E37" s="36" t="s">
        <v>3945</v>
      </c>
      <c r="J37" s="35"/>
    </row>
    <row r="38" spans="1:10" x14ac:dyDescent="0.3">
      <c r="A38" s="27" t="s">
        <v>103</v>
      </c>
      <c r="B38" s="34"/>
      <c r="E38" s="36" t="s">
        <v>3946</v>
      </c>
      <c r="J38" s="35"/>
    </row>
    <row r="39" spans="1:10" x14ac:dyDescent="0.3">
      <c r="A39" s="27" t="s">
        <v>103</v>
      </c>
      <c r="B39" s="34"/>
      <c r="E39" s="36" t="s">
        <v>3947</v>
      </c>
      <c r="J39" s="35"/>
    </row>
    <row r="40" spans="1:10" x14ac:dyDescent="0.3">
      <c r="A40" s="27" t="s">
        <v>103</v>
      </c>
      <c r="B40" s="34"/>
      <c r="E40" s="36" t="s">
        <v>3948</v>
      </c>
      <c r="J40" s="35"/>
    </row>
    <row r="41" spans="1:10" x14ac:dyDescent="0.3">
      <c r="A41" s="27" t="s">
        <v>103</v>
      </c>
      <c r="B41" s="34"/>
      <c r="E41" s="36" t="s">
        <v>3949</v>
      </c>
      <c r="J41" s="35"/>
    </row>
    <row r="42" spans="1:10" x14ac:dyDescent="0.3">
      <c r="A42" s="27" t="s">
        <v>103</v>
      </c>
      <c r="B42" s="34"/>
      <c r="E42" s="36" t="s">
        <v>3950</v>
      </c>
      <c r="J42" s="35"/>
    </row>
    <row r="43" spans="1:10" x14ac:dyDescent="0.3">
      <c r="A43" s="27" t="s">
        <v>103</v>
      </c>
      <c r="B43" s="34"/>
      <c r="E43" s="36" t="s">
        <v>3951</v>
      </c>
      <c r="J43" s="35"/>
    </row>
    <row r="44" spans="1:10" x14ac:dyDescent="0.3">
      <c r="A44" s="27" t="s">
        <v>103</v>
      </c>
      <c r="B44" s="34"/>
      <c r="E44" s="36" t="s">
        <v>3952</v>
      </c>
      <c r="J44" s="35"/>
    </row>
    <row r="45" spans="1:10" x14ac:dyDescent="0.3">
      <c r="A45" s="27" t="s">
        <v>103</v>
      </c>
      <c r="B45" s="34"/>
      <c r="E45" s="36" t="s">
        <v>3953</v>
      </c>
      <c r="J45" s="35"/>
    </row>
    <row r="46" spans="1:10" x14ac:dyDescent="0.3">
      <c r="A46" s="27" t="s">
        <v>103</v>
      </c>
      <c r="B46" s="34"/>
      <c r="E46" s="36" t="s">
        <v>3954</v>
      </c>
      <c r="J46" s="35"/>
    </row>
    <row r="47" spans="1:10" x14ac:dyDescent="0.3">
      <c r="A47" s="27" t="s">
        <v>103</v>
      </c>
      <c r="B47" s="34"/>
      <c r="E47" s="36" t="s">
        <v>3955</v>
      </c>
      <c r="J47" s="35"/>
    </row>
    <row r="48" spans="1:10" x14ac:dyDescent="0.3">
      <c r="A48" s="27" t="s">
        <v>103</v>
      </c>
      <c r="B48" s="34"/>
      <c r="E48" s="36" t="s">
        <v>3956</v>
      </c>
      <c r="J48" s="35"/>
    </row>
    <row r="49" spans="1:10" x14ac:dyDescent="0.3">
      <c r="A49" s="27" t="s">
        <v>103</v>
      </c>
      <c r="B49" s="34"/>
      <c r="E49" s="36" t="s">
        <v>3957</v>
      </c>
      <c r="J49" s="35"/>
    </row>
    <row r="50" spans="1:10" ht="28.8" x14ac:dyDescent="0.3">
      <c r="A50" s="27" t="s">
        <v>103</v>
      </c>
      <c r="B50" s="34"/>
      <c r="E50" s="36" t="s">
        <v>3958</v>
      </c>
      <c r="J50" s="35"/>
    </row>
    <row r="51" spans="1:10" ht="28.8" x14ac:dyDescent="0.3">
      <c r="A51" s="27" t="s">
        <v>103</v>
      </c>
      <c r="B51" s="34"/>
      <c r="E51" s="36" t="s">
        <v>3959</v>
      </c>
      <c r="J51" s="35"/>
    </row>
    <row r="52" spans="1:10" x14ac:dyDescent="0.3">
      <c r="A52" s="27" t="s">
        <v>103</v>
      </c>
      <c r="B52" s="34"/>
      <c r="E52" s="36" t="s">
        <v>3960</v>
      </c>
      <c r="J52" s="35"/>
    </row>
    <row r="53" spans="1:10" x14ac:dyDescent="0.3">
      <c r="A53" s="27" t="s">
        <v>103</v>
      </c>
      <c r="B53" s="34"/>
      <c r="E53" s="36" t="s">
        <v>3961</v>
      </c>
      <c r="J53" s="35"/>
    </row>
    <row r="54" spans="1:10" x14ac:dyDescent="0.3">
      <c r="A54" s="27" t="s">
        <v>103</v>
      </c>
      <c r="B54" s="34"/>
      <c r="E54" s="36" t="s">
        <v>3962</v>
      </c>
      <c r="J54" s="35"/>
    </row>
    <row r="55" spans="1:10" x14ac:dyDescent="0.3">
      <c r="A55" s="27" t="s">
        <v>103</v>
      </c>
      <c r="B55" s="34"/>
      <c r="E55" s="36" t="s">
        <v>3963</v>
      </c>
      <c r="J55" s="35"/>
    </row>
    <row r="56" spans="1:10" x14ac:dyDescent="0.3">
      <c r="A56" s="27" t="s">
        <v>103</v>
      </c>
      <c r="B56" s="34"/>
      <c r="E56" s="36" t="s">
        <v>3964</v>
      </c>
      <c r="J56" s="35"/>
    </row>
    <row r="57" spans="1:10" x14ac:dyDescent="0.3">
      <c r="A57" s="27" t="s">
        <v>103</v>
      </c>
      <c r="B57" s="34"/>
      <c r="E57" s="36" t="s">
        <v>3965</v>
      </c>
      <c r="J57" s="35"/>
    </row>
    <row r="58" spans="1:10" x14ac:dyDescent="0.3">
      <c r="A58" s="27" t="s">
        <v>103</v>
      </c>
      <c r="B58" s="34"/>
      <c r="E58" s="36" t="s">
        <v>3966</v>
      </c>
      <c r="J58" s="35"/>
    </row>
    <row r="59" spans="1:10" x14ac:dyDescent="0.3">
      <c r="A59" s="27" t="s">
        <v>103</v>
      </c>
      <c r="B59" s="34"/>
      <c r="E59" s="36" t="s">
        <v>3967</v>
      </c>
      <c r="J59" s="35"/>
    </row>
    <row r="60" spans="1:10" x14ac:dyDescent="0.3">
      <c r="A60" s="27" t="s">
        <v>103</v>
      </c>
      <c r="B60" s="34"/>
      <c r="E60" s="36" t="s">
        <v>3968</v>
      </c>
      <c r="J60" s="35"/>
    </row>
    <row r="61" spans="1:10" x14ac:dyDescent="0.3">
      <c r="A61" s="27" t="s">
        <v>103</v>
      </c>
      <c r="B61" s="34"/>
      <c r="E61" s="36" t="s">
        <v>3969</v>
      </c>
      <c r="J61" s="35"/>
    </row>
    <row r="62" spans="1:10" x14ac:dyDescent="0.3">
      <c r="A62" s="27" t="s">
        <v>103</v>
      </c>
      <c r="B62" s="34"/>
      <c r="E62" s="36" t="s">
        <v>3970</v>
      </c>
      <c r="J62" s="35"/>
    </row>
    <row r="63" spans="1:10" x14ac:dyDescent="0.3">
      <c r="A63" s="27" t="s">
        <v>103</v>
      </c>
      <c r="B63" s="34"/>
      <c r="E63" s="36" t="s">
        <v>3971</v>
      </c>
      <c r="J63" s="35"/>
    </row>
    <row r="64" spans="1:10" x14ac:dyDescent="0.3">
      <c r="A64" s="27" t="s">
        <v>103</v>
      </c>
      <c r="B64" s="34"/>
      <c r="E64" s="36" t="s">
        <v>3972</v>
      </c>
      <c r="J64" s="35"/>
    </row>
    <row r="65" spans="1:10" x14ac:dyDescent="0.3">
      <c r="A65" s="27" t="s">
        <v>103</v>
      </c>
      <c r="B65" s="34"/>
      <c r="E65" s="36" t="s">
        <v>3973</v>
      </c>
      <c r="J65" s="35"/>
    </row>
    <row r="66" spans="1:10" x14ac:dyDescent="0.3">
      <c r="A66" s="27" t="s">
        <v>103</v>
      </c>
      <c r="B66" s="34"/>
      <c r="E66" s="36" t="s">
        <v>3974</v>
      </c>
      <c r="J66" s="35"/>
    </row>
    <row r="67" spans="1:10" x14ac:dyDescent="0.3">
      <c r="A67" s="27" t="s">
        <v>103</v>
      </c>
      <c r="B67" s="34"/>
      <c r="E67" s="36" t="s">
        <v>3975</v>
      </c>
      <c r="J67" s="35"/>
    </row>
    <row r="68" spans="1:10" x14ac:dyDescent="0.3">
      <c r="A68" s="27" t="s">
        <v>103</v>
      </c>
      <c r="B68" s="34"/>
      <c r="E68" s="36" t="s">
        <v>3976</v>
      </c>
      <c r="J68" s="35"/>
    </row>
    <row r="69" spans="1:10" x14ac:dyDescent="0.3">
      <c r="A69" s="27" t="s">
        <v>103</v>
      </c>
      <c r="B69" s="34"/>
      <c r="E69" s="36" t="s">
        <v>3977</v>
      </c>
      <c r="J69" s="35"/>
    </row>
    <row r="70" spans="1:10" x14ac:dyDescent="0.3">
      <c r="A70" s="27" t="s">
        <v>103</v>
      </c>
      <c r="B70" s="34"/>
      <c r="E70" s="36" t="s">
        <v>3978</v>
      </c>
      <c r="J70" s="35"/>
    </row>
    <row r="71" spans="1:10" x14ac:dyDescent="0.3">
      <c r="A71" s="27" t="s">
        <v>103</v>
      </c>
      <c r="B71" s="34"/>
      <c r="E71" s="36" t="s">
        <v>3979</v>
      </c>
      <c r="J71" s="35"/>
    </row>
    <row r="72" spans="1:10" x14ac:dyDescent="0.3">
      <c r="A72" s="27" t="s">
        <v>103</v>
      </c>
      <c r="B72" s="34"/>
      <c r="E72" s="36" t="s">
        <v>3980</v>
      </c>
      <c r="J72" s="35"/>
    </row>
    <row r="73" spans="1:10" x14ac:dyDescent="0.3">
      <c r="A73" s="27" t="s">
        <v>103</v>
      </c>
      <c r="B73" s="34"/>
      <c r="E73" s="36" t="s">
        <v>3981</v>
      </c>
      <c r="J73" s="35"/>
    </row>
    <row r="74" spans="1:10" x14ac:dyDescent="0.3">
      <c r="A74" s="27" t="s">
        <v>103</v>
      </c>
      <c r="B74" s="34"/>
      <c r="E74" s="36" t="s">
        <v>3982</v>
      </c>
      <c r="J74" s="35"/>
    </row>
    <row r="75" spans="1:10" x14ac:dyDescent="0.3">
      <c r="A75" s="27" t="s">
        <v>103</v>
      </c>
      <c r="B75" s="34"/>
      <c r="E75" s="36" t="s">
        <v>3983</v>
      </c>
      <c r="J75" s="35"/>
    </row>
    <row r="76" spans="1:10" x14ac:dyDescent="0.3">
      <c r="A76" s="27" t="s">
        <v>103</v>
      </c>
      <c r="B76" s="34"/>
      <c r="E76" s="36" t="s">
        <v>3984</v>
      </c>
      <c r="J76" s="35"/>
    </row>
    <row r="77" spans="1:10" x14ac:dyDescent="0.3">
      <c r="A77" s="27" t="s">
        <v>103</v>
      </c>
      <c r="B77" s="34"/>
      <c r="E77" s="36" t="s">
        <v>3985</v>
      </c>
      <c r="J77" s="35"/>
    </row>
    <row r="78" spans="1:10" x14ac:dyDescent="0.3">
      <c r="A78" s="27" t="s">
        <v>103</v>
      </c>
      <c r="B78" s="34"/>
      <c r="E78" s="36" t="s">
        <v>3986</v>
      </c>
      <c r="J78" s="35"/>
    </row>
    <row r="79" spans="1:10" x14ac:dyDescent="0.3">
      <c r="A79" s="27" t="s">
        <v>103</v>
      </c>
      <c r="B79" s="34"/>
      <c r="E79" s="36" t="s">
        <v>3987</v>
      </c>
      <c r="J79" s="35"/>
    </row>
    <row r="80" spans="1:10" x14ac:dyDescent="0.3">
      <c r="A80" s="27" t="s">
        <v>103</v>
      </c>
      <c r="B80" s="34"/>
      <c r="E80" s="36" t="s">
        <v>3988</v>
      </c>
      <c r="J80" s="35"/>
    </row>
    <row r="81" spans="1:10" x14ac:dyDescent="0.3">
      <c r="A81" s="27" t="s">
        <v>103</v>
      </c>
      <c r="B81" s="34"/>
      <c r="E81" s="36" t="s">
        <v>3989</v>
      </c>
      <c r="J81" s="35"/>
    </row>
    <row r="82" spans="1:10" x14ac:dyDescent="0.3">
      <c r="A82" s="27" t="s">
        <v>103</v>
      </c>
      <c r="B82" s="34"/>
      <c r="E82" s="36" t="s">
        <v>3990</v>
      </c>
      <c r="J82" s="35"/>
    </row>
    <row r="83" spans="1:10" x14ac:dyDescent="0.3">
      <c r="A83" s="27" t="s">
        <v>103</v>
      </c>
      <c r="B83" s="34"/>
      <c r="E83" s="36" t="s">
        <v>3991</v>
      </c>
      <c r="J83" s="35"/>
    </row>
    <row r="84" spans="1:10" x14ac:dyDescent="0.3">
      <c r="A84" s="27" t="s">
        <v>103</v>
      </c>
      <c r="B84" s="34"/>
      <c r="E84" s="36" t="s">
        <v>3992</v>
      </c>
      <c r="J84" s="35"/>
    </row>
    <row r="85" spans="1:10" ht="28.8" x14ac:dyDescent="0.3">
      <c r="A85" s="27" t="s">
        <v>103</v>
      </c>
      <c r="B85" s="34"/>
      <c r="E85" s="36" t="s">
        <v>3993</v>
      </c>
      <c r="J85" s="35"/>
    </row>
    <row r="86" spans="1:10" x14ac:dyDescent="0.3">
      <c r="A86" s="27" t="s">
        <v>103</v>
      </c>
      <c r="B86" s="34"/>
      <c r="E86" s="36" t="s">
        <v>3994</v>
      </c>
      <c r="J86" s="35"/>
    </row>
    <row r="87" spans="1:10" x14ac:dyDescent="0.3">
      <c r="A87" s="27" t="s">
        <v>103</v>
      </c>
      <c r="B87" s="34"/>
      <c r="E87" s="36" t="s">
        <v>3995</v>
      </c>
      <c r="J87" s="35"/>
    </row>
    <row r="88" spans="1:10" x14ac:dyDescent="0.3">
      <c r="A88" s="27" t="s">
        <v>103</v>
      </c>
      <c r="B88" s="34"/>
      <c r="E88" s="36" t="s">
        <v>3996</v>
      </c>
      <c r="J88" s="35"/>
    </row>
    <row r="89" spans="1:10" x14ac:dyDescent="0.3">
      <c r="A89" s="27" t="s">
        <v>103</v>
      </c>
      <c r="B89" s="34"/>
      <c r="E89" s="36" t="s">
        <v>3997</v>
      </c>
      <c r="J89" s="35"/>
    </row>
    <row r="90" spans="1:10" x14ac:dyDescent="0.3">
      <c r="A90" s="27" t="s">
        <v>103</v>
      </c>
      <c r="B90" s="34"/>
      <c r="E90" s="36" t="s">
        <v>3998</v>
      </c>
      <c r="J90" s="35"/>
    </row>
    <row r="91" spans="1:10" x14ac:dyDescent="0.3">
      <c r="A91" s="27" t="s">
        <v>103</v>
      </c>
      <c r="B91" s="34"/>
      <c r="E91" s="36" t="s">
        <v>3999</v>
      </c>
      <c r="J91" s="35"/>
    </row>
    <row r="92" spans="1:10" x14ac:dyDescent="0.3">
      <c r="A92" s="27" t="s">
        <v>103</v>
      </c>
      <c r="B92" s="34"/>
      <c r="E92" s="36" t="s">
        <v>4000</v>
      </c>
      <c r="J92" s="35"/>
    </row>
    <row r="93" spans="1:10" x14ac:dyDescent="0.3">
      <c r="A93" s="27" t="s">
        <v>103</v>
      </c>
      <c r="B93" s="34"/>
      <c r="E93" s="36" t="s">
        <v>4001</v>
      </c>
      <c r="J93" s="35"/>
    </row>
    <row r="94" spans="1:10" x14ac:dyDescent="0.3">
      <c r="A94" s="27" t="s">
        <v>103</v>
      </c>
      <c r="B94" s="34"/>
      <c r="E94" s="36" t="s">
        <v>4002</v>
      </c>
      <c r="J94" s="35"/>
    </row>
    <row r="95" spans="1:10" x14ac:dyDescent="0.3">
      <c r="A95" s="27" t="s">
        <v>103</v>
      </c>
      <c r="B95" s="34"/>
      <c r="E95" s="36" t="s">
        <v>4003</v>
      </c>
      <c r="J95" s="35"/>
    </row>
    <row r="96" spans="1:10" x14ac:dyDescent="0.3">
      <c r="A96" s="27" t="s">
        <v>103</v>
      </c>
      <c r="B96" s="34"/>
      <c r="E96" s="36" t="s">
        <v>4004</v>
      </c>
      <c r="J96" s="35"/>
    </row>
    <row r="97" spans="1:16" x14ac:dyDescent="0.3">
      <c r="A97" s="27" t="s">
        <v>103</v>
      </c>
      <c r="B97" s="34"/>
      <c r="E97" s="36" t="s">
        <v>4005</v>
      </c>
      <c r="J97" s="35"/>
    </row>
    <row r="98" spans="1:16" x14ac:dyDescent="0.3">
      <c r="A98" s="27" t="s">
        <v>103</v>
      </c>
      <c r="B98" s="34"/>
      <c r="E98" s="36" t="s">
        <v>4006</v>
      </c>
      <c r="J98" s="35"/>
    </row>
    <row r="99" spans="1:16" x14ac:dyDescent="0.3">
      <c r="A99" s="27" t="s">
        <v>103</v>
      </c>
      <c r="B99" s="34"/>
      <c r="E99" s="36" t="s">
        <v>4007</v>
      </c>
      <c r="J99" s="35"/>
    </row>
    <row r="100" spans="1:16" x14ac:dyDescent="0.3">
      <c r="A100" s="27" t="s">
        <v>103</v>
      </c>
      <c r="B100" s="34"/>
      <c r="E100" s="36" t="s">
        <v>4008</v>
      </c>
      <c r="J100" s="35"/>
    </row>
    <row r="101" spans="1:16" ht="86.4" x14ac:dyDescent="0.3">
      <c r="A101" s="27" t="s">
        <v>105</v>
      </c>
      <c r="B101" s="34"/>
      <c r="E101" s="29" t="s">
        <v>4009</v>
      </c>
      <c r="J101" s="35"/>
    </row>
    <row r="102" spans="1:16" x14ac:dyDescent="0.3">
      <c r="A102" s="27" t="s">
        <v>95</v>
      </c>
      <c r="B102" s="27">
        <v>2</v>
      </c>
      <c r="C102" s="28" t="s">
        <v>3916</v>
      </c>
      <c r="D102" s="27" t="s">
        <v>266</v>
      </c>
      <c r="E102" s="29" t="s">
        <v>3917</v>
      </c>
      <c r="F102" s="30" t="s">
        <v>117</v>
      </c>
      <c r="G102" s="31">
        <v>12</v>
      </c>
      <c r="H102" s="32">
        <v>0</v>
      </c>
      <c r="I102" s="32">
        <f>ROUND(12*H102,P4)</f>
        <v>0</v>
      </c>
      <c r="J102" s="30" t="s">
        <v>118</v>
      </c>
      <c r="O102" s="33">
        <f>I102*0.21</f>
        <v>0</v>
      </c>
      <c r="P102">
        <v>3</v>
      </c>
    </row>
    <row r="103" spans="1:16" ht="302.39999999999998" x14ac:dyDescent="0.3">
      <c r="A103" s="27" t="s">
        <v>101</v>
      </c>
      <c r="B103" s="34"/>
      <c r="E103" s="29" t="s">
        <v>3918</v>
      </c>
      <c r="J103" s="35"/>
    </row>
    <row r="104" spans="1:16" x14ac:dyDescent="0.3">
      <c r="A104" s="27" t="s">
        <v>103</v>
      </c>
      <c r="B104" s="34"/>
      <c r="E104" s="36" t="s">
        <v>4010</v>
      </c>
      <c r="J104" s="35"/>
    </row>
    <row r="105" spans="1:16" x14ac:dyDescent="0.3">
      <c r="A105" s="27" t="s">
        <v>103</v>
      </c>
      <c r="B105" s="34"/>
      <c r="E105" s="36" t="s">
        <v>4011</v>
      </c>
      <c r="J105" s="35"/>
    </row>
    <row r="106" spans="1:16" x14ac:dyDescent="0.3">
      <c r="A106" s="27" t="s">
        <v>103</v>
      </c>
      <c r="B106" s="34"/>
      <c r="E106" s="36" t="s">
        <v>4012</v>
      </c>
      <c r="J106" s="35"/>
    </row>
    <row r="107" spans="1:16" x14ac:dyDescent="0.3">
      <c r="A107" s="27" t="s">
        <v>103</v>
      </c>
      <c r="B107" s="34"/>
      <c r="E107" s="36" t="s">
        <v>4013</v>
      </c>
      <c r="J107" s="35"/>
    </row>
    <row r="108" spans="1:16" ht="28.8" x14ac:dyDescent="0.3">
      <c r="A108" s="27" t="s">
        <v>103</v>
      </c>
      <c r="B108" s="34"/>
      <c r="E108" s="36" t="s">
        <v>4014</v>
      </c>
      <c r="J108" s="35"/>
    </row>
    <row r="109" spans="1:16" x14ac:dyDescent="0.3">
      <c r="A109" s="27" t="s">
        <v>103</v>
      </c>
      <c r="B109" s="34"/>
      <c r="E109" s="36" t="s">
        <v>4015</v>
      </c>
      <c r="J109" s="35"/>
    </row>
    <row r="110" spans="1:16" x14ac:dyDescent="0.3">
      <c r="A110" s="27" t="s">
        <v>103</v>
      </c>
      <c r="B110" s="34"/>
      <c r="E110" s="36" t="s">
        <v>4016</v>
      </c>
      <c r="J110" s="35"/>
    </row>
    <row r="111" spans="1:16" ht="28.8" x14ac:dyDescent="0.3">
      <c r="A111" s="27" t="s">
        <v>103</v>
      </c>
      <c r="B111" s="34"/>
      <c r="E111" s="36" t="s">
        <v>4017</v>
      </c>
      <c r="J111" s="35"/>
    </row>
    <row r="112" spans="1:16" x14ac:dyDescent="0.3">
      <c r="A112" s="27" t="s">
        <v>103</v>
      </c>
      <c r="B112" s="34"/>
      <c r="E112" s="36" t="s">
        <v>4018</v>
      </c>
      <c r="J112" s="35"/>
    </row>
    <row r="113" spans="1:16" ht="28.8" x14ac:dyDescent="0.3">
      <c r="A113" s="27" t="s">
        <v>103</v>
      </c>
      <c r="B113" s="34"/>
      <c r="E113" s="36" t="s">
        <v>4019</v>
      </c>
      <c r="J113" s="35"/>
    </row>
    <row r="114" spans="1:16" x14ac:dyDescent="0.3">
      <c r="A114" s="27" t="s">
        <v>103</v>
      </c>
      <c r="B114" s="34"/>
      <c r="E114" s="36" t="s">
        <v>4020</v>
      </c>
      <c r="J114" s="35"/>
    </row>
    <row r="115" spans="1:16" x14ac:dyDescent="0.3">
      <c r="A115" s="27" t="s">
        <v>103</v>
      </c>
      <c r="B115" s="34"/>
      <c r="E115" s="36" t="s">
        <v>4021</v>
      </c>
      <c r="J115" s="35"/>
    </row>
    <row r="116" spans="1:16" x14ac:dyDescent="0.3">
      <c r="A116" s="27" t="s">
        <v>103</v>
      </c>
      <c r="B116" s="34"/>
      <c r="E116" s="36" t="s">
        <v>4022</v>
      </c>
      <c r="J116" s="35"/>
    </row>
    <row r="117" spans="1:16" ht="86.4" x14ac:dyDescent="0.3">
      <c r="A117" s="27" t="s">
        <v>105</v>
      </c>
      <c r="B117" s="34"/>
      <c r="E117" s="29" t="s">
        <v>4009</v>
      </c>
      <c r="J117" s="35"/>
    </row>
    <row r="118" spans="1:16" x14ac:dyDescent="0.3">
      <c r="A118" s="27" t="s">
        <v>95</v>
      </c>
      <c r="B118" s="27">
        <v>3</v>
      </c>
      <c r="C118" s="28" t="s">
        <v>3916</v>
      </c>
      <c r="D118" s="27" t="s">
        <v>107</v>
      </c>
      <c r="E118" s="29" t="s">
        <v>3917</v>
      </c>
      <c r="F118" s="30" t="s">
        <v>117</v>
      </c>
      <c r="G118" s="31">
        <v>12</v>
      </c>
      <c r="H118" s="32">
        <v>0</v>
      </c>
      <c r="I118" s="32">
        <f>ROUND(12*H118,P4)</f>
        <v>0</v>
      </c>
      <c r="J118" s="30" t="s">
        <v>118</v>
      </c>
      <c r="O118" s="33">
        <f>I118*0.21</f>
        <v>0</v>
      </c>
      <c r="P118">
        <v>3</v>
      </c>
    </row>
    <row r="119" spans="1:16" ht="288" x14ac:dyDescent="0.3">
      <c r="A119" s="27" t="s">
        <v>101</v>
      </c>
      <c r="B119" s="34"/>
      <c r="E119" s="29" t="s">
        <v>4023</v>
      </c>
      <c r="J119" s="35"/>
    </row>
    <row r="120" spans="1:16" x14ac:dyDescent="0.3">
      <c r="A120" s="27" t="s">
        <v>103</v>
      </c>
      <c r="B120" s="34"/>
      <c r="E120" s="36" t="s">
        <v>4024</v>
      </c>
      <c r="J120" s="35"/>
    </row>
    <row r="121" spans="1:16" x14ac:dyDescent="0.3">
      <c r="A121" s="27" t="s">
        <v>103</v>
      </c>
      <c r="B121" s="34"/>
      <c r="E121" s="36" t="s">
        <v>4025</v>
      </c>
      <c r="J121" s="35"/>
    </row>
    <row r="122" spans="1:16" x14ac:dyDescent="0.3">
      <c r="A122" s="27" t="s">
        <v>103</v>
      </c>
      <c r="B122" s="34"/>
      <c r="E122" s="36" t="s">
        <v>4026</v>
      </c>
      <c r="J122" s="35"/>
    </row>
    <row r="123" spans="1:16" x14ac:dyDescent="0.3">
      <c r="A123" s="27" t="s">
        <v>103</v>
      </c>
      <c r="B123" s="34"/>
      <c r="E123" s="36" t="s">
        <v>4027</v>
      </c>
      <c r="J123" s="35"/>
    </row>
    <row r="124" spans="1:16" x14ac:dyDescent="0.3">
      <c r="A124" s="27" t="s">
        <v>103</v>
      </c>
      <c r="B124" s="34"/>
      <c r="E124" s="36" t="s">
        <v>4028</v>
      </c>
      <c r="J124" s="35"/>
    </row>
    <row r="125" spans="1:16" x14ac:dyDescent="0.3">
      <c r="A125" s="27" t="s">
        <v>103</v>
      </c>
      <c r="B125" s="34"/>
      <c r="E125" s="36" t="s">
        <v>4029</v>
      </c>
      <c r="J125" s="35"/>
    </row>
    <row r="126" spans="1:16" x14ac:dyDescent="0.3">
      <c r="A126" s="27" t="s">
        <v>103</v>
      </c>
      <c r="B126" s="34"/>
      <c r="E126" s="36" t="s">
        <v>4030</v>
      </c>
      <c r="J126" s="35"/>
    </row>
    <row r="127" spans="1:16" x14ac:dyDescent="0.3">
      <c r="A127" s="27" t="s">
        <v>103</v>
      </c>
      <c r="B127" s="34"/>
      <c r="E127" s="36" t="s">
        <v>4031</v>
      </c>
      <c r="J127" s="35"/>
    </row>
    <row r="128" spans="1:16" x14ac:dyDescent="0.3">
      <c r="A128" s="27" t="s">
        <v>103</v>
      </c>
      <c r="B128" s="34"/>
      <c r="E128" s="36" t="s">
        <v>4032</v>
      </c>
      <c r="J128" s="35"/>
    </row>
    <row r="129" spans="1:16" x14ac:dyDescent="0.3">
      <c r="A129" s="27" t="s">
        <v>103</v>
      </c>
      <c r="B129" s="34"/>
      <c r="E129" s="36" t="s">
        <v>4033</v>
      </c>
      <c r="J129" s="35"/>
    </row>
    <row r="130" spans="1:16" x14ac:dyDescent="0.3">
      <c r="A130" s="27" t="s">
        <v>103</v>
      </c>
      <c r="B130" s="34"/>
      <c r="E130" s="36" t="s">
        <v>4034</v>
      </c>
      <c r="J130" s="35"/>
    </row>
    <row r="131" spans="1:16" x14ac:dyDescent="0.3">
      <c r="A131" s="27" t="s">
        <v>103</v>
      </c>
      <c r="B131" s="34"/>
      <c r="E131" s="36" t="s">
        <v>4035</v>
      </c>
      <c r="J131" s="35"/>
    </row>
    <row r="132" spans="1:16" x14ac:dyDescent="0.3">
      <c r="A132" s="27" t="s">
        <v>103</v>
      </c>
      <c r="B132" s="34"/>
      <c r="E132" s="36" t="s">
        <v>4022</v>
      </c>
      <c r="J132" s="35"/>
    </row>
    <row r="133" spans="1:16" ht="86.4" x14ac:dyDescent="0.3">
      <c r="A133" s="27" t="s">
        <v>105</v>
      </c>
      <c r="B133" s="34"/>
      <c r="E133" s="29" t="s">
        <v>4009</v>
      </c>
      <c r="J133" s="35"/>
    </row>
    <row r="134" spans="1:16" x14ac:dyDescent="0.3">
      <c r="A134" s="27" t="s">
        <v>95</v>
      </c>
      <c r="B134" s="27">
        <v>4</v>
      </c>
      <c r="C134" s="28" t="s">
        <v>4036</v>
      </c>
      <c r="D134" s="27" t="s">
        <v>129</v>
      </c>
      <c r="E134" s="29" t="s">
        <v>4037</v>
      </c>
      <c r="F134" s="30" t="s">
        <v>117</v>
      </c>
      <c r="G134" s="31">
        <v>59</v>
      </c>
      <c r="H134" s="32">
        <v>0</v>
      </c>
      <c r="I134" s="32">
        <f>ROUND(59*H134,P4)</f>
        <v>0</v>
      </c>
      <c r="J134" s="30" t="s">
        <v>118</v>
      </c>
      <c r="O134" s="33">
        <f>I134*0.21</f>
        <v>0</v>
      </c>
      <c r="P134">
        <v>3</v>
      </c>
    </row>
    <row r="135" spans="1:16" ht="302.39999999999998" x14ac:dyDescent="0.3">
      <c r="A135" s="27" t="s">
        <v>101</v>
      </c>
      <c r="B135" s="34"/>
      <c r="E135" s="29" t="s">
        <v>4038</v>
      </c>
      <c r="J135" s="35"/>
    </row>
    <row r="136" spans="1:16" ht="28.8" x14ac:dyDescent="0.3">
      <c r="A136" s="27" t="s">
        <v>103</v>
      </c>
      <c r="B136" s="34"/>
      <c r="E136" s="36" t="s">
        <v>4039</v>
      </c>
      <c r="J136" s="35"/>
    </row>
    <row r="137" spans="1:16" x14ac:dyDescent="0.3">
      <c r="A137" s="27" t="s">
        <v>103</v>
      </c>
      <c r="B137" s="34"/>
      <c r="E137" s="36" t="s">
        <v>4040</v>
      </c>
      <c r="J137" s="35"/>
    </row>
    <row r="138" spans="1:16" ht="28.8" x14ac:dyDescent="0.3">
      <c r="A138" s="27" t="s">
        <v>105</v>
      </c>
      <c r="B138" s="34"/>
      <c r="E138" s="29" t="s">
        <v>4041</v>
      </c>
      <c r="J138" s="35"/>
    </row>
    <row r="139" spans="1:16" x14ac:dyDescent="0.3">
      <c r="A139" s="27" t="s">
        <v>95</v>
      </c>
      <c r="B139" s="27">
        <v>5</v>
      </c>
      <c r="C139" s="28" t="s">
        <v>4042</v>
      </c>
      <c r="D139" s="27" t="s">
        <v>129</v>
      </c>
      <c r="E139" s="29" t="s">
        <v>4043</v>
      </c>
      <c r="F139" s="30" t="s">
        <v>117</v>
      </c>
      <c r="G139" s="31">
        <v>89</v>
      </c>
      <c r="H139" s="32">
        <v>0</v>
      </c>
      <c r="I139" s="32">
        <f>ROUND(89*H139,P4)</f>
        <v>0</v>
      </c>
      <c r="J139" s="30" t="s">
        <v>118</v>
      </c>
      <c r="O139" s="33">
        <f>I139*0.21</f>
        <v>0</v>
      </c>
      <c r="P139">
        <v>3</v>
      </c>
    </row>
    <row r="140" spans="1:16" ht="302.39999999999998" x14ac:dyDescent="0.3">
      <c r="A140" s="27" t="s">
        <v>101</v>
      </c>
      <c r="B140" s="34"/>
      <c r="E140" s="29" t="s">
        <v>3918</v>
      </c>
      <c r="J140" s="35"/>
    </row>
    <row r="141" spans="1:16" x14ac:dyDescent="0.3">
      <c r="A141" s="27" t="s">
        <v>103</v>
      </c>
      <c r="B141" s="34"/>
      <c r="E141" s="36" t="s">
        <v>3919</v>
      </c>
      <c r="J141" s="35"/>
    </row>
    <row r="142" spans="1:16" x14ac:dyDescent="0.3">
      <c r="A142" s="27" t="s">
        <v>103</v>
      </c>
      <c r="B142" s="34"/>
      <c r="E142" s="36" t="s">
        <v>3920</v>
      </c>
      <c r="J142" s="35"/>
    </row>
    <row r="143" spans="1:16" x14ac:dyDescent="0.3">
      <c r="A143" s="27" t="s">
        <v>103</v>
      </c>
      <c r="B143" s="34"/>
      <c r="E143" s="36" t="s">
        <v>3921</v>
      </c>
      <c r="J143" s="35"/>
    </row>
    <row r="144" spans="1:16" x14ac:dyDescent="0.3">
      <c r="A144" s="27" t="s">
        <v>103</v>
      </c>
      <c r="B144" s="34"/>
      <c r="E144" s="36" t="s">
        <v>3922</v>
      </c>
      <c r="J144" s="35"/>
    </row>
    <row r="145" spans="1:10" x14ac:dyDescent="0.3">
      <c r="A145" s="27" t="s">
        <v>103</v>
      </c>
      <c r="B145" s="34"/>
      <c r="E145" s="36" t="s">
        <v>3923</v>
      </c>
      <c r="J145" s="35"/>
    </row>
    <row r="146" spans="1:10" x14ac:dyDescent="0.3">
      <c r="A146" s="27" t="s">
        <v>103</v>
      </c>
      <c r="B146" s="34"/>
      <c r="E146" s="36" t="s">
        <v>3924</v>
      </c>
      <c r="J146" s="35"/>
    </row>
    <row r="147" spans="1:10" x14ac:dyDescent="0.3">
      <c r="A147" s="27" t="s">
        <v>103</v>
      </c>
      <c r="B147" s="34"/>
      <c r="E147" s="36" t="s">
        <v>3925</v>
      </c>
      <c r="J147" s="35"/>
    </row>
    <row r="148" spans="1:10" x14ac:dyDescent="0.3">
      <c r="A148" s="27" t="s">
        <v>103</v>
      </c>
      <c r="B148" s="34"/>
      <c r="E148" s="36" t="s">
        <v>3926</v>
      </c>
      <c r="J148" s="35"/>
    </row>
    <row r="149" spans="1:10" x14ac:dyDescent="0.3">
      <c r="A149" s="27" t="s">
        <v>103</v>
      </c>
      <c r="B149" s="34"/>
      <c r="E149" s="36" t="s">
        <v>3927</v>
      </c>
      <c r="J149" s="35"/>
    </row>
    <row r="150" spans="1:10" x14ac:dyDescent="0.3">
      <c r="A150" s="27" t="s">
        <v>103</v>
      </c>
      <c r="B150" s="34"/>
      <c r="E150" s="36" t="s">
        <v>3928</v>
      </c>
      <c r="J150" s="35"/>
    </row>
    <row r="151" spans="1:10" x14ac:dyDescent="0.3">
      <c r="A151" s="27" t="s">
        <v>103</v>
      </c>
      <c r="B151" s="34"/>
      <c r="E151" s="36" t="s">
        <v>3929</v>
      </c>
      <c r="J151" s="35"/>
    </row>
    <row r="152" spans="1:10" x14ac:dyDescent="0.3">
      <c r="A152" s="27" t="s">
        <v>103</v>
      </c>
      <c r="B152" s="34"/>
      <c r="E152" s="36" t="s">
        <v>3930</v>
      </c>
      <c r="J152" s="35"/>
    </row>
    <row r="153" spans="1:10" x14ac:dyDescent="0.3">
      <c r="A153" s="27" t="s">
        <v>103</v>
      </c>
      <c r="B153" s="34"/>
      <c r="E153" s="36" t="s">
        <v>3931</v>
      </c>
      <c r="J153" s="35"/>
    </row>
    <row r="154" spans="1:10" x14ac:dyDescent="0.3">
      <c r="A154" s="27" t="s">
        <v>103</v>
      </c>
      <c r="B154" s="34"/>
      <c r="E154" s="36" t="s">
        <v>3932</v>
      </c>
      <c r="J154" s="35"/>
    </row>
    <row r="155" spans="1:10" x14ac:dyDescent="0.3">
      <c r="A155" s="27" t="s">
        <v>103</v>
      </c>
      <c r="B155" s="34"/>
      <c r="E155" s="36" t="s">
        <v>3933</v>
      </c>
      <c r="J155" s="35"/>
    </row>
    <row r="156" spans="1:10" x14ac:dyDescent="0.3">
      <c r="A156" s="27" t="s">
        <v>103</v>
      </c>
      <c r="B156" s="34"/>
      <c r="E156" s="36" t="s">
        <v>3934</v>
      </c>
      <c r="J156" s="35"/>
    </row>
    <row r="157" spans="1:10" x14ac:dyDescent="0.3">
      <c r="A157" s="27" t="s">
        <v>103</v>
      </c>
      <c r="B157" s="34"/>
      <c r="E157" s="36" t="s">
        <v>3935</v>
      </c>
      <c r="J157" s="35"/>
    </row>
    <row r="158" spans="1:10" x14ac:dyDescent="0.3">
      <c r="A158" s="27" t="s">
        <v>103</v>
      </c>
      <c r="B158" s="34"/>
      <c r="E158" s="36" t="s">
        <v>3936</v>
      </c>
      <c r="J158" s="35"/>
    </row>
    <row r="159" spans="1:10" x14ac:dyDescent="0.3">
      <c r="A159" s="27" t="s">
        <v>103</v>
      </c>
      <c r="B159" s="34"/>
      <c r="E159" s="36" t="s">
        <v>3937</v>
      </c>
      <c r="J159" s="35"/>
    </row>
    <row r="160" spans="1:10" x14ac:dyDescent="0.3">
      <c r="A160" s="27" t="s">
        <v>103</v>
      </c>
      <c r="B160" s="34"/>
      <c r="E160" s="36" t="s">
        <v>3938</v>
      </c>
      <c r="J160" s="35"/>
    </row>
    <row r="161" spans="1:10" x14ac:dyDescent="0.3">
      <c r="A161" s="27" t="s">
        <v>103</v>
      </c>
      <c r="B161" s="34"/>
      <c r="E161" s="36" t="s">
        <v>3939</v>
      </c>
      <c r="J161" s="35"/>
    </row>
    <row r="162" spans="1:10" x14ac:dyDescent="0.3">
      <c r="A162" s="27" t="s">
        <v>103</v>
      </c>
      <c r="B162" s="34"/>
      <c r="E162" s="36" t="s">
        <v>3940</v>
      </c>
      <c r="J162" s="35"/>
    </row>
    <row r="163" spans="1:10" x14ac:dyDescent="0.3">
      <c r="A163" s="27" t="s">
        <v>103</v>
      </c>
      <c r="B163" s="34"/>
      <c r="E163" s="36" t="s">
        <v>3941</v>
      </c>
      <c r="J163" s="35"/>
    </row>
    <row r="164" spans="1:10" x14ac:dyDescent="0.3">
      <c r="A164" s="27" t="s">
        <v>103</v>
      </c>
      <c r="B164" s="34"/>
      <c r="E164" s="36" t="s">
        <v>3942</v>
      </c>
      <c r="J164" s="35"/>
    </row>
    <row r="165" spans="1:10" x14ac:dyDescent="0.3">
      <c r="A165" s="27" t="s">
        <v>103</v>
      </c>
      <c r="B165" s="34"/>
      <c r="E165" s="36" t="s">
        <v>3943</v>
      </c>
      <c r="J165" s="35"/>
    </row>
    <row r="166" spans="1:10" x14ac:dyDescent="0.3">
      <c r="A166" s="27" t="s">
        <v>103</v>
      </c>
      <c r="B166" s="34"/>
      <c r="E166" s="36" t="s">
        <v>3944</v>
      </c>
      <c r="J166" s="35"/>
    </row>
    <row r="167" spans="1:10" x14ac:dyDescent="0.3">
      <c r="A167" s="27" t="s">
        <v>103</v>
      </c>
      <c r="B167" s="34"/>
      <c r="E167" s="36" t="s">
        <v>3945</v>
      </c>
      <c r="J167" s="35"/>
    </row>
    <row r="168" spans="1:10" x14ac:dyDescent="0.3">
      <c r="A168" s="27" t="s">
        <v>103</v>
      </c>
      <c r="B168" s="34"/>
      <c r="E168" s="36" t="s">
        <v>3946</v>
      </c>
      <c r="J168" s="35"/>
    </row>
    <row r="169" spans="1:10" x14ac:dyDescent="0.3">
      <c r="A169" s="27" t="s">
        <v>103</v>
      </c>
      <c r="B169" s="34"/>
      <c r="E169" s="36" t="s">
        <v>3947</v>
      </c>
      <c r="J169" s="35"/>
    </row>
    <row r="170" spans="1:10" x14ac:dyDescent="0.3">
      <c r="A170" s="27" t="s">
        <v>103</v>
      </c>
      <c r="B170" s="34"/>
      <c r="E170" s="36" t="s">
        <v>3948</v>
      </c>
      <c r="J170" s="35"/>
    </row>
    <row r="171" spans="1:10" x14ac:dyDescent="0.3">
      <c r="A171" s="27" t="s">
        <v>103</v>
      </c>
      <c r="B171" s="34"/>
      <c r="E171" s="36" t="s">
        <v>3949</v>
      </c>
      <c r="J171" s="35"/>
    </row>
    <row r="172" spans="1:10" x14ac:dyDescent="0.3">
      <c r="A172" s="27" t="s">
        <v>103</v>
      </c>
      <c r="B172" s="34"/>
      <c r="E172" s="36" t="s">
        <v>3950</v>
      </c>
      <c r="J172" s="35"/>
    </row>
    <row r="173" spans="1:10" x14ac:dyDescent="0.3">
      <c r="A173" s="27" t="s">
        <v>103</v>
      </c>
      <c r="B173" s="34"/>
      <c r="E173" s="36" t="s">
        <v>3951</v>
      </c>
      <c r="J173" s="35"/>
    </row>
    <row r="174" spans="1:10" x14ac:dyDescent="0.3">
      <c r="A174" s="27" t="s">
        <v>103</v>
      </c>
      <c r="B174" s="34"/>
      <c r="E174" s="36" t="s">
        <v>3952</v>
      </c>
      <c r="J174" s="35"/>
    </row>
    <row r="175" spans="1:10" x14ac:dyDescent="0.3">
      <c r="A175" s="27" t="s">
        <v>103</v>
      </c>
      <c r="B175" s="34"/>
      <c r="E175" s="36" t="s">
        <v>3953</v>
      </c>
      <c r="J175" s="35"/>
    </row>
    <row r="176" spans="1:10" x14ac:dyDescent="0.3">
      <c r="A176" s="27" t="s">
        <v>103</v>
      </c>
      <c r="B176" s="34"/>
      <c r="E176" s="36" t="s">
        <v>3954</v>
      </c>
      <c r="J176" s="35"/>
    </row>
    <row r="177" spans="1:10" x14ac:dyDescent="0.3">
      <c r="A177" s="27" t="s">
        <v>103</v>
      </c>
      <c r="B177" s="34"/>
      <c r="E177" s="36" t="s">
        <v>3955</v>
      </c>
      <c r="J177" s="35"/>
    </row>
    <row r="178" spans="1:10" x14ac:dyDescent="0.3">
      <c r="A178" s="27" t="s">
        <v>103</v>
      </c>
      <c r="B178" s="34"/>
      <c r="E178" s="36" t="s">
        <v>3956</v>
      </c>
      <c r="J178" s="35"/>
    </row>
    <row r="179" spans="1:10" x14ac:dyDescent="0.3">
      <c r="A179" s="27" t="s">
        <v>103</v>
      </c>
      <c r="B179" s="34"/>
      <c r="E179" s="36" t="s">
        <v>3957</v>
      </c>
      <c r="J179" s="35"/>
    </row>
    <row r="180" spans="1:10" ht="28.8" x14ac:dyDescent="0.3">
      <c r="A180" s="27" t="s">
        <v>103</v>
      </c>
      <c r="B180" s="34"/>
      <c r="E180" s="36" t="s">
        <v>3958</v>
      </c>
      <c r="J180" s="35"/>
    </row>
    <row r="181" spans="1:10" ht="28.8" x14ac:dyDescent="0.3">
      <c r="A181" s="27" t="s">
        <v>103</v>
      </c>
      <c r="B181" s="34"/>
      <c r="E181" s="36" t="s">
        <v>3959</v>
      </c>
      <c r="J181" s="35"/>
    </row>
    <row r="182" spans="1:10" x14ac:dyDescent="0.3">
      <c r="A182" s="27" t="s">
        <v>103</v>
      </c>
      <c r="B182" s="34"/>
      <c r="E182" s="36" t="s">
        <v>3960</v>
      </c>
      <c r="J182" s="35"/>
    </row>
    <row r="183" spans="1:10" x14ac:dyDescent="0.3">
      <c r="A183" s="27" t="s">
        <v>103</v>
      </c>
      <c r="B183" s="34"/>
      <c r="E183" s="36" t="s">
        <v>3961</v>
      </c>
      <c r="J183" s="35"/>
    </row>
    <row r="184" spans="1:10" x14ac:dyDescent="0.3">
      <c r="A184" s="27" t="s">
        <v>103</v>
      </c>
      <c r="B184" s="34"/>
      <c r="E184" s="36" t="s">
        <v>3962</v>
      </c>
      <c r="J184" s="35"/>
    </row>
    <row r="185" spans="1:10" x14ac:dyDescent="0.3">
      <c r="A185" s="27" t="s">
        <v>103</v>
      </c>
      <c r="B185" s="34"/>
      <c r="E185" s="36" t="s">
        <v>3963</v>
      </c>
      <c r="J185" s="35"/>
    </row>
    <row r="186" spans="1:10" x14ac:dyDescent="0.3">
      <c r="A186" s="27" t="s">
        <v>103</v>
      </c>
      <c r="B186" s="34"/>
      <c r="E186" s="36" t="s">
        <v>3964</v>
      </c>
      <c r="J186" s="35"/>
    </row>
    <row r="187" spans="1:10" x14ac:dyDescent="0.3">
      <c r="A187" s="27" t="s">
        <v>103</v>
      </c>
      <c r="B187" s="34"/>
      <c r="E187" s="36" t="s">
        <v>3965</v>
      </c>
      <c r="J187" s="35"/>
    </row>
    <row r="188" spans="1:10" x14ac:dyDescent="0.3">
      <c r="A188" s="27" t="s">
        <v>103</v>
      </c>
      <c r="B188" s="34"/>
      <c r="E188" s="36" t="s">
        <v>3966</v>
      </c>
      <c r="J188" s="35"/>
    </row>
    <row r="189" spans="1:10" x14ac:dyDescent="0.3">
      <c r="A189" s="27" t="s">
        <v>103</v>
      </c>
      <c r="B189" s="34"/>
      <c r="E189" s="36" t="s">
        <v>3967</v>
      </c>
      <c r="J189" s="35"/>
    </row>
    <row r="190" spans="1:10" x14ac:dyDescent="0.3">
      <c r="A190" s="27" t="s">
        <v>103</v>
      </c>
      <c r="B190" s="34"/>
      <c r="E190" s="36" t="s">
        <v>3968</v>
      </c>
      <c r="J190" s="35"/>
    </row>
    <row r="191" spans="1:10" x14ac:dyDescent="0.3">
      <c r="A191" s="27" t="s">
        <v>103</v>
      </c>
      <c r="B191" s="34"/>
      <c r="E191" s="36" t="s">
        <v>3969</v>
      </c>
      <c r="J191" s="35"/>
    </row>
    <row r="192" spans="1:10" x14ac:dyDescent="0.3">
      <c r="A192" s="27" t="s">
        <v>103</v>
      </c>
      <c r="B192" s="34"/>
      <c r="E192" s="36" t="s">
        <v>3970</v>
      </c>
      <c r="J192" s="35"/>
    </row>
    <row r="193" spans="1:10" x14ac:dyDescent="0.3">
      <c r="A193" s="27" t="s">
        <v>103</v>
      </c>
      <c r="B193" s="34"/>
      <c r="E193" s="36" t="s">
        <v>3971</v>
      </c>
      <c r="J193" s="35"/>
    </row>
    <row r="194" spans="1:10" x14ac:dyDescent="0.3">
      <c r="A194" s="27" t="s">
        <v>103</v>
      </c>
      <c r="B194" s="34"/>
      <c r="E194" s="36" t="s">
        <v>3972</v>
      </c>
      <c r="J194" s="35"/>
    </row>
    <row r="195" spans="1:10" x14ac:dyDescent="0.3">
      <c r="A195" s="27" t="s">
        <v>103</v>
      </c>
      <c r="B195" s="34"/>
      <c r="E195" s="36" t="s">
        <v>3973</v>
      </c>
      <c r="J195" s="35"/>
    </row>
    <row r="196" spans="1:10" x14ac:dyDescent="0.3">
      <c r="A196" s="27" t="s">
        <v>103</v>
      </c>
      <c r="B196" s="34"/>
      <c r="E196" s="36" t="s">
        <v>3974</v>
      </c>
      <c r="J196" s="35"/>
    </row>
    <row r="197" spans="1:10" x14ac:dyDescent="0.3">
      <c r="A197" s="27" t="s">
        <v>103</v>
      </c>
      <c r="B197" s="34"/>
      <c r="E197" s="36" t="s">
        <v>3975</v>
      </c>
      <c r="J197" s="35"/>
    </row>
    <row r="198" spans="1:10" x14ac:dyDescent="0.3">
      <c r="A198" s="27" t="s">
        <v>103</v>
      </c>
      <c r="B198" s="34"/>
      <c r="E198" s="36" t="s">
        <v>3976</v>
      </c>
      <c r="J198" s="35"/>
    </row>
    <row r="199" spans="1:10" x14ac:dyDescent="0.3">
      <c r="A199" s="27" t="s">
        <v>103</v>
      </c>
      <c r="B199" s="34"/>
      <c r="E199" s="36" t="s">
        <v>3977</v>
      </c>
      <c r="J199" s="35"/>
    </row>
    <row r="200" spans="1:10" x14ac:dyDescent="0.3">
      <c r="A200" s="27" t="s">
        <v>103</v>
      </c>
      <c r="B200" s="34"/>
      <c r="E200" s="36" t="s">
        <v>3978</v>
      </c>
      <c r="J200" s="35"/>
    </row>
    <row r="201" spans="1:10" x14ac:dyDescent="0.3">
      <c r="A201" s="27" t="s">
        <v>103</v>
      </c>
      <c r="B201" s="34"/>
      <c r="E201" s="36" t="s">
        <v>3979</v>
      </c>
      <c r="J201" s="35"/>
    </row>
    <row r="202" spans="1:10" x14ac:dyDescent="0.3">
      <c r="A202" s="27" t="s">
        <v>103</v>
      </c>
      <c r="B202" s="34"/>
      <c r="E202" s="36" t="s">
        <v>3980</v>
      </c>
      <c r="J202" s="35"/>
    </row>
    <row r="203" spans="1:10" x14ac:dyDescent="0.3">
      <c r="A203" s="27" t="s">
        <v>103</v>
      </c>
      <c r="B203" s="34"/>
      <c r="E203" s="36" t="s">
        <v>3981</v>
      </c>
      <c r="J203" s="35"/>
    </row>
    <row r="204" spans="1:10" x14ac:dyDescent="0.3">
      <c r="A204" s="27" t="s">
        <v>103</v>
      </c>
      <c r="B204" s="34"/>
      <c r="E204" s="36" t="s">
        <v>3982</v>
      </c>
      <c r="J204" s="35"/>
    </row>
    <row r="205" spans="1:10" x14ac:dyDescent="0.3">
      <c r="A205" s="27" t="s">
        <v>103</v>
      </c>
      <c r="B205" s="34"/>
      <c r="E205" s="36" t="s">
        <v>3983</v>
      </c>
      <c r="J205" s="35"/>
    </row>
    <row r="206" spans="1:10" x14ac:dyDescent="0.3">
      <c r="A206" s="27" t="s">
        <v>103</v>
      </c>
      <c r="B206" s="34"/>
      <c r="E206" s="36" t="s">
        <v>3984</v>
      </c>
      <c r="J206" s="35"/>
    </row>
    <row r="207" spans="1:10" x14ac:dyDescent="0.3">
      <c r="A207" s="27" t="s">
        <v>103</v>
      </c>
      <c r="B207" s="34"/>
      <c r="E207" s="36" t="s">
        <v>3985</v>
      </c>
      <c r="J207" s="35"/>
    </row>
    <row r="208" spans="1:10" x14ac:dyDescent="0.3">
      <c r="A208" s="27" t="s">
        <v>103</v>
      </c>
      <c r="B208" s="34"/>
      <c r="E208" s="36" t="s">
        <v>3986</v>
      </c>
      <c r="J208" s="35"/>
    </row>
    <row r="209" spans="1:10" x14ac:dyDescent="0.3">
      <c r="A209" s="27" t="s">
        <v>103</v>
      </c>
      <c r="B209" s="34"/>
      <c r="E209" s="36" t="s">
        <v>3987</v>
      </c>
      <c r="J209" s="35"/>
    </row>
    <row r="210" spans="1:10" x14ac:dyDescent="0.3">
      <c r="A210" s="27" t="s">
        <v>103</v>
      </c>
      <c r="B210" s="34"/>
      <c r="E210" s="36" t="s">
        <v>3988</v>
      </c>
      <c r="J210" s="35"/>
    </row>
    <row r="211" spans="1:10" x14ac:dyDescent="0.3">
      <c r="A211" s="27" t="s">
        <v>103</v>
      </c>
      <c r="B211" s="34"/>
      <c r="E211" s="36" t="s">
        <v>3989</v>
      </c>
      <c r="J211" s="35"/>
    </row>
    <row r="212" spans="1:10" x14ac:dyDescent="0.3">
      <c r="A212" s="27" t="s">
        <v>103</v>
      </c>
      <c r="B212" s="34"/>
      <c r="E212" s="36" t="s">
        <v>3990</v>
      </c>
      <c r="J212" s="35"/>
    </row>
    <row r="213" spans="1:10" x14ac:dyDescent="0.3">
      <c r="A213" s="27" t="s">
        <v>103</v>
      </c>
      <c r="B213" s="34"/>
      <c r="E213" s="36" t="s">
        <v>3991</v>
      </c>
      <c r="J213" s="35"/>
    </row>
    <row r="214" spans="1:10" x14ac:dyDescent="0.3">
      <c r="A214" s="27" t="s">
        <v>103</v>
      </c>
      <c r="B214" s="34"/>
      <c r="E214" s="36" t="s">
        <v>3992</v>
      </c>
      <c r="J214" s="35"/>
    </row>
    <row r="215" spans="1:10" ht="28.8" x14ac:dyDescent="0.3">
      <c r="A215" s="27" t="s">
        <v>103</v>
      </c>
      <c r="B215" s="34"/>
      <c r="E215" s="36" t="s">
        <v>3993</v>
      </c>
      <c r="J215" s="35"/>
    </row>
    <row r="216" spans="1:10" x14ac:dyDescent="0.3">
      <c r="A216" s="27" t="s">
        <v>103</v>
      </c>
      <c r="B216" s="34"/>
      <c r="E216" s="36" t="s">
        <v>3994</v>
      </c>
      <c r="J216" s="35"/>
    </row>
    <row r="217" spans="1:10" x14ac:dyDescent="0.3">
      <c r="A217" s="27" t="s">
        <v>103</v>
      </c>
      <c r="B217" s="34"/>
      <c r="E217" s="36" t="s">
        <v>3995</v>
      </c>
      <c r="J217" s="35"/>
    </row>
    <row r="218" spans="1:10" x14ac:dyDescent="0.3">
      <c r="A218" s="27" t="s">
        <v>103</v>
      </c>
      <c r="B218" s="34"/>
      <c r="E218" s="36" t="s">
        <v>3996</v>
      </c>
      <c r="J218" s="35"/>
    </row>
    <row r="219" spans="1:10" x14ac:dyDescent="0.3">
      <c r="A219" s="27" t="s">
        <v>103</v>
      </c>
      <c r="B219" s="34"/>
      <c r="E219" s="36" t="s">
        <v>3997</v>
      </c>
      <c r="J219" s="35"/>
    </row>
    <row r="220" spans="1:10" x14ac:dyDescent="0.3">
      <c r="A220" s="27" t="s">
        <v>103</v>
      </c>
      <c r="B220" s="34"/>
      <c r="E220" s="36" t="s">
        <v>3998</v>
      </c>
      <c r="J220" s="35"/>
    </row>
    <row r="221" spans="1:10" x14ac:dyDescent="0.3">
      <c r="A221" s="27" t="s">
        <v>103</v>
      </c>
      <c r="B221" s="34"/>
      <c r="E221" s="36" t="s">
        <v>3999</v>
      </c>
      <c r="J221" s="35"/>
    </row>
    <row r="222" spans="1:10" x14ac:dyDescent="0.3">
      <c r="A222" s="27" t="s">
        <v>103</v>
      </c>
      <c r="B222" s="34"/>
      <c r="E222" s="36" t="s">
        <v>4000</v>
      </c>
      <c r="J222" s="35"/>
    </row>
    <row r="223" spans="1:10" x14ac:dyDescent="0.3">
      <c r="A223" s="27" t="s">
        <v>103</v>
      </c>
      <c r="B223" s="34"/>
      <c r="E223" s="36" t="s">
        <v>4001</v>
      </c>
      <c r="J223" s="35"/>
    </row>
    <row r="224" spans="1:10" x14ac:dyDescent="0.3">
      <c r="A224" s="27" t="s">
        <v>103</v>
      </c>
      <c r="B224" s="34"/>
      <c r="E224" s="36" t="s">
        <v>4002</v>
      </c>
      <c r="J224" s="35"/>
    </row>
    <row r="225" spans="1:16" x14ac:dyDescent="0.3">
      <c r="A225" s="27" t="s">
        <v>103</v>
      </c>
      <c r="B225" s="34"/>
      <c r="E225" s="36" t="s">
        <v>4003</v>
      </c>
      <c r="J225" s="35"/>
    </row>
    <row r="226" spans="1:16" x14ac:dyDescent="0.3">
      <c r="A226" s="27" t="s">
        <v>103</v>
      </c>
      <c r="B226" s="34"/>
      <c r="E226" s="36" t="s">
        <v>4004</v>
      </c>
      <c r="J226" s="35"/>
    </row>
    <row r="227" spans="1:16" x14ac:dyDescent="0.3">
      <c r="A227" s="27" t="s">
        <v>103</v>
      </c>
      <c r="B227" s="34"/>
      <c r="E227" s="36" t="s">
        <v>4005</v>
      </c>
      <c r="J227" s="35"/>
    </row>
    <row r="228" spans="1:16" x14ac:dyDescent="0.3">
      <c r="A228" s="27" t="s">
        <v>103</v>
      </c>
      <c r="B228" s="34"/>
      <c r="E228" s="36" t="s">
        <v>4006</v>
      </c>
      <c r="J228" s="35"/>
    </row>
    <row r="229" spans="1:16" x14ac:dyDescent="0.3">
      <c r="A229" s="27" t="s">
        <v>103</v>
      </c>
      <c r="B229" s="34"/>
      <c r="E229" s="36" t="s">
        <v>4007</v>
      </c>
      <c r="J229" s="35"/>
    </row>
    <row r="230" spans="1:16" x14ac:dyDescent="0.3">
      <c r="A230" s="27" t="s">
        <v>103</v>
      </c>
      <c r="B230" s="34"/>
      <c r="E230" s="36" t="s">
        <v>4008</v>
      </c>
      <c r="J230" s="35"/>
    </row>
    <row r="231" spans="1:16" ht="57.6" x14ac:dyDescent="0.3">
      <c r="A231" s="27" t="s">
        <v>105</v>
      </c>
      <c r="B231" s="34"/>
      <c r="E231" s="29" t="s">
        <v>4044</v>
      </c>
      <c r="J231" s="35"/>
    </row>
    <row r="232" spans="1:16" x14ac:dyDescent="0.3">
      <c r="A232" s="27" t="s">
        <v>95</v>
      </c>
      <c r="B232" s="27">
        <v>6</v>
      </c>
      <c r="C232" s="28" t="s">
        <v>4042</v>
      </c>
      <c r="D232" s="27" t="s">
        <v>266</v>
      </c>
      <c r="E232" s="29" t="s">
        <v>4043</v>
      </c>
      <c r="F232" s="30" t="s">
        <v>117</v>
      </c>
      <c r="G232" s="31">
        <v>12</v>
      </c>
      <c r="H232" s="32">
        <v>0</v>
      </c>
      <c r="I232" s="32">
        <f>ROUND(12*H232,P4)</f>
        <v>0</v>
      </c>
      <c r="J232" s="30" t="s">
        <v>118</v>
      </c>
      <c r="O232" s="33">
        <f>I232*0.21</f>
        <v>0</v>
      </c>
      <c r="P232">
        <v>3</v>
      </c>
    </row>
    <row r="233" spans="1:16" ht="302.39999999999998" x14ac:dyDescent="0.3">
      <c r="A233" s="27" t="s">
        <v>101</v>
      </c>
      <c r="B233" s="34"/>
      <c r="E233" s="29" t="s">
        <v>3918</v>
      </c>
      <c r="J233" s="35"/>
    </row>
    <row r="234" spans="1:16" x14ac:dyDescent="0.3">
      <c r="A234" s="27" t="s">
        <v>103</v>
      </c>
      <c r="B234" s="34"/>
      <c r="E234" s="36" t="s">
        <v>4010</v>
      </c>
      <c r="J234" s="35"/>
    </row>
    <row r="235" spans="1:16" x14ac:dyDescent="0.3">
      <c r="A235" s="27" t="s">
        <v>103</v>
      </c>
      <c r="B235" s="34"/>
      <c r="E235" s="36" t="s">
        <v>4011</v>
      </c>
      <c r="J235" s="35"/>
    </row>
    <row r="236" spans="1:16" x14ac:dyDescent="0.3">
      <c r="A236" s="27" t="s">
        <v>103</v>
      </c>
      <c r="B236" s="34"/>
      <c r="E236" s="36" t="s">
        <v>4012</v>
      </c>
      <c r="J236" s="35"/>
    </row>
    <row r="237" spans="1:16" x14ac:dyDescent="0.3">
      <c r="A237" s="27" t="s">
        <v>103</v>
      </c>
      <c r="B237" s="34"/>
      <c r="E237" s="36" t="s">
        <v>4013</v>
      </c>
      <c r="J237" s="35"/>
    </row>
    <row r="238" spans="1:16" ht="28.8" x14ac:dyDescent="0.3">
      <c r="A238" s="27" t="s">
        <v>103</v>
      </c>
      <c r="B238" s="34"/>
      <c r="E238" s="36" t="s">
        <v>4014</v>
      </c>
      <c r="J238" s="35"/>
    </row>
    <row r="239" spans="1:16" x14ac:dyDescent="0.3">
      <c r="A239" s="27" t="s">
        <v>103</v>
      </c>
      <c r="B239" s="34"/>
      <c r="E239" s="36" t="s">
        <v>4015</v>
      </c>
      <c r="J239" s="35"/>
    </row>
    <row r="240" spans="1:16" x14ac:dyDescent="0.3">
      <c r="A240" s="27" t="s">
        <v>103</v>
      </c>
      <c r="B240" s="34"/>
      <c r="E240" s="36" t="s">
        <v>4016</v>
      </c>
      <c r="J240" s="35"/>
    </row>
    <row r="241" spans="1:16" ht="28.8" x14ac:dyDescent="0.3">
      <c r="A241" s="27" t="s">
        <v>103</v>
      </c>
      <c r="B241" s="34"/>
      <c r="E241" s="36" t="s">
        <v>4017</v>
      </c>
      <c r="J241" s="35"/>
    </row>
    <row r="242" spans="1:16" x14ac:dyDescent="0.3">
      <c r="A242" s="27" t="s">
        <v>103</v>
      </c>
      <c r="B242" s="34"/>
      <c r="E242" s="36" t="s">
        <v>4018</v>
      </c>
      <c r="J242" s="35"/>
    </row>
    <row r="243" spans="1:16" ht="28.8" x14ac:dyDescent="0.3">
      <c r="A243" s="27" t="s">
        <v>103</v>
      </c>
      <c r="B243" s="34"/>
      <c r="E243" s="36" t="s">
        <v>4019</v>
      </c>
      <c r="J243" s="35"/>
    </row>
    <row r="244" spans="1:16" x14ac:dyDescent="0.3">
      <c r="A244" s="27" t="s">
        <v>103</v>
      </c>
      <c r="B244" s="34"/>
      <c r="E244" s="36" t="s">
        <v>4020</v>
      </c>
      <c r="J244" s="35"/>
    </row>
    <row r="245" spans="1:16" x14ac:dyDescent="0.3">
      <c r="A245" s="27" t="s">
        <v>103</v>
      </c>
      <c r="B245" s="34"/>
      <c r="E245" s="36" t="s">
        <v>4021</v>
      </c>
      <c r="J245" s="35"/>
    </row>
    <row r="246" spans="1:16" x14ac:dyDescent="0.3">
      <c r="A246" s="27" t="s">
        <v>103</v>
      </c>
      <c r="B246" s="34"/>
      <c r="E246" s="36" t="s">
        <v>4022</v>
      </c>
      <c r="J246" s="35"/>
    </row>
    <row r="247" spans="1:16" ht="57.6" x14ac:dyDescent="0.3">
      <c r="A247" s="27" t="s">
        <v>105</v>
      </c>
      <c r="B247" s="34"/>
      <c r="E247" s="29" t="s">
        <v>4044</v>
      </c>
      <c r="J247" s="35"/>
    </row>
    <row r="248" spans="1:16" x14ac:dyDescent="0.3">
      <c r="A248" s="27" t="s">
        <v>95</v>
      </c>
      <c r="B248" s="27">
        <v>7</v>
      </c>
      <c r="C248" s="28" t="s">
        <v>4045</v>
      </c>
      <c r="D248" s="27" t="s">
        <v>129</v>
      </c>
      <c r="E248" s="29" t="s">
        <v>4046</v>
      </c>
      <c r="F248" s="30" t="s">
        <v>117</v>
      </c>
      <c r="G248" s="31">
        <v>11</v>
      </c>
      <c r="H248" s="32">
        <v>0</v>
      </c>
      <c r="I248" s="32">
        <f>ROUND(11*H248,P4)</f>
        <v>0</v>
      </c>
      <c r="J248" s="30" t="s">
        <v>118</v>
      </c>
      <c r="O248" s="33">
        <f>I248*0.21</f>
        <v>0</v>
      </c>
      <c r="P248">
        <v>3</v>
      </c>
    </row>
    <row r="249" spans="1:16" ht="288" x14ac:dyDescent="0.3">
      <c r="A249" s="27" t="s">
        <v>101</v>
      </c>
      <c r="B249" s="34"/>
      <c r="E249" s="29" t="s">
        <v>4047</v>
      </c>
      <c r="J249" s="35"/>
    </row>
    <row r="250" spans="1:16" x14ac:dyDescent="0.3">
      <c r="A250" s="27" t="s">
        <v>103</v>
      </c>
      <c r="B250" s="34"/>
      <c r="E250" s="36" t="s">
        <v>4048</v>
      </c>
      <c r="J250" s="35"/>
    </row>
    <row r="251" spans="1:16" x14ac:dyDescent="0.3">
      <c r="A251" s="27" t="s">
        <v>103</v>
      </c>
      <c r="B251" s="34"/>
      <c r="E251" s="36" t="s">
        <v>4049</v>
      </c>
      <c r="J251" s="35"/>
    </row>
    <row r="252" spans="1:16" ht="28.8" x14ac:dyDescent="0.3">
      <c r="A252" s="27" t="s">
        <v>105</v>
      </c>
      <c r="B252" s="34"/>
      <c r="E252" s="29" t="s">
        <v>4050</v>
      </c>
      <c r="J252" s="35"/>
    </row>
    <row r="253" spans="1:16" ht="28.8" x14ac:dyDescent="0.3">
      <c r="A253" s="27" t="s">
        <v>95</v>
      </c>
      <c r="B253" s="27">
        <v>8</v>
      </c>
      <c r="C253" s="28" t="s">
        <v>4051</v>
      </c>
      <c r="D253" s="27" t="s">
        <v>129</v>
      </c>
      <c r="E253" s="29" t="s">
        <v>4052</v>
      </c>
      <c r="F253" s="30" t="s">
        <v>117</v>
      </c>
      <c r="G253" s="31">
        <v>16</v>
      </c>
      <c r="H253" s="32">
        <v>0</v>
      </c>
      <c r="I253" s="32">
        <f>ROUND(16*H253,P4)</f>
        <v>0</v>
      </c>
      <c r="J253" s="30" t="s">
        <v>118</v>
      </c>
      <c r="O253" s="33">
        <f>I253*0.21</f>
        <v>0</v>
      </c>
      <c r="P253">
        <v>3</v>
      </c>
    </row>
    <row r="254" spans="1:16" ht="288" x14ac:dyDescent="0.3">
      <c r="A254" s="27" t="s">
        <v>101</v>
      </c>
      <c r="B254" s="34"/>
      <c r="E254" s="29" t="s">
        <v>4053</v>
      </c>
      <c r="J254" s="35"/>
    </row>
    <row r="255" spans="1:16" x14ac:dyDescent="0.3">
      <c r="A255" s="27" t="s">
        <v>103</v>
      </c>
      <c r="B255" s="34"/>
      <c r="E255" s="36" t="s">
        <v>4054</v>
      </c>
      <c r="J255" s="35"/>
    </row>
    <row r="256" spans="1:16" x14ac:dyDescent="0.3">
      <c r="A256" s="27" t="s">
        <v>103</v>
      </c>
      <c r="B256" s="34"/>
      <c r="E256" s="36" t="s">
        <v>4055</v>
      </c>
      <c r="J256" s="35"/>
    </row>
    <row r="257" spans="1:10" x14ac:dyDescent="0.3">
      <c r="A257" s="27" t="s">
        <v>103</v>
      </c>
      <c r="B257" s="34"/>
      <c r="E257" s="36" t="s">
        <v>4056</v>
      </c>
      <c r="J257" s="35"/>
    </row>
    <row r="258" spans="1:10" x14ac:dyDescent="0.3">
      <c r="A258" s="27" t="s">
        <v>103</v>
      </c>
      <c r="B258" s="34"/>
      <c r="E258" s="36" t="s">
        <v>4057</v>
      </c>
      <c r="J258" s="35"/>
    </row>
    <row r="259" spans="1:10" x14ac:dyDescent="0.3">
      <c r="A259" s="27" t="s">
        <v>103</v>
      </c>
      <c r="B259" s="34"/>
      <c r="E259" s="36" t="s">
        <v>4058</v>
      </c>
      <c r="J259" s="35"/>
    </row>
    <row r="260" spans="1:10" x14ac:dyDescent="0.3">
      <c r="A260" s="27" t="s">
        <v>103</v>
      </c>
      <c r="B260" s="34"/>
      <c r="E260" s="36" t="s">
        <v>4059</v>
      </c>
      <c r="J260" s="35"/>
    </row>
    <row r="261" spans="1:10" x14ac:dyDescent="0.3">
      <c r="A261" s="27" t="s">
        <v>103</v>
      </c>
      <c r="B261" s="34"/>
      <c r="E261" s="36" t="s">
        <v>4060</v>
      </c>
      <c r="J261" s="35"/>
    </row>
    <row r="262" spans="1:10" x14ac:dyDescent="0.3">
      <c r="A262" s="27" t="s">
        <v>103</v>
      </c>
      <c r="B262" s="34"/>
      <c r="E262" s="36" t="s">
        <v>4061</v>
      </c>
      <c r="J262" s="35"/>
    </row>
    <row r="263" spans="1:10" x14ac:dyDescent="0.3">
      <c r="A263" s="27" t="s">
        <v>103</v>
      </c>
      <c r="B263" s="34"/>
      <c r="E263" s="36" t="s">
        <v>4062</v>
      </c>
      <c r="J263" s="35"/>
    </row>
    <row r="264" spans="1:10" x14ac:dyDescent="0.3">
      <c r="A264" s="27" t="s">
        <v>103</v>
      </c>
      <c r="B264" s="34"/>
      <c r="E264" s="36" t="s">
        <v>4063</v>
      </c>
      <c r="J264" s="35"/>
    </row>
    <row r="265" spans="1:10" x14ac:dyDescent="0.3">
      <c r="A265" s="27" t="s">
        <v>103</v>
      </c>
      <c r="B265" s="34"/>
      <c r="E265" s="36" t="s">
        <v>4064</v>
      </c>
      <c r="J265" s="35"/>
    </row>
    <row r="266" spans="1:10" ht="28.8" x14ac:dyDescent="0.3">
      <c r="A266" s="27" t="s">
        <v>103</v>
      </c>
      <c r="B266" s="34"/>
      <c r="E266" s="36" t="s">
        <v>4065</v>
      </c>
      <c r="J266" s="35"/>
    </row>
    <row r="267" spans="1:10" ht="28.8" x14ac:dyDescent="0.3">
      <c r="A267" s="27" t="s">
        <v>103</v>
      </c>
      <c r="B267" s="34"/>
      <c r="E267" s="36" t="s">
        <v>4066</v>
      </c>
      <c r="J267" s="35"/>
    </row>
    <row r="268" spans="1:10" x14ac:dyDescent="0.3">
      <c r="A268" s="27" t="s">
        <v>103</v>
      </c>
      <c r="B268" s="34"/>
      <c r="E268" s="36" t="s">
        <v>4067</v>
      </c>
      <c r="J268" s="35"/>
    </row>
    <row r="269" spans="1:10" x14ac:dyDescent="0.3">
      <c r="A269" s="27" t="s">
        <v>103</v>
      </c>
      <c r="B269" s="34"/>
      <c r="E269" s="36" t="s">
        <v>4068</v>
      </c>
      <c r="J269" s="35"/>
    </row>
    <row r="270" spans="1:10" x14ac:dyDescent="0.3">
      <c r="A270" s="27" t="s">
        <v>103</v>
      </c>
      <c r="B270" s="34"/>
      <c r="E270" s="36" t="s">
        <v>4069</v>
      </c>
      <c r="J270" s="35"/>
    </row>
    <row r="271" spans="1:10" x14ac:dyDescent="0.3">
      <c r="A271" s="27" t="s">
        <v>103</v>
      </c>
      <c r="B271" s="34"/>
      <c r="E271" s="36" t="s">
        <v>4070</v>
      </c>
      <c r="J271" s="35"/>
    </row>
    <row r="272" spans="1:10" ht="28.8" x14ac:dyDescent="0.3">
      <c r="A272" s="27" t="s">
        <v>105</v>
      </c>
      <c r="B272" s="34"/>
      <c r="E272" s="29" t="s">
        <v>3859</v>
      </c>
      <c r="J272" s="35"/>
    </row>
    <row r="273" spans="1:16" ht="28.8" x14ac:dyDescent="0.3">
      <c r="A273" s="27" t="s">
        <v>95</v>
      </c>
      <c r="B273" s="27">
        <v>9</v>
      </c>
      <c r="C273" s="28" t="s">
        <v>4071</v>
      </c>
      <c r="D273" s="27" t="s">
        <v>129</v>
      </c>
      <c r="E273" s="29" t="s">
        <v>4072</v>
      </c>
      <c r="F273" s="30" t="s">
        <v>117</v>
      </c>
      <c r="G273" s="31">
        <v>44</v>
      </c>
      <c r="H273" s="32">
        <v>0</v>
      </c>
      <c r="I273" s="32">
        <f>ROUND(44*H273,P4)</f>
        <v>0</v>
      </c>
      <c r="J273" s="30" t="s">
        <v>118</v>
      </c>
      <c r="O273" s="33">
        <f>I273*0.21</f>
        <v>0</v>
      </c>
      <c r="P273">
        <v>3</v>
      </c>
    </row>
    <row r="274" spans="1:16" ht="409.6" x14ac:dyDescent="0.3">
      <c r="A274" s="27" t="s">
        <v>101</v>
      </c>
      <c r="B274" s="34"/>
      <c r="E274" s="29" t="s">
        <v>4073</v>
      </c>
      <c r="J274" s="35"/>
    </row>
    <row r="275" spans="1:16" ht="28.8" x14ac:dyDescent="0.3">
      <c r="A275" s="27" t="s">
        <v>103</v>
      </c>
      <c r="B275" s="34"/>
      <c r="E275" s="36" t="s">
        <v>4074</v>
      </c>
      <c r="J275" s="35"/>
    </row>
    <row r="276" spans="1:16" ht="28.8" x14ac:dyDescent="0.3">
      <c r="A276" s="27" t="s">
        <v>103</v>
      </c>
      <c r="B276" s="34"/>
      <c r="E276" s="36" t="s">
        <v>4075</v>
      </c>
      <c r="J276" s="35"/>
    </row>
    <row r="277" spans="1:16" ht="28.8" x14ac:dyDescent="0.3">
      <c r="A277" s="27" t="s">
        <v>103</v>
      </c>
      <c r="B277" s="34"/>
      <c r="E277" s="36" t="s">
        <v>4076</v>
      </c>
      <c r="J277" s="35"/>
    </row>
    <row r="278" spans="1:16" ht="28.8" x14ac:dyDescent="0.3">
      <c r="A278" s="27" t="s">
        <v>103</v>
      </c>
      <c r="B278" s="34"/>
      <c r="E278" s="36" t="s">
        <v>4077</v>
      </c>
      <c r="J278" s="35"/>
    </row>
    <row r="279" spans="1:16" ht="28.8" x14ac:dyDescent="0.3">
      <c r="A279" s="27" t="s">
        <v>103</v>
      </c>
      <c r="B279" s="34"/>
      <c r="E279" s="36" t="s">
        <v>4078</v>
      </c>
      <c r="J279" s="35"/>
    </row>
    <row r="280" spans="1:16" ht="28.8" x14ac:dyDescent="0.3">
      <c r="A280" s="27" t="s">
        <v>103</v>
      </c>
      <c r="B280" s="34"/>
      <c r="E280" s="36" t="s">
        <v>4079</v>
      </c>
      <c r="J280" s="35"/>
    </row>
    <row r="281" spans="1:16" ht="28.8" x14ac:dyDescent="0.3">
      <c r="A281" s="27" t="s">
        <v>103</v>
      </c>
      <c r="B281" s="34"/>
      <c r="E281" s="36" t="s">
        <v>4080</v>
      </c>
      <c r="J281" s="35"/>
    </row>
    <row r="282" spans="1:16" ht="28.8" x14ac:dyDescent="0.3">
      <c r="A282" s="27" t="s">
        <v>103</v>
      </c>
      <c r="B282" s="34"/>
      <c r="E282" s="36" t="s">
        <v>4081</v>
      </c>
      <c r="J282" s="35"/>
    </row>
    <row r="283" spans="1:16" x14ac:dyDescent="0.3">
      <c r="A283" s="27" t="s">
        <v>103</v>
      </c>
      <c r="B283" s="34"/>
      <c r="E283" s="36" t="s">
        <v>4082</v>
      </c>
      <c r="J283" s="35"/>
    </row>
    <row r="284" spans="1:16" x14ac:dyDescent="0.3">
      <c r="A284" s="27" t="s">
        <v>103</v>
      </c>
      <c r="B284" s="34"/>
      <c r="E284" s="36" t="s">
        <v>4083</v>
      </c>
      <c r="J284" s="35"/>
    </row>
    <row r="285" spans="1:16" ht="28.8" x14ac:dyDescent="0.3">
      <c r="A285" s="27" t="s">
        <v>103</v>
      </c>
      <c r="B285" s="34"/>
      <c r="E285" s="36" t="s">
        <v>4084</v>
      </c>
      <c r="J285" s="35"/>
    </row>
    <row r="286" spans="1:16" ht="28.8" x14ac:dyDescent="0.3">
      <c r="A286" s="27" t="s">
        <v>103</v>
      </c>
      <c r="B286" s="34"/>
      <c r="E286" s="36" t="s">
        <v>4085</v>
      </c>
      <c r="J286" s="35"/>
    </row>
    <row r="287" spans="1:16" x14ac:dyDescent="0.3">
      <c r="A287" s="27" t="s">
        <v>103</v>
      </c>
      <c r="B287" s="34"/>
      <c r="E287" s="36" t="s">
        <v>4086</v>
      </c>
      <c r="J287" s="35"/>
    </row>
    <row r="288" spans="1:16" ht="28.8" x14ac:dyDescent="0.3">
      <c r="A288" s="27" t="s">
        <v>103</v>
      </c>
      <c r="B288" s="34"/>
      <c r="E288" s="36" t="s">
        <v>4087</v>
      </c>
      <c r="J288" s="35"/>
    </row>
    <row r="289" spans="1:10" ht="28.8" x14ac:dyDescent="0.3">
      <c r="A289" s="27" t="s">
        <v>103</v>
      </c>
      <c r="B289" s="34"/>
      <c r="E289" s="36" t="s">
        <v>4088</v>
      </c>
      <c r="J289" s="35"/>
    </row>
    <row r="290" spans="1:10" ht="28.8" x14ac:dyDescent="0.3">
      <c r="A290" s="27" t="s">
        <v>103</v>
      </c>
      <c r="B290" s="34"/>
      <c r="E290" s="36" t="s">
        <v>4089</v>
      </c>
      <c r="J290" s="35"/>
    </row>
    <row r="291" spans="1:10" ht="28.8" x14ac:dyDescent="0.3">
      <c r="A291" s="27" t="s">
        <v>103</v>
      </c>
      <c r="B291" s="34"/>
      <c r="E291" s="36" t="s">
        <v>4090</v>
      </c>
      <c r="J291" s="35"/>
    </row>
    <row r="292" spans="1:10" ht="28.8" x14ac:dyDescent="0.3">
      <c r="A292" s="27" t="s">
        <v>103</v>
      </c>
      <c r="B292" s="34"/>
      <c r="E292" s="36" t="s">
        <v>4091</v>
      </c>
      <c r="J292" s="35"/>
    </row>
    <row r="293" spans="1:10" ht="28.8" x14ac:dyDescent="0.3">
      <c r="A293" s="27" t="s">
        <v>103</v>
      </c>
      <c r="B293" s="34"/>
      <c r="E293" s="36" t="s">
        <v>4092</v>
      </c>
      <c r="J293" s="35"/>
    </row>
    <row r="294" spans="1:10" ht="28.8" x14ac:dyDescent="0.3">
      <c r="A294" s="27" t="s">
        <v>103</v>
      </c>
      <c r="B294" s="34"/>
      <c r="E294" s="36" t="s">
        <v>4093</v>
      </c>
      <c r="J294" s="35"/>
    </row>
    <row r="295" spans="1:10" ht="28.8" x14ac:dyDescent="0.3">
      <c r="A295" s="27" t="s">
        <v>103</v>
      </c>
      <c r="B295" s="34"/>
      <c r="E295" s="36" t="s">
        <v>4094</v>
      </c>
      <c r="J295" s="35"/>
    </row>
    <row r="296" spans="1:10" ht="28.8" x14ac:dyDescent="0.3">
      <c r="A296" s="27" t="s">
        <v>103</v>
      </c>
      <c r="B296" s="34"/>
      <c r="E296" s="36" t="s">
        <v>4095</v>
      </c>
      <c r="J296" s="35"/>
    </row>
    <row r="297" spans="1:10" x14ac:dyDescent="0.3">
      <c r="A297" s="27" t="s">
        <v>103</v>
      </c>
      <c r="B297" s="34"/>
      <c r="E297" s="36" t="s">
        <v>4096</v>
      </c>
      <c r="J297" s="35"/>
    </row>
    <row r="298" spans="1:10" ht="28.8" x14ac:dyDescent="0.3">
      <c r="A298" s="27" t="s">
        <v>103</v>
      </c>
      <c r="B298" s="34"/>
      <c r="E298" s="36" t="s">
        <v>4097</v>
      </c>
      <c r="J298" s="35"/>
    </row>
    <row r="299" spans="1:10" ht="28.8" x14ac:dyDescent="0.3">
      <c r="A299" s="27" t="s">
        <v>103</v>
      </c>
      <c r="B299" s="34"/>
      <c r="E299" s="36" t="s">
        <v>4098</v>
      </c>
      <c r="J299" s="35"/>
    </row>
    <row r="300" spans="1:10" ht="28.8" x14ac:dyDescent="0.3">
      <c r="A300" s="27" t="s">
        <v>103</v>
      </c>
      <c r="B300" s="34"/>
      <c r="E300" s="36" t="s">
        <v>4099</v>
      </c>
      <c r="J300" s="35"/>
    </row>
    <row r="301" spans="1:10" ht="28.8" x14ac:dyDescent="0.3">
      <c r="A301" s="27" t="s">
        <v>103</v>
      </c>
      <c r="B301" s="34"/>
      <c r="E301" s="36" t="s">
        <v>4100</v>
      </c>
      <c r="J301" s="35"/>
    </row>
    <row r="302" spans="1:10" x14ac:dyDescent="0.3">
      <c r="A302" s="27" t="s">
        <v>103</v>
      </c>
      <c r="B302" s="34"/>
      <c r="E302" s="36" t="s">
        <v>4101</v>
      </c>
      <c r="J302" s="35"/>
    </row>
    <row r="303" spans="1:10" ht="28.8" x14ac:dyDescent="0.3">
      <c r="A303" s="27" t="s">
        <v>103</v>
      </c>
      <c r="B303" s="34"/>
      <c r="E303" s="36" t="s">
        <v>4102</v>
      </c>
      <c r="J303" s="35"/>
    </row>
    <row r="304" spans="1:10" ht="28.8" x14ac:dyDescent="0.3">
      <c r="A304" s="27" t="s">
        <v>103</v>
      </c>
      <c r="B304" s="34"/>
      <c r="E304" s="36" t="s">
        <v>4103</v>
      </c>
      <c r="J304" s="35"/>
    </row>
    <row r="305" spans="1:10" ht="28.8" x14ac:dyDescent="0.3">
      <c r="A305" s="27" t="s">
        <v>103</v>
      </c>
      <c r="B305" s="34"/>
      <c r="E305" s="36" t="s">
        <v>4104</v>
      </c>
      <c r="J305" s="35"/>
    </row>
    <row r="306" spans="1:10" ht="28.8" x14ac:dyDescent="0.3">
      <c r="A306" s="27" t="s">
        <v>103</v>
      </c>
      <c r="B306" s="34"/>
      <c r="E306" s="36" t="s">
        <v>4105</v>
      </c>
      <c r="J306" s="35"/>
    </row>
    <row r="307" spans="1:10" ht="28.8" x14ac:dyDescent="0.3">
      <c r="A307" s="27" t="s">
        <v>103</v>
      </c>
      <c r="B307" s="34"/>
      <c r="E307" s="36" t="s">
        <v>4106</v>
      </c>
      <c r="J307" s="35"/>
    </row>
    <row r="308" spans="1:10" ht="28.8" x14ac:dyDescent="0.3">
      <c r="A308" s="27" t="s">
        <v>103</v>
      </c>
      <c r="B308" s="34"/>
      <c r="E308" s="36" t="s">
        <v>4107</v>
      </c>
      <c r="J308" s="35"/>
    </row>
    <row r="309" spans="1:10" ht="28.8" x14ac:dyDescent="0.3">
      <c r="A309" s="27" t="s">
        <v>103</v>
      </c>
      <c r="B309" s="34"/>
      <c r="E309" s="36" t="s">
        <v>4108</v>
      </c>
      <c r="J309" s="35"/>
    </row>
    <row r="310" spans="1:10" ht="28.8" x14ac:dyDescent="0.3">
      <c r="A310" s="27" t="s">
        <v>103</v>
      </c>
      <c r="B310" s="34"/>
      <c r="E310" s="36" t="s">
        <v>4109</v>
      </c>
      <c r="J310" s="35"/>
    </row>
    <row r="311" spans="1:10" ht="28.8" x14ac:dyDescent="0.3">
      <c r="A311" s="27" t="s">
        <v>103</v>
      </c>
      <c r="B311" s="34"/>
      <c r="E311" s="36" t="s">
        <v>4110</v>
      </c>
      <c r="J311" s="35"/>
    </row>
    <row r="312" spans="1:10" ht="28.8" x14ac:dyDescent="0.3">
      <c r="A312" s="27" t="s">
        <v>103</v>
      </c>
      <c r="B312" s="34"/>
      <c r="E312" s="36" t="s">
        <v>4111</v>
      </c>
      <c r="J312" s="35"/>
    </row>
    <row r="313" spans="1:10" ht="28.8" x14ac:dyDescent="0.3">
      <c r="A313" s="27" t="s">
        <v>103</v>
      </c>
      <c r="B313" s="34"/>
      <c r="E313" s="36" t="s">
        <v>4112</v>
      </c>
      <c r="J313" s="35"/>
    </row>
    <row r="314" spans="1:10" x14ac:dyDescent="0.3">
      <c r="A314" s="27" t="s">
        <v>103</v>
      </c>
      <c r="B314" s="34"/>
      <c r="E314" s="36" t="s">
        <v>4113</v>
      </c>
      <c r="J314" s="35"/>
    </row>
    <row r="315" spans="1:10" ht="28.8" x14ac:dyDescent="0.3">
      <c r="A315" s="27" t="s">
        <v>103</v>
      </c>
      <c r="B315" s="34"/>
      <c r="E315" s="36" t="s">
        <v>4114</v>
      </c>
      <c r="J315" s="35"/>
    </row>
    <row r="316" spans="1:10" ht="28.8" x14ac:dyDescent="0.3">
      <c r="A316" s="27" t="s">
        <v>103</v>
      </c>
      <c r="B316" s="34"/>
      <c r="E316" s="36" t="s">
        <v>4115</v>
      </c>
      <c r="J316" s="35"/>
    </row>
    <row r="317" spans="1:10" ht="28.8" x14ac:dyDescent="0.3">
      <c r="A317" s="27" t="s">
        <v>103</v>
      </c>
      <c r="B317" s="34"/>
      <c r="E317" s="36" t="s">
        <v>4116</v>
      </c>
      <c r="J317" s="35"/>
    </row>
    <row r="318" spans="1:10" ht="28.8" x14ac:dyDescent="0.3">
      <c r="A318" s="27" t="s">
        <v>103</v>
      </c>
      <c r="B318" s="34"/>
      <c r="E318" s="36" t="s">
        <v>4117</v>
      </c>
      <c r="J318" s="35"/>
    </row>
    <row r="319" spans="1:10" x14ac:dyDescent="0.3">
      <c r="A319" s="27" t="s">
        <v>103</v>
      </c>
      <c r="B319" s="34"/>
      <c r="E319" s="36" t="s">
        <v>4118</v>
      </c>
      <c r="J319" s="35"/>
    </row>
    <row r="320" spans="1:10" ht="57.6" x14ac:dyDescent="0.3">
      <c r="A320" s="27" t="s">
        <v>105</v>
      </c>
      <c r="B320" s="34"/>
      <c r="E320" s="29" t="s">
        <v>4119</v>
      </c>
      <c r="J320" s="35"/>
    </row>
    <row r="321" spans="1:16" ht="28.8" x14ac:dyDescent="0.3">
      <c r="A321" s="27" t="s">
        <v>95</v>
      </c>
      <c r="B321" s="27">
        <v>10</v>
      </c>
      <c r="C321" s="28" t="s">
        <v>4120</v>
      </c>
      <c r="D321" s="27" t="s">
        <v>129</v>
      </c>
      <c r="E321" s="29" t="s">
        <v>4121</v>
      </c>
      <c r="F321" s="30" t="s">
        <v>117</v>
      </c>
      <c r="G321" s="31">
        <v>31</v>
      </c>
      <c r="H321" s="32">
        <v>0</v>
      </c>
      <c r="I321" s="32">
        <f>ROUND(31*H321,P4)</f>
        <v>0</v>
      </c>
      <c r="J321" s="30" t="s">
        <v>118</v>
      </c>
      <c r="O321" s="33">
        <f>I321*0.21</f>
        <v>0</v>
      </c>
      <c r="P321">
        <v>3</v>
      </c>
    </row>
    <row r="322" spans="1:16" ht="288" x14ac:dyDescent="0.3">
      <c r="A322" s="27" t="s">
        <v>101</v>
      </c>
      <c r="B322" s="34"/>
      <c r="E322" s="29" t="s">
        <v>4122</v>
      </c>
      <c r="J322" s="35"/>
    </row>
    <row r="323" spans="1:16" x14ac:dyDescent="0.3">
      <c r="A323" s="27" t="s">
        <v>103</v>
      </c>
      <c r="B323" s="34"/>
      <c r="E323" s="36" t="s">
        <v>4123</v>
      </c>
      <c r="J323" s="35"/>
    </row>
    <row r="324" spans="1:16" x14ac:dyDescent="0.3">
      <c r="A324" s="27" t="s">
        <v>103</v>
      </c>
      <c r="B324" s="34"/>
      <c r="E324" s="36" t="s">
        <v>4124</v>
      </c>
      <c r="J324" s="35"/>
    </row>
    <row r="325" spans="1:16" ht="28.8" x14ac:dyDescent="0.3">
      <c r="A325" s="27" t="s">
        <v>103</v>
      </c>
      <c r="B325" s="34"/>
      <c r="E325" s="36" t="s">
        <v>4125</v>
      </c>
      <c r="J325" s="35"/>
    </row>
    <row r="326" spans="1:16" x14ac:dyDescent="0.3">
      <c r="A326" s="27" t="s">
        <v>103</v>
      </c>
      <c r="B326" s="34"/>
      <c r="E326" s="36" t="s">
        <v>4126</v>
      </c>
      <c r="J326" s="35"/>
    </row>
    <row r="327" spans="1:16" x14ac:dyDescent="0.3">
      <c r="A327" s="27" t="s">
        <v>103</v>
      </c>
      <c r="B327" s="34"/>
      <c r="E327" s="36" t="s">
        <v>4127</v>
      </c>
      <c r="J327" s="35"/>
    </row>
    <row r="328" spans="1:16" x14ac:dyDescent="0.3">
      <c r="A328" s="27" t="s">
        <v>103</v>
      </c>
      <c r="B328" s="34"/>
      <c r="E328" s="36" t="s">
        <v>4128</v>
      </c>
      <c r="J328" s="35"/>
    </row>
    <row r="329" spans="1:16" x14ac:dyDescent="0.3">
      <c r="A329" s="27" t="s">
        <v>103</v>
      </c>
      <c r="B329" s="34"/>
      <c r="E329" s="36" t="s">
        <v>4129</v>
      </c>
      <c r="J329" s="35"/>
    </row>
    <row r="330" spans="1:16" x14ac:dyDescent="0.3">
      <c r="A330" s="27" t="s">
        <v>103</v>
      </c>
      <c r="B330" s="34"/>
      <c r="E330" s="36" t="s">
        <v>4130</v>
      </c>
      <c r="J330" s="35"/>
    </row>
    <row r="331" spans="1:16" x14ac:dyDescent="0.3">
      <c r="A331" s="27" t="s">
        <v>103</v>
      </c>
      <c r="B331" s="34"/>
      <c r="E331" s="36" t="s">
        <v>4131</v>
      </c>
      <c r="J331" s="35"/>
    </row>
    <row r="332" spans="1:16" x14ac:dyDescent="0.3">
      <c r="A332" s="27" t="s">
        <v>103</v>
      </c>
      <c r="B332" s="34"/>
      <c r="E332" s="36" t="s">
        <v>4132</v>
      </c>
      <c r="J332" s="35"/>
    </row>
    <row r="333" spans="1:16" x14ac:dyDescent="0.3">
      <c r="A333" s="27" t="s">
        <v>103</v>
      </c>
      <c r="B333" s="34"/>
      <c r="E333" s="36" t="s">
        <v>4133</v>
      </c>
      <c r="J333" s="35"/>
    </row>
    <row r="334" spans="1:16" x14ac:dyDescent="0.3">
      <c r="A334" s="27" t="s">
        <v>103</v>
      </c>
      <c r="B334" s="34"/>
      <c r="E334" s="36" t="s">
        <v>4134</v>
      </c>
      <c r="J334" s="35"/>
    </row>
    <row r="335" spans="1:16" x14ac:dyDescent="0.3">
      <c r="A335" s="27" t="s">
        <v>103</v>
      </c>
      <c r="B335" s="34"/>
      <c r="E335" s="36" t="s">
        <v>4135</v>
      </c>
      <c r="J335" s="35"/>
    </row>
    <row r="336" spans="1:16" x14ac:dyDescent="0.3">
      <c r="A336" s="27" t="s">
        <v>103</v>
      </c>
      <c r="B336" s="34"/>
      <c r="E336" s="36" t="s">
        <v>4136</v>
      </c>
      <c r="J336" s="35"/>
    </row>
    <row r="337" spans="1:10" x14ac:dyDescent="0.3">
      <c r="A337" s="27" t="s">
        <v>103</v>
      </c>
      <c r="B337" s="34"/>
      <c r="E337" s="36" t="s">
        <v>4137</v>
      </c>
      <c r="J337" s="35"/>
    </row>
    <row r="338" spans="1:10" ht="28.8" x14ac:dyDescent="0.3">
      <c r="A338" s="27" t="s">
        <v>103</v>
      </c>
      <c r="B338" s="34"/>
      <c r="E338" s="36" t="s">
        <v>4138</v>
      </c>
      <c r="J338" s="35"/>
    </row>
    <row r="339" spans="1:10" x14ac:dyDescent="0.3">
      <c r="A339" s="27" t="s">
        <v>103</v>
      </c>
      <c r="B339" s="34"/>
      <c r="E339" s="36" t="s">
        <v>4139</v>
      </c>
      <c r="J339" s="35"/>
    </row>
    <row r="340" spans="1:10" x14ac:dyDescent="0.3">
      <c r="A340" s="27" t="s">
        <v>103</v>
      </c>
      <c r="B340" s="34"/>
      <c r="E340" s="36" t="s">
        <v>4140</v>
      </c>
      <c r="J340" s="35"/>
    </row>
    <row r="341" spans="1:10" x14ac:dyDescent="0.3">
      <c r="A341" s="27" t="s">
        <v>103</v>
      </c>
      <c r="B341" s="34"/>
      <c r="E341" s="36" t="s">
        <v>4141</v>
      </c>
      <c r="J341" s="35"/>
    </row>
    <row r="342" spans="1:10" x14ac:dyDescent="0.3">
      <c r="A342" s="27" t="s">
        <v>103</v>
      </c>
      <c r="B342" s="34"/>
      <c r="E342" s="36" t="s">
        <v>4142</v>
      </c>
      <c r="J342" s="35"/>
    </row>
    <row r="343" spans="1:10" x14ac:dyDescent="0.3">
      <c r="A343" s="27" t="s">
        <v>103</v>
      </c>
      <c r="B343" s="34"/>
      <c r="E343" s="36" t="s">
        <v>4143</v>
      </c>
      <c r="J343" s="35"/>
    </row>
    <row r="344" spans="1:10" x14ac:dyDescent="0.3">
      <c r="A344" s="27" t="s">
        <v>103</v>
      </c>
      <c r="B344" s="34"/>
      <c r="E344" s="36" t="s">
        <v>4144</v>
      </c>
      <c r="J344" s="35"/>
    </row>
    <row r="345" spans="1:10" x14ac:dyDescent="0.3">
      <c r="A345" s="27" t="s">
        <v>103</v>
      </c>
      <c r="B345" s="34"/>
      <c r="E345" s="36" t="s">
        <v>4145</v>
      </c>
      <c r="J345" s="35"/>
    </row>
    <row r="346" spans="1:10" x14ac:dyDescent="0.3">
      <c r="A346" s="27" t="s">
        <v>103</v>
      </c>
      <c r="B346" s="34"/>
      <c r="E346" s="36" t="s">
        <v>4146</v>
      </c>
      <c r="J346" s="35"/>
    </row>
    <row r="347" spans="1:10" x14ac:dyDescent="0.3">
      <c r="A347" s="27" t="s">
        <v>103</v>
      </c>
      <c r="B347" s="34"/>
      <c r="E347" s="36" t="s">
        <v>4147</v>
      </c>
      <c r="J347" s="35"/>
    </row>
    <row r="348" spans="1:10" x14ac:dyDescent="0.3">
      <c r="A348" s="27" t="s">
        <v>103</v>
      </c>
      <c r="B348" s="34"/>
      <c r="E348" s="36" t="s">
        <v>4148</v>
      </c>
      <c r="J348" s="35"/>
    </row>
    <row r="349" spans="1:10" x14ac:dyDescent="0.3">
      <c r="A349" s="27" t="s">
        <v>103</v>
      </c>
      <c r="B349" s="34"/>
      <c r="E349" s="36" t="s">
        <v>4149</v>
      </c>
      <c r="J349" s="35"/>
    </row>
    <row r="350" spans="1:10" x14ac:dyDescent="0.3">
      <c r="A350" s="27" t="s">
        <v>103</v>
      </c>
      <c r="B350" s="34"/>
      <c r="E350" s="36" t="s">
        <v>4150</v>
      </c>
      <c r="J350" s="35"/>
    </row>
    <row r="351" spans="1:10" x14ac:dyDescent="0.3">
      <c r="A351" s="27" t="s">
        <v>103</v>
      </c>
      <c r="B351" s="34"/>
      <c r="E351" s="36" t="s">
        <v>4151</v>
      </c>
      <c r="J351" s="35"/>
    </row>
    <row r="352" spans="1:10" x14ac:dyDescent="0.3">
      <c r="A352" s="27" t="s">
        <v>103</v>
      </c>
      <c r="B352" s="34"/>
      <c r="E352" s="36" t="s">
        <v>4152</v>
      </c>
      <c r="J352" s="35"/>
    </row>
    <row r="353" spans="1:16" x14ac:dyDescent="0.3">
      <c r="A353" s="27" t="s">
        <v>103</v>
      </c>
      <c r="B353" s="34"/>
      <c r="E353" s="36" t="s">
        <v>4153</v>
      </c>
      <c r="J353" s="35"/>
    </row>
    <row r="354" spans="1:16" x14ac:dyDescent="0.3">
      <c r="A354" s="27" t="s">
        <v>103</v>
      </c>
      <c r="B354" s="34"/>
      <c r="E354" s="36" t="s">
        <v>4154</v>
      </c>
      <c r="J354" s="35"/>
    </row>
    <row r="355" spans="1:16" ht="86.4" x14ac:dyDescent="0.3">
      <c r="A355" s="27" t="s">
        <v>105</v>
      </c>
      <c r="B355" s="34"/>
      <c r="E355" s="29" t="s">
        <v>4155</v>
      </c>
      <c r="J355" s="35"/>
    </row>
    <row r="356" spans="1:16" x14ac:dyDescent="0.3">
      <c r="A356" s="27" t="s">
        <v>95</v>
      </c>
      <c r="B356" s="27">
        <v>11</v>
      </c>
      <c r="C356" s="28" t="s">
        <v>4156</v>
      </c>
      <c r="D356" s="27" t="s">
        <v>129</v>
      </c>
      <c r="E356" s="29" t="s">
        <v>4157</v>
      </c>
      <c r="F356" s="30" t="s">
        <v>117</v>
      </c>
      <c r="G356" s="31">
        <v>15</v>
      </c>
      <c r="H356" s="32">
        <v>0</v>
      </c>
      <c r="I356" s="32">
        <f>ROUND(15*H356,P4)</f>
        <v>0</v>
      </c>
      <c r="J356" s="30" t="s">
        <v>118</v>
      </c>
      <c r="O356" s="33">
        <f>I356*0.21</f>
        <v>0</v>
      </c>
      <c r="P356">
        <v>3</v>
      </c>
    </row>
    <row r="357" spans="1:16" ht="288" x14ac:dyDescent="0.3">
      <c r="A357" s="27" t="s">
        <v>101</v>
      </c>
      <c r="B357" s="34"/>
      <c r="E357" s="29" t="s">
        <v>4053</v>
      </c>
      <c r="J357" s="35"/>
    </row>
    <row r="358" spans="1:16" x14ac:dyDescent="0.3">
      <c r="A358" s="27" t="s">
        <v>103</v>
      </c>
      <c r="B358" s="34"/>
      <c r="E358" s="36" t="s">
        <v>4054</v>
      </c>
      <c r="J358" s="35"/>
    </row>
    <row r="359" spans="1:16" x14ac:dyDescent="0.3">
      <c r="A359" s="27" t="s">
        <v>103</v>
      </c>
      <c r="B359" s="34"/>
      <c r="E359" s="36" t="s">
        <v>4055</v>
      </c>
      <c r="J359" s="35"/>
    </row>
    <row r="360" spans="1:16" x14ac:dyDescent="0.3">
      <c r="A360" s="27" t="s">
        <v>103</v>
      </c>
      <c r="B360" s="34"/>
      <c r="E360" s="36" t="s">
        <v>4056</v>
      </c>
      <c r="J360" s="35"/>
    </row>
    <row r="361" spans="1:16" x14ac:dyDescent="0.3">
      <c r="A361" s="27" t="s">
        <v>103</v>
      </c>
      <c r="B361" s="34"/>
      <c r="E361" s="36" t="s">
        <v>4057</v>
      </c>
      <c r="J361" s="35"/>
    </row>
    <row r="362" spans="1:16" x14ac:dyDescent="0.3">
      <c r="A362" s="27" t="s">
        <v>103</v>
      </c>
      <c r="B362" s="34"/>
      <c r="E362" s="36" t="s">
        <v>4058</v>
      </c>
      <c r="J362" s="35"/>
    </row>
    <row r="363" spans="1:16" x14ac:dyDescent="0.3">
      <c r="A363" s="27" t="s">
        <v>103</v>
      </c>
      <c r="B363" s="34"/>
      <c r="E363" s="36" t="s">
        <v>4059</v>
      </c>
      <c r="J363" s="35"/>
    </row>
    <row r="364" spans="1:16" x14ac:dyDescent="0.3">
      <c r="A364" s="27" t="s">
        <v>103</v>
      </c>
      <c r="B364" s="34"/>
      <c r="E364" s="36" t="s">
        <v>4158</v>
      </c>
      <c r="J364" s="35"/>
    </row>
    <row r="365" spans="1:16" x14ac:dyDescent="0.3">
      <c r="A365" s="27" t="s">
        <v>103</v>
      </c>
      <c r="B365" s="34"/>
      <c r="E365" s="36" t="s">
        <v>4159</v>
      </c>
      <c r="J365" s="35"/>
    </row>
    <row r="366" spans="1:16" x14ac:dyDescent="0.3">
      <c r="A366" s="27" t="s">
        <v>103</v>
      </c>
      <c r="B366" s="34"/>
      <c r="E366" s="36" t="s">
        <v>4160</v>
      </c>
      <c r="J366" s="35"/>
    </row>
    <row r="367" spans="1:16" x14ac:dyDescent="0.3">
      <c r="A367" s="27" t="s">
        <v>103</v>
      </c>
      <c r="B367" s="34"/>
      <c r="E367" s="36" t="s">
        <v>4161</v>
      </c>
      <c r="J367" s="35"/>
    </row>
    <row r="368" spans="1:16" ht="28.8" x14ac:dyDescent="0.3">
      <c r="A368" s="27" t="s">
        <v>103</v>
      </c>
      <c r="B368" s="34"/>
      <c r="E368" s="36" t="s">
        <v>4162</v>
      </c>
      <c r="J368" s="35"/>
    </row>
    <row r="369" spans="1:16" ht="28.8" x14ac:dyDescent="0.3">
      <c r="A369" s="27" t="s">
        <v>103</v>
      </c>
      <c r="B369" s="34"/>
      <c r="E369" s="36" t="s">
        <v>4163</v>
      </c>
      <c r="J369" s="35"/>
    </row>
    <row r="370" spans="1:16" x14ac:dyDescent="0.3">
      <c r="A370" s="27" t="s">
        <v>103</v>
      </c>
      <c r="B370" s="34"/>
      <c r="E370" s="36" t="s">
        <v>4164</v>
      </c>
      <c r="J370" s="35"/>
    </row>
    <row r="371" spans="1:16" x14ac:dyDescent="0.3">
      <c r="A371" s="27" t="s">
        <v>103</v>
      </c>
      <c r="B371" s="34"/>
      <c r="E371" s="36" t="s">
        <v>4165</v>
      </c>
      <c r="J371" s="35"/>
    </row>
    <row r="372" spans="1:16" x14ac:dyDescent="0.3">
      <c r="A372" s="27" t="s">
        <v>103</v>
      </c>
      <c r="B372" s="34"/>
      <c r="E372" s="36" t="s">
        <v>4166</v>
      </c>
      <c r="J372" s="35"/>
    </row>
    <row r="373" spans="1:16" x14ac:dyDescent="0.3">
      <c r="A373" s="27" t="s">
        <v>103</v>
      </c>
      <c r="B373" s="34"/>
      <c r="E373" s="36" t="s">
        <v>4167</v>
      </c>
      <c r="J373" s="35"/>
    </row>
    <row r="374" spans="1:16" ht="28.8" x14ac:dyDescent="0.3">
      <c r="A374" s="27" t="s">
        <v>105</v>
      </c>
      <c r="B374" s="34"/>
      <c r="E374" s="29" t="s">
        <v>3859</v>
      </c>
      <c r="J374" s="35"/>
    </row>
    <row r="375" spans="1:16" ht="28.8" x14ac:dyDescent="0.3">
      <c r="A375" s="27" t="s">
        <v>95</v>
      </c>
      <c r="B375" s="27">
        <v>12</v>
      </c>
      <c r="C375" s="28" t="s">
        <v>4168</v>
      </c>
      <c r="D375" s="27" t="s">
        <v>129</v>
      </c>
      <c r="E375" s="29" t="s">
        <v>4169</v>
      </c>
      <c r="F375" s="30" t="s">
        <v>248</v>
      </c>
      <c r="G375" s="31">
        <v>386.94099999999997</v>
      </c>
      <c r="H375" s="32">
        <v>0</v>
      </c>
      <c r="I375" s="32">
        <f>ROUND(386.941*H375,P4)</f>
        <v>0</v>
      </c>
      <c r="J375" s="30" t="s">
        <v>118</v>
      </c>
      <c r="O375" s="33">
        <f>I375*0.21</f>
        <v>0</v>
      </c>
      <c r="P375">
        <v>3</v>
      </c>
    </row>
    <row r="376" spans="1:16" ht="316.8" x14ac:dyDescent="0.3">
      <c r="A376" s="27" t="s">
        <v>101</v>
      </c>
      <c r="B376" s="34"/>
      <c r="E376" s="29" t="s">
        <v>4170</v>
      </c>
      <c r="J376" s="35"/>
    </row>
    <row r="377" spans="1:16" ht="28.8" x14ac:dyDescent="0.3">
      <c r="A377" s="27" t="s">
        <v>103</v>
      </c>
      <c r="B377" s="34"/>
      <c r="E377" s="36" t="s">
        <v>4171</v>
      </c>
      <c r="J377" s="35"/>
    </row>
    <row r="378" spans="1:16" ht="28.8" x14ac:dyDescent="0.3">
      <c r="A378" s="27" t="s">
        <v>103</v>
      </c>
      <c r="B378" s="34"/>
      <c r="E378" s="36" t="s">
        <v>4172</v>
      </c>
      <c r="J378" s="35"/>
    </row>
    <row r="379" spans="1:16" ht="28.8" x14ac:dyDescent="0.3">
      <c r="A379" s="27" t="s">
        <v>103</v>
      </c>
      <c r="B379" s="34"/>
      <c r="E379" s="36" t="s">
        <v>4173</v>
      </c>
      <c r="J379" s="35"/>
    </row>
    <row r="380" spans="1:16" ht="28.8" x14ac:dyDescent="0.3">
      <c r="A380" s="27" t="s">
        <v>103</v>
      </c>
      <c r="B380" s="34"/>
      <c r="E380" s="36" t="s">
        <v>4174</v>
      </c>
      <c r="J380" s="35"/>
    </row>
    <row r="381" spans="1:16" ht="28.8" x14ac:dyDescent="0.3">
      <c r="A381" s="27" t="s">
        <v>103</v>
      </c>
      <c r="B381" s="34"/>
      <c r="E381" s="36" t="s">
        <v>4175</v>
      </c>
      <c r="J381" s="35"/>
    </row>
    <row r="382" spans="1:16" ht="28.8" x14ac:dyDescent="0.3">
      <c r="A382" s="27" t="s">
        <v>103</v>
      </c>
      <c r="B382" s="34"/>
      <c r="E382" s="36" t="s">
        <v>4176</v>
      </c>
      <c r="J382" s="35"/>
    </row>
    <row r="383" spans="1:16" ht="28.8" x14ac:dyDescent="0.3">
      <c r="A383" s="27" t="s">
        <v>103</v>
      </c>
      <c r="B383" s="34"/>
      <c r="E383" s="36" t="s">
        <v>4177</v>
      </c>
      <c r="J383" s="35"/>
    </row>
    <row r="384" spans="1:16" ht="28.8" x14ac:dyDescent="0.3">
      <c r="A384" s="27" t="s">
        <v>103</v>
      </c>
      <c r="B384" s="34"/>
      <c r="E384" s="36" t="s">
        <v>4178</v>
      </c>
      <c r="J384" s="35"/>
    </row>
    <row r="385" spans="1:10" ht="28.8" x14ac:dyDescent="0.3">
      <c r="A385" s="27" t="s">
        <v>103</v>
      </c>
      <c r="B385" s="34"/>
      <c r="E385" s="36" t="s">
        <v>4179</v>
      </c>
      <c r="J385" s="35"/>
    </row>
    <row r="386" spans="1:10" ht="28.8" x14ac:dyDescent="0.3">
      <c r="A386" s="27" t="s">
        <v>103</v>
      </c>
      <c r="B386" s="34"/>
      <c r="E386" s="36" t="s">
        <v>4180</v>
      </c>
      <c r="J386" s="35"/>
    </row>
    <row r="387" spans="1:10" ht="28.8" x14ac:dyDescent="0.3">
      <c r="A387" s="27" t="s">
        <v>103</v>
      </c>
      <c r="B387" s="34"/>
      <c r="E387" s="36" t="s">
        <v>4181</v>
      </c>
      <c r="J387" s="35"/>
    </row>
    <row r="388" spans="1:10" ht="28.8" x14ac:dyDescent="0.3">
      <c r="A388" s="27" t="s">
        <v>103</v>
      </c>
      <c r="B388" s="34"/>
      <c r="E388" s="36" t="s">
        <v>4182</v>
      </c>
      <c r="J388" s="35"/>
    </row>
    <row r="389" spans="1:10" ht="28.8" x14ac:dyDescent="0.3">
      <c r="A389" s="27" t="s">
        <v>103</v>
      </c>
      <c r="B389" s="34"/>
      <c r="E389" s="36" t="s">
        <v>4183</v>
      </c>
      <c r="J389" s="35"/>
    </row>
    <row r="390" spans="1:10" ht="28.8" x14ac:dyDescent="0.3">
      <c r="A390" s="27" t="s">
        <v>103</v>
      </c>
      <c r="B390" s="34"/>
      <c r="E390" s="36" t="s">
        <v>4184</v>
      </c>
      <c r="J390" s="35"/>
    </row>
    <row r="391" spans="1:10" ht="28.8" x14ac:dyDescent="0.3">
      <c r="A391" s="27" t="s">
        <v>103</v>
      </c>
      <c r="B391" s="34"/>
      <c r="E391" s="36" t="s">
        <v>4185</v>
      </c>
      <c r="J391" s="35"/>
    </row>
    <row r="392" spans="1:10" ht="28.8" x14ac:dyDescent="0.3">
      <c r="A392" s="27" t="s">
        <v>103</v>
      </c>
      <c r="B392" s="34"/>
      <c r="E392" s="36" t="s">
        <v>4186</v>
      </c>
      <c r="J392" s="35"/>
    </row>
    <row r="393" spans="1:10" ht="28.8" x14ac:dyDescent="0.3">
      <c r="A393" s="27" t="s">
        <v>103</v>
      </c>
      <c r="B393" s="34"/>
      <c r="E393" s="36" t="s">
        <v>4187</v>
      </c>
      <c r="J393" s="35"/>
    </row>
    <row r="394" spans="1:10" ht="28.8" x14ac:dyDescent="0.3">
      <c r="A394" s="27" t="s">
        <v>103</v>
      </c>
      <c r="B394" s="34"/>
      <c r="E394" s="36" t="s">
        <v>4188</v>
      </c>
      <c r="J394" s="35"/>
    </row>
    <row r="395" spans="1:10" ht="28.8" x14ac:dyDescent="0.3">
      <c r="A395" s="27" t="s">
        <v>103</v>
      </c>
      <c r="B395" s="34"/>
      <c r="E395" s="36" t="s">
        <v>4189</v>
      </c>
      <c r="J395" s="35"/>
    </row>
    <row r="396" spans="1:10" ht="28.8" x14ac:dyDescent="0.3">
      <c r="A396" s="27" t="s">
        <v>103</v>
      </c>
      <c r="B396" s="34"/>
      <c r="E396" s="36" t="s">
        <v>4190</v>
      </c>
      <c r="J396" s="35"/>
    </row>
    <row r="397" spans="1:10" ht="28.8" x14ac:dyDescent="0.3">
      <c r="A397" s="27" t="s">
        <v>103</v>
      </c>
      <c r="B397" s="34"/>
      <c r="E397" s="36" t="s">
        <v>4191</v>
      </c>
      <c r="J397" s="35"/>
    </row>
    <row r="398" spans="1:10" ht="28.8" x14ac:dyDescent="0.3">
      <c r="A398" s="27" t="s">
        <v>103</v>
      </c>
      <c r="B398" s="34"/>
      <c r="E398" s="36" t="s">
        <v>4192</v>
      </c>
      <c r="J398" s="35"/>
    </row>
    <row r="399" spans="1:10" ht="28.8" x14ac:dyDescent="0.3">
      <c r="A399" s="27" t="s">
        <v>103</v>
      </c>
      <c r="B399" s="34"/>
      <c r="E399" s="36" t="s">
        <v>4193</v>
      </c>
      <c r="J399" s="35"/>
    </row>
    <row r="400" spans="1:10" ht="28.8" x14ac:dyDescent="0.3">
      <c r="A400" s="27" t="s">
        <v>103</v>
      </c>
      <c r="B400" s="34"/>
      <c r="E400" s="36" t="s">
        <v>4194</v>
      </c>
      <c r="J400" s="35"/>
    </row>
    <row r="401" spans="1:10" ht="28.8" x14ac:dyDescent="0.3">
      <c r="A401" s="27" t="s">
        <v>103</v>
      </c>
      <c r="B401" s="34"/>
      <c r="E401" s="36" t="s">
        <v>4195</v>
      </c>
      <c r="J401" s="35"/>
    </row>
    <row r="402" spans="1:10" ht="28.8" x14ac:dyDescent="0.3">
      <c r="A402" s="27" t="s">
        <v>103</v>
      </c>
      <c r="B402" s="34"/>
      <c r="E402" s="36" t="s">
        <v>4196</v>
      </c>
      <c r="J402" s="35"/>
    </row>
    <row r="403" spans="1:10" ht="28.8" x14ac:dyDescent="0.3">
      <c r="A403" s="27" t="s">
        <v>103</v>
      </c>
      <c r="B403" s="34"/>
      <c r="E403" s="36" t="s">
        <v>4197</v>
      </c>
      <c r="J403" s="35"/>
    </row>
    <row r="404" spans="1:10" ht="28.8" x14ac:dyDescent="0.3">
      <c r="A404" s="27" t="s">
        <v>103</v>
      </c>
      <c r="B404" s="34"/>
      <c r="E404" s="36" t="s">
        <v>4198</v>
      </c>
      <c r="J404" s="35"/>
    </row>
    <row r="405" spans="1:10" ht="28.8" x14ac:dyDescent="0.3">
      <c r="A405" s="27" t="s">
        <v>103</v>
      </c>
      <c r="B405" s="34"/>
      <c r="E405" s="36" t="s">
        <v>4199</v>
      </c>
      <c r="J405" s="35"/>
    </row>
    <row r="406" spans="1:10" ht="28.8" x14ac:dyDescent="0.3">
      <c r="A406" s="27" t="s">
        <v>103</v>
      </c>
      <c r="B406" s="34"/>
      <c r="E406" s="36" t="s">
        <v>4200</v>
      </c>
      <c r="J406" s="35"/>
    </row>
    <row r="407" spans="1:10" ht="28.8" x14ac:dyDescent="0.3">
      <c r="A407" s="27" t="s">
        <v>103</v>
      </c>
      <c r="B407" s="34"/>
      <c r="E407" s="36" t="s">
        <v>4201</v>
      </c>
      <c r="J407" s="35"/>
    </row>
    <row r="408" spans="1:10" ht="28.8" x14ac:dyDescent="0.3">
      <c r="A408" s="27" t="s">
        <v>103</v>
      </c>
      <c r="B408" s="34"/>
      <c r="E408" s="36" t="s">
        <v>4202</v>
      </c>
      <c r="J408" s="35"/>
    </row>
    <row r="409" spans="1:10" ht="28.8" x14ac:dyDescent="0.3">
      <c r="A409" s="27" t="s">
        <v>103</v>
      </c>
      <c r="B409" s="34"/>
      <c r="E409" s="36" t="s">
        <v>4203</v>
      </c>
      <c r="J409" s="35"/>
    </row>
    <row r="410" spans="1:10" ht="28.8" x14ac:dyDescent="0.3">
      <c r="A410" s="27" t="s">
        <v>103</v>
      </c>
      <c r="B410" s="34"/>
      <c r="E410" s="36" t="s">
        <v>4204</v>
      </c>
      <c r="J410" s="35"/>
    </row>
    <row r="411" spans="1:10" ht="28.8" x14ac:dyDescent="0.3">
      <c r="A411" s="27" t="s">
        <v>103</v>
      </c>
      <c r="B411" s="34"/>
      <c r="E411" s="36" t="s">
        <v>4205</v>
      </c>
      <c r="J411" s="35"/>
    </row>
    <row r="412" spans="1:10" ht="28.8" x14ac:dyDescent="0.3">
      <c r="A412" s="27" t="s">
        <v>103</v>
      </c>
      <c r="B412" s="34"/>
      <c r="E412" s="36" t="s">
        <v>4206</v>
      </c>
      <c r="J412" s="35"/>
    </row>
    <row r="413" spans="1:10" ht="28.8" x14ac:dyDescent="0.3">
      <c r="A413" s="27" t="s">
        <v>103</v>
      </c>
      <c r="B413" s="34"/>
      <c r="E413" s="36" t="s">
        <v>4207</v>
      </c>
      <c r="J413" s="35"/>
    </row>
    <row r="414" spans="1:10" ht="28.8" x14ac:dyDescent="0.3">
      <c r="A414" s="27" t="s">
        <v>103</v>
      </c>
      <c r="B414" s="34"/>
      <c r="E414" s="36" t="s">
        <v>4208</v>
      </c>
      <c r="J414" s="35"/>
    </row>
    <row r="415" spans="1:10" ht="28.8" x14ac:dyDescent="0.3">
      <c r="A415" s="27" t="s">
        <v>103</v>
      </c>
      <c r="B415" s="34"/>
      <c r="E415" s="36" t="s">
        <v>4209</v>
      </c>
      <c r="J415" s="35"/>
    </row>
    <row r="416" spans="1:10" ht="28.8" x14ac:dyDescent="0.3">
      <c r="A416" s="27" t="s">
        <v>103</v>
      </c>
      <c r="B416" s="34"/>
      <c r="E416" s="36" t="s">
        <v>4210</v>
      </c>
      <c r="J416" s="35"/>
    </row>
    <row r="417" spans="1:10" ht="28.8" x14ac:dyDescent="0.3">
      <c r="A417" s="27" t="s">
        <v>103</v>
      </c>
      <c r="B417" s="34"/>
      <c r="E417" s="36" t="s">
        <v>4211</v>
      </c>
      <c r="J417" s="35"/>
    </row>
    <row r="418" spans="1:10" ht="28.8" x14ac:dyDescent="0.3">
      <c r="A418" s="27" t="s">
        <v>103</v>
      </c>
      <c r="B418" s="34"/>
      <c r="E418" s="36" t="s">
        <v>4212</v>
      </c>
      <c r="J418" s="35"/>
    </row>
    <row r="419" spans="1:10" ht="28.8" x14ac:dyDescent="0.3">
      <c r="A419" s="27" t="s">
        <v>103</v>
      </c>
      <c r="B419" s="34"/>
      <c r="E419" s="36" t="s">
        <v>4213</v>
      </c>
      <c r="J419" s="35"/>
    </row>
    <row r="420" spans="1:10" ht="28.8" x14ac:dyDescent="0.3">
      <c r="A420" s="27" t="s">
        <v>103</v>
      </c>
      <c r="B420" s="34"/>
      <c r="E420" s="36" t="s">
        <v>4214</v>
      </c>
      <c r="J420" s="35"/>
    </row>
    <row r="421" spans="1:10" ht="28.8" x14ac:dyDescent="0.3">
      <c r="A421" s="27" t="s">
        <v>103</v>
      </c>
      <c r="B421" s="34"/>
      <c r="E421" s="36" t="s">
        <v>4215</v>
      </c>
      <c r="J421" s="35"/>
    </row>
    <row r="422" spans="1:10" ht="28.8" x14ac:dyDescent="0.3">
      <c r="A422" s="27" t="s">
        <v>103</v>
      </c>
      <c r="B422" s="34"/>
      <c r="E422" s="36" t="s">
        <v>4216</v>
      </c>
      <c r="J422" s="35"/>
    </row>
    <row r="423" spans="1:10" ht="28.8" x14ac:dyDescent="0.3">
      <c r="A423" s="27" t="s">
        <v>103</v>
      </c>
      <c r="B423" s="34"/>
      <c r="E423" s="36" t="s">
        <v>4217</v>
      </c>
      <c r="J423" s="35"/>
    </row>
    <row r="424" spans="1:10" ht="28.8" x14ac:dyDescent="0.3">
      <c r="A424" s="27" t="s">
        <v>103</v>
      </c>
      <c r="B424" s="34"/>
      <c r="E424" s="36" t="s">
        <v>4218</v>
      </c>
      <c r="J424" s="35"/>
    </row>
    <row r="425" spans="1:10" ht="28.8" x14ac:dyDescent="0.3">
      <c r="A425" s="27" t="s">
        <v>103</v>
      </c>
      <c r="B425" s="34"/>
      <c r="E425" s="36" t="s">
        <v>4219</v>
      </c>
      <c r="J425" s="35"/>
    </row>
    <row r="426" spans="1:10" ht="28.8" x14ac:dyDescent="0.3">
      <c r="A426" s="27" t="s">
        <v>103</v>
      </c>
      <c r="B426" s="34"/>
      <c r="E426" s="36" t="s">
        <v>4220</v>
      </c>
      <c r="J426" s="35"/>
    </row>
    <row r="427" spans="1:10" ht="28.8" x14ac:dyDescent="0.3">
      <c r="A427" s="27" t="s">
        <v>103</v>
      </c>
      <c r="B427" s="34"/>
      <c r="E427" s="36" t="s">
        <v>4221</v>
      </c>
      <c r="J427" s="35"/>
    </row>
    <row r="428" spans="1:10" ht="28.8" x14ac:dyDescent="0.3">
      <c r="A428" s="27" t="s">
        <v>103</v>
      </c>
      <c r="B428" s="34"/>
      <c r="E428" s="36" t="s">
        <v>4222</v>
      </c>
      <c r="J428" s="35"/>
    </row>
    <row r="429" spans="1:10" ht="28.8" x14ac:dyDescent="0.3">
      <c r="A429" s="27" t="s">
        <v>103</v>
      </c>
      <c r="B429" s="34"/>
      <c r="E429" s="36" t="s">
        <v>4223</v>
      </c>
      <c r="J429" s="35"/>
    </row>
    <row r="430" spans="1:10" ht="28.8" x14ac:dyDescent="0.3">
      <c r="A430" s="27" t="s">
        <v>103</v>
      </c>
      <c r="B430" s="34"/>
      <c r="E430" s="36" t="s">
        <v>4224</v>
      </c>
      <c r="J430" s="35"/>
    </row>
    <row r="431" spans="1:10" ht="28.8" x14ac:dyDescent="0.3">
      <c r="A431" s="27" t="s">
        <v>103</v>
      </c>
      <c r="B431" s="34"/>
      <c r="E431" s="36" t="s">
        <v>4225</v>
      </c>
      <c r="J431" s="35"/>
    </row>
    <row r="432" spans="1:10" ht="28.8" x14ac:dyDescent="0.3">
      <c r="A432" s="27" t="s">
        <v>103</v>
      </c>
      <c r="B432" s="34"/>
      <c r="E432" s="36" t="s">
        <v>4226</v>
      </c>
      <c r="J432" s="35"/>
    </row>
    <row r="433" spans="1:10" ht="28.8" x14ac:dyDescent="0.3">
      <c r="A433" s="27" t="s">
        <v>103</v>
      </c>
      <c r="B433" s="34"/>
      <c r="E433" s="36" t="s">
        <v>4227</v>
      </c>
      <c r="J433" s="35"/>
    </row>
    <row r="434" spans="1:10" ht="28.8" x14ac:dyDescent="0.3">
      <c r="A434" s="27" t="s">
        <v>103</v>
      </c>
      <c r="B434" s="34"/>
      <c r="E434" s="36" t="s">
        <v>4228</v>
      </c>
      <c r="J434" s="35"/>
    </row>
    <row r="435" spans="1:10" ht="28.8" x14ac:dyDescent="0.3">
      <c r="A435" s="27" t="s">
        <v>103</v>
      </c>
      <c r="B435" s="34"/>
      <c r="E435" s="36" t="s">
        <v>4229</v>
      </c>
      <c r="J435" s="35"/>
    </row>
    <row r="436" spans="1:10" ht="28.8" x14ac:dyDescent="0.3">
      <c r="A436" s="27" t="s">
        <v>103</v>
      </c>
      <c r="B436" s="34"/>
      <c r="E436" s="36" t="s">
        <v>4230</v>
      </c>
      <c r="J436" s="35"/>
    </row>
    <row r="437" spans="1:10" ht="28.8" x14ac:dyDescent="0.3">
      <c r="A437" s="27" t="s">
        <v>103</v>
      </c>
      <c r="B437" s="34"/>
      <c r="E437" s="36" t="s">
        <v>4231</v>
      </c>
      <c r="J437" s="35"/>
    </row>
    <row r="438" spans="1:10" ht="28.8" x14ac:dyDescent="0.3">
      <c r="A438" s="27" t="s">
        <v>103</v>
      </c>
      <c r="B438" s="34"/>
      <c r="E438" s="36" t="s">
        <v>4232</v>
      </c>
      <c r="J438" s="35"/>
    </row>
    <row r="439" spans="1:10" ht="28.8" x14ac:dyDescent="0.3">
      <c r="A439" s="27" t="s">
        <v>103</v>
      </c>
      <c r="B439" s="34"/>
      <c r="E439" s="36" t="s">
        <v>4233</v>
      </c>
      <c r="J439" s="35"/>
    </row>
    <row r="440" spans="1:10" ht="28.8" x14ac:dyDescent="0.3">
      <c r="A440" s="27" t="s">
        <v>103</v>
      </c>
      <c r="B440" s="34"/>
      <c r="E440" s="36" t="s">
        <v>4234</v>
      </c>
      <c r="J440" s="35"/>
    </row>
    <row r="441" spans="1:10" ht="28.8" x14ac:dyDescent="0.3">
      <c r="A441" s="27" t="s">
        <v>103</v>
      </c>
      <c r="B441" s="34"/>
      <c r="E441" s="36" t="s">
        <v>4235</v>
      </c>
      <c r="J441" s="35"/>
    </row>
    <row r="442" spans="1:10" ht="28.8" x14ac:dyDescent="0.3">
      <c r="A442" s="27" t="s">
        <v>103</v>
      </c>
      <c r="B442" s="34"/>
      <c r="E442" s="36" t="s">
        <v>4236</v>
      </c>
      <c r="J442" s="35"/>
    </row>
    <row r="443" spans="1:10" ht="28.8" x14ac:dyDescent="0.3">
      <c r="A443" s="27" t="s">
        <v>103</v>
      </c>
      <c r="B443" s="34"/>
      <c r="E443" s="36" t="s">
        <v>4237</v>
      </c>
      <c r="J443" s="35"/>
    </row>
    <row r="444" spans="1:10" ht="28.8" x14ac:dyDescent="0.3">
      <c r="A444" s="27" t="s">
        <v>103</v>
      </c>
      <c r="B444" s="34"/>
      <c r="E444" s="36" t="s">
        <v>4238</v>
      </c>
      <c r="J444" s="35"/>
    </row>
    <row r="445" spans="1:10" ht="28.8" x14ac:dyDescent="0.3">
      <c r="A445" s="27" t="s">
        <v>103</v>
      </c>
      <c r="B445" s="34"/>
      <c r="E445" s="36" t="s">
        <v>4239</v>
      </c>
      <c r="J445" s="35"/>
    </row>
    <row r="446" spans="1:10" ht="28.8" x14ac:dyDescent="0.3">
      <c r="A446" s="27" t="s">
        <v>103</v>
      </c>
      <c r="B446" s="34"/>
      <c r="E446" s="36" t="s">
        <v>4240</v>
      </c>
      <c r="J446" s="35"/>
    </row>
    <row r="447" spans="1:10" ht="28.8" x14ac:dyDescent="0.3">
      <c r="A447" s="27" t="s">
        <v>103</v>
      </c>
      <c r="B447" s="34"/>
      <c r="E447" s="36" t="s">
        <v>4241</v>
      </c>
      <c r="J447" s="35"/>
    </row>
    <row r="448" spans="1:10" ht="28.8" x14ac:dyDescent="0.3">
      <c r="A448" s="27" t="s">
        <v>103</v>
      </c>
      <c r="B448" s="34"/>
      <c r="E448" s="36" t="s">
        <v>4242</v>
      </c>
      <c r="J448" s="35"/>
    </row>
    <row r="449" spans="1:10" ht="28.8" x14ac:dyDescent="0.3">
      <c r="A449" s="27" t="s">
        <v>103</v>
      </c>
      <c r="B449" s="34"/>
      <c r="E449" s="36" t="s">
        <v>4243</v>
      </c>
      <c r="J449" s="35"/>
    </row>
    <row r="450" spans="1:10" ht="28.8" x14ac:dyDescent="0.3">
      <c r="A450" s="27" t="s">
        <v>103</v>
      </c>
      <c r="B450" s="34"/>
      <c r="E450" s="36" t="s">
        <v>4244</v>
      </c>
      <c r="J450" s="35"/>
    </row>
    <row r="451" spans="1:10" ht="28.8" x14ac:dyDescent="0.3">
      <c r="A451" s="27" t="s">
        <v>103</v>
      </c>
      <c r="B451" s="34"/>
      <c r="E451" s="36" t="s">
        <v>4245</v>
      </c>
      <c r="J451" s="35"/>
    </row>
    <row r="452" spans="1:10" ht="28.8" x14ac:dyDescent="0.3">
      <c r="A452" s="27" t="s">
        <v>103</v>
      </c>
      <c r="B452" s="34"/>
      <c r="E452" s="36" t="s">
        <v>4246</v>
      </c>
      <c r="J452" s="35"/>
    </row>
    <row r="453" spans="1:10" ht="28.8" x14ac:dyDescent="0.3">
      <c r="A453" s="27" t="s">
        <v>103</v>
      </c>
      <c r="B453" s="34"/>
      <c r="E453" s="36" t="s">
        <v>4247</v>
      </c>
      <c r="J453" s="35"/>
    </row>
    <row r="454" spans="1:10" ht="28.8" x14ac:dyDescent="0.3">
      <c r="A454" s="27" t="s">
        <v>103</v>
      </c>
      <c r="B454" s="34"/>
      <c r="E454" s="36" t="s">
        <v>4248</v>
      </c>
      <c r="J454" s="35"/>
    </row>
    <row r="455" spans="1:10" ht="28.8" x14ac:dyDescent="0.3">
      <c r="A455" s="27" t="s">
        <v>103</v>
      </c>
      <c r="B455" s="34"/>
      <c r="E455" s="36" t="s">
        <v>4249</v>
      </c>
      <c r="J455" s="35"/>
    </row>
    <row r="456" spans="1:10" ht="28.8" x14ac:dyDescent="0.3">
      <c r="A456" s="27" t="s">
        <v>103</v>
      </c>
      <c r="B456" s="34"/>
      <c r="E456" s="36" t="s">
        <v>4250</v>
      </c>
      <c r="J456" s="35"/>
    </row>
    <row r="457" spans="1:10" ht="28.8" x14ac:dyDescent="0.3">
      <c r="A457" s="27" t="s">
        <v>103</v>
      </c>
      <c r="B457" s="34"/>
      <c r="E457" s="36" t="s">
        <v>4251</v>
      </c>
      <c r="J457" s="35"/>
    </row>
    <row r="458" spans="1:10" ht="28.8" x14ac:dyDescent="0.3">
      <c r="A458" s="27" t="s">
        <v>103</v>
      </c>
      <c r="B458" s="34"/>
      <c r="E458" s="36" t="s">
        <v>4252</v>
      </c>
      <c r="J458" s="35"/>
    </row>
    <row r="459" spans="1:10" ht="28.8" x14ac:dyDescent="0.3">
      <c r="A459" s="27" t="s">
        <v>103</v>
      </c>
      <c r="B459" s="34"/>
      <c r="E459" s="36" t="s">
        <v>4253</v>
      </c>
      <c r="J459" s="35"/>
    </row>
    <row r="460" spans="1:10" ht="28.8" x14ac:dyDescent="0.3">
      <c r="A460" s="27" t="s">
        <v>103</v>
      </c>
      <c r="B460" s="34"/>
      <c r="E460" s="36" t="s">
        <v>4254</v>
      </c>
      <c r="J460" s="35"/>
    </row>
    <row r="461" spans="1:10" ht="28.8" x14ac:dyDescent="0.3">
      <c r="A461" s="27" t="s">
        <v>103</v>
      </c>
      <c r="B461" s="34"/>
      <c r="E461" s="36" t="s">
        <v>4255</v>
      </c>
      <c r="J461" s="35"/>
    </row>
    <row r="462" spans="1:10" ht="28.8" x14ac:dyDescent="0.3">
      <c r="A462" s="27" t="s">
        <v>103</v>
      </c>
      <c r="B462" s="34"/>
      <c r="E462" s="36" t="s">
        <v>4256</v>
      </c>
      <c r="J462" s="35"/>
    </row>
    <row r="463" spans="1:10" ht="28.8" x14ac:dyDescent="0.3">
      <c r="A463" s="27" t="s">
        <v>103</v>
      </c>
      <c r="B463" s="34"/>
      <c r="E463" s="36" t="s">
        <v>4257</v>
      </c>
      <c r="J463" s="35"/>
    </row>
    <row r="464" spans="1:10" ht="28.8" x14ac:dyDescent="0.3">
      <c r="A464" s="27" t="s">
        <v>103</v>
      </c>
      <c r="B464" s="34"/>
      <c r="E464" s="36" t="s">
        <v>4258</v>
      </c>
      <c r="J464" s="35"/>
    </row>
    <row r="465" spans="1:10" ht="28.8" x14ac:dyDescent="0.3">
      <c r="A465" s="27" t="s">
        <v>103</v>
      </c>
      <c r="B465" s="34"/>
      <c r="E465" s="36" t="s">
        <v>4259</v>
      </c>
      <c r="J465" s="35"/>
    </row>
    <row r="466" spans="1:10" ht="28.8" x14ac:dyDescent="0.3">
      <c r="A466" s="27" t="s">
        <v>103</v>
      </c>
      <c r="B466" s="34"/>
      <c r="E466" s="36" t="s">
        <v>4260</v>
      </c>
      <c r="J466" s="35"/>
    </row>
    <row r="467" spans="1:10" ht="28.8" x14ac:dyDescent="0.3">
      <c r="A467" s="27" t="s">
        <v>103</v>
      </c>
      <c r="B467" s="34"/>
      <c r="E467" s="36" t="s">
        <v>4261</v>
      </c>
      <c r="J467" s="35"/>
    </row>
    <row r="468" spans="1:10" ht="28.8" x14ac:dyDescent="0.3">
      <c r="A468" s="27" t="s">
        <v>103</v>
      </c>
      <c r="B468" s="34"/>
      <c r="E468" s="36" t="s">
        <v>4262</v>
      </c>
      <c r="J468" s="35"/>
    </row>
    <row r="469" spans="1:10" ht="28.8" x14ac:dyDescent="0.3">
      <c r="A469" s="27" t="s">
        <v>103</v>
      </c>
      <c r="B469" s="34"/>
      <c r="E469" s="36" t="s">
        <v>4263</v>
      </c>
      <c r="J469" s="35"/>
    </row>
    <row r="470" spans="1:10" ht="28.8" x14ac:dyDescent="0.3">
      <c r="A470" s="27" t="s">
        <v>103</v>
      </c>
      <c r="B470" s="34"/>
      <c r="E470" s="36" t="s">
        <v>4264</v>
      </c>
      <c r="J470" s="35"/>
    </row>
    <row r="471" spans="1:10" ht="28.8" x14ac:dyDescent="0.3">
      <c r="A471" s="27" t="s">
        <v>103</v>
      </c>
      <c r="B471" s="34"/>
      <c r="E471" s="36" t="s">
        <v>4265</v>
      </c>
      <c r="J471" s="35"/>
    </row>
    <row r="472" spans="1:10" ht="28.8" x14ac:dyDescent="0.3">
      <c r="A472" s="27" t="s">
        <v>103</v>
      </c>
      <c r="B472" s="34"/>
      <c r="E472" s="36" t="s">
        <v>4266</v>
      </c>
      <c r="J472" s="35"/>
    </row>
    <row r="473" spans="1:10" ht="28.8" x14ac:dyDescent="0.3">
      <c r="A473" s="27" t="s">
        <v>103</v>
      </c>
      <c r="B473" s="34"/>
      <c r="E473" s="36" t="s">
        <v>4267</v>
      </c>
      <c r="J473" s="35"/>
    </row>
    <row r="474" spans="1:10" ht="28.8" x14ac:dyDescent="0.3">
      <c r="A474" s="27" t="s">
        <v>103</v>
      </c>
      <c r="B474" s="34"/>
      <c r="E474" s="36" t="s">
        <v>4268</v>
      </c>
      <c r="J474" s="35"/>
    </row>
    <row r="475" spans="1:10" ht="28.8" x14ac:dyDescent="0.3">
      <c r="A475" s="27" t="s">
        <v>103</v>
      </c>
      <c r="B475" s="34"/>
      <c r="E475" s="36" t="s">
        <v>4269</v>
      </c>
      <c r="J475" s="35"/>
    </row>
    <row r="476" spans="1:10" ht="28.8" x14ac:dyDescent="0.3">
      <c r="A476" s="27" t="s">
        <v>103</v>
      </c>
      <c r="B476" s="34"/>
      <c r="E476" s="36" t="s">
        <v>4270</v>
      </c>
      <c r="J476" s="35"/>
    </row>
    <row r="477" spans="1:10" ht="28.8" x14ac:dyDescent="0.3">
      <c r="A477" s="27" t="s">
        <v>103</v>
      </c>
      <c r="B477" s="34"/>
      <c r="E477" s="36" t="s">
        <v>4271</v>
      </c>
      <c r="J477" s="35"/>
    </row>
    <row r="478" spans="1:10" ht="28.8" x14ac:dyDescent="0.3">
      <c r="A478" s="27" t="s">
        <v>103</v>
      </c>
      <c r="B478" s="34"/>
      <c r="E478" s="36" t="s">
        <v>4272</v>
      </c>
      <c r="J478" s="35"/>
    </row>
    <row r="479" spans="1:10" ht="28.8" x14ac:dyDescent="0.3">
      <c r="A479" s="27" t="s">
        <v>103</v>
      </c>
      <c r="B479" s="34"/>
      <c r="E479" s="36" t="s">
        <v>4273</v>
      </c>
      <c r="J479" s="35"/>
    </row>
    <row r="480" spans="1:10" ht="28.8" x14ac:dyDescent="0.3">
      <c r="A480" s="27" t="s">
        <v>103</v>
      </c>
      <c r="B480" s="34"/>
      <c r="E480" s="36" t="s">
        <v>4274</v>
      </c>
      <c r="J480" s="35"/>
    </row>
    <row r="481" spans="1:10" ht="28.8" x14ac:dyDescent="0.3">
      <c r="A481" s="27" t="s">
        <v>103</v>
      </c>
      <c r="B481" s="34"/>
      <c r="E481" s="36" t="s">
        <v>4275</v>
      </c>
      <c r="J481" s="35"/>
    </row>
    <row r="482" spans="1:10" ht="28.8" x14ac:dyDescent="0.3">
      <c r="A482" s="27" t="s">
        <v>103</v>
      </c>
      <c r="B482" s="34"/>
      <c r="E482" s="36" t="s">
        <v>4276</v>
      </c>
      <c r="J482" s="35"/>
    </row>
    <row r="483" spans="1:10" ht="28.8" x14ac:dyDescent="0.3">
      <c r="A483" s="27" t="s">
        <v>103</v>
      </c>
      <c r="B483" s="34"/>
      <c r="E483" s="36" t="s">
        <v>4277</v>
      </c>
      <c r="J483" s="35"/>
    </row>
    <row r="484" spans="1:10" ht="28.8" x14ac:dyDescent="0.3">
      <c r="A484" s="27" t="s">
        <v>103</v>
      </c>
      <c r="B484" s="34"/>
      <c r="E484" s="36" t="s">
        <v>4278</v>
      </c>
      <c r="J484" s="35"/>
    </row>
    <row r="485" spans="1:10" ht="28.8" x14ac:dyDescent="0.3">
      <c r="A485" s="27" t="s">
        <v>103</v>
      </c>
      <c r="B485" s="34"/>
      <c r="E485" s="36" t="s">
        <v>4279</v>
      </c>
      <c r="J485" s="35"/>
    </row>
    <row r="486" spans="1:10" ht="28.8" x14ac:dyDescent="0.3">
      <c r="A486" s="27" t="s">
        <v>103</v>
      </c>
      <c r="B486" s="34"/>
      <c r="E486" s="36" t="s">
        <v>4280</v>
      </c>
      <c r="J486" s="35"/>
    </row>
    <row r="487" spans="1:10" ht="28.8" x14ac:dyDescent="0.3">
      <c r="A487" s="27" t="s">
        <v>103</v>
      </c>
      <c r="B487" s="34"/>
      <c r="E487" s="36" t="s">
        <v>4281</v>
      </c>
      <c r="J487" s="35"/>
    </row>
    <row r="488" spans="1:10" ht="28.8" x14ac:dyDescent="0.3">
      <c r="A488" s="27" t="s">
        <v>103</v>
      </c>
      <c r="B488" s="34"/>
      <c r="E488" s="36" t="s">
        <v>4282</v>
      </c>
      <c r="J488" s="35"/>
    </row>
    <row r="489" spans="1:10" ht="28.8" x14ac:dyDescent="0.3">
      <c r="A489" s="27" t="s">
        <v>103</v>
      </c>
      <c r="B489" s="34"/>
      <c r="E489" s="36" t="s">
        <v>4283</v>
      </c>
      <c r="J489" s="35"/>
    </row>
    <row r="490" spans="1:10" ht="28.8" x14ac:dyDescent="0.3">
      <c r="A490" s="27" t="s">
        <v>103</v>
      </c>
      <c r="B490" s="34"/>
      <c r="E490" s="36" t="s">
        <v>4284</v>
      </c>
      <c r="J490" s="35"/>
    </row>
    <row r="491" spans="1:10" ht="28.8" x14ac:dyDescent="0.3">
      <c r="A491" s="27" t="s">
        <v>103</v>
      </c>
      <c r="B491" s="34"/>
      <c r="E491" s="36" t="s">
        <v>4285</v>
      </c>
      <c r="J491" s="35"/>
    </row>
    <row r="492" spans="1:10" ht="28.8" x14ac:dyDescent="0.3">
      <c r="A492" s="27" t="s">
        <v>103</v>
      </c>
      <c r="B492" s="34"/>
      <c r="E492" s="36" t="s">
        <v>4286</v>
      </c>
      <c r="J492" s="35"/>
    </row>
    <row r="493" spans="1:10" ht="28.8" x14ac:dyDescent="0.3">
      <c r="A493" s="27" t="s">
        <v>103</v>
      </c>
      <c r="B493" s="34"/>
      <c r="E493" s="36" t="s">
        <v>4287</v>
      </c>
      <c r="J493" s="35"/>
    </row>
    <row r="494" spans="1:10" ht="28.8" x14ac:dyDescent="0.3">
      <c r="A494" s="27" t="s">
        <v>103</v>
      </c>
      <c r="B494" s="34"/>
      <c r="E494" s="36" t="s">
        <v>4288</v>
      </c>
      <c r="J494" s="35"/>
    </row>
    <row r="495" spans="1:10" ht="28.8" x14ac:dyDescent="0.3">
      <c r="A495" s="27" t="s">
        <v>103</v>
      </c>
      <c r="B495" s="34"/>
      <c r="E495" s="36" t="s">
        <v>4289</v>
      </c>
      <c r="J495" s="35"/>
    </row>
    <row r="496" spans="1:10" ht="28.8" x14ac:dyDescent="0.3">
      <c r="A496" s="27" t="s">
        <v>103</v>
      </c>
      <c r="B496" s="34"/>
      <c r="E496" s="36" t="s">
        <v>4290</v>
      </c>
      <c r="J496" s="35"/>
    </row>
    <row r="497" spans="1:10" ht="28.8" x14ac:dyDescent="0.3">
      <c r="A497" s="27" t="s">
        <v>103</v>
      </c>
      <c r="B497" s="34"/>
      <c r="E497" s="36" t="s">
        <v>4291</v>
      </c>
      <c r="J497" s="35"/>
    </row>
    <row r="498" spans="1:10" ht="28.8" x14ac:dyDescent="0.3">
      <c r="A498" s="27" t="s">
        <v>103</v>
      </c>
      <c r="B498" s="34"/>
      <c r="E498" s="36" t="s">
        <v>4292</v>
      </c>
      <c r="J498" s="35"/>
    </row>
    <row r="499" spans="1:10" ht="28.8" x14ac:dyDescent="0.3">
      <c r="A499" s="27" t="s">
        <v>103</v>
      </c>
      <c r="B499" s="34"/>
      <c r="E499" s="36" t="s">
        <v>4293</v>
      </c>
      <c r="J499" s="35"/>
    </row>
    <row r="500" spans="1:10" ht="28.8" x14ac:dyDescent="0.3">
      <c r="A500" s="27" t="s">
        <v>103</v>
      </c>
      <c r="B500" s="34"/>
      <c r="E500" s="36" t="s">
        <v>4294</v>
      </c>
      <c r="J500" s="35"/>
    </row>
    <row r="501" spans="1:10" ht="28.8" x14ac:dyDescent="0.3">
      <c r="A501" s="27" t="s">
        <v>103</v>
      </c>
      <c r="B501" s="34"/>
      <c r="E501" s="36" t="s">
        <v>4295</v>
      </c>
      <c r="J501" s="35"/>
    </row>
    <row r="502" spans="1:10" ht="28.8" x14ac:dyDescent="0.3">
      <c r="A502" s="27" t="s">
        <v>103</v>
      </c>
      <c r="B502" s="34"/>
      <c r="E502" s="36" t="s">
        <v>4296</v>
      </c>
      <c r="J502" s="35"/>
    </row>
    <row r="503" spans="1:10" ht="28.8" x14ac:dyDescent="0.3">
      <c r="A503" s="27" t="s">
        <v>103</v>
      </c>
      <c r="B503" s="34"/>
      <c r="E503" s="36" t="s">
        <v>4297</v>
      </c>
      <c r="J503" s="35"/>
    </row>
    <row r="504" spans="1:10" ht="28.8" x14ac:dyDescent="0.3">
      <c r="A504" s="27" t="s">
        <v>103</v>
      </c>
      <c r="B504" s="34"/>
      <c r="E504" s="36" t="s">
        <v>4298</v>
      </c>
      <c r="J504" s="35"/>
    </row>
    <row r="505" spans="1:10" ht="28.8" x14ac:dyDescent="0.3">
      <c r="A505" s="27" t="s">
        <v>103</v>
      </c>
      <c r="B505" s="34"/>
      <c r="E505" s="36" t="s">
        <v>4299</v>
      </c>
      <c r="J505" s="35"/>
    </row>
    <row r="506" spans="1:10" ht="28.8" x14ac:dyDescent="0.3">
      <c r="A506" s="27" t="s">
        <v>103</v>
      </c>
      <c r="B506" s="34"/>
      <c r="E506" s="36" t="s">
        <v>4300</v>
      </c>
      <c r="J506" s="35"/>
    </row>
    <row r="507" spans="1:10" ht="28.8" x14ac:dyDescent="0.3">
      <c r="A507" s="27" t="s">
        <v>103</v>
      </c>
      <c r="B507" s="34"/>
      <c r="E507" s="36" t="s">
        <v>4301</v>
      </c>
      <c r="J507" s="35"/>
    </row>
    <row r="508" spans="1:10" ht="28.8" x14ac:dyDescent="0.3">
      <c r="A508" s="27" t="s">
        <v>103</v>
      </c>
      <c r="B508" s="34"/>
      <c r="E508" s="36" t="s">
        <v>4302</v>
      </c>
      <c r="J508" s="35"/>
    </row>
    <row r="509" spans="1:10" ht="28.8" x14ac:dyDescent="0.3">
      <c r="A509" s="27" t="s">
        <v>103</v>
      </c>
      <c r="B509" s="34"/>
      <c r="E509" s="36" t="s">
        <v>4303</v>
      </c>
      <c r="J509" s="35"/>
    </row>
    <row r="510" spans="1:10" ht="28.8" x14ac:dyDescent="0.3">
      <c r="A510" s="27" t="s">
        <v>103</v>
      </c>
      <c r="B510" s="34"/>
      <c r="E510" s="36" t="s">
        <v>4304</v>
      </c>
      <c r="J510" s="35"/>
    </row>
    <row r="511" spans="1:10" ht="28.8" x14ac:dyDescent="0.3">
      <c r="A511" s="27" t="s">
        <v>103</v>
      </c>
      <c r="B511" s="34"/>
      <c r="E511" s="36" t="s">
        <v>4305</v>
      </c>
      <c r="J511" s="35"/>
    </row>
    <row r="512" spans="1:10" ht="28.8" x14ac:dyDescent="0.3">
      <c r="A512" s="27" t="s">
        <v>103</v>
      </c>
      <c r="B512" s="34"/>
      <c r="E512" s="36" t="s">
        <v>4306</v>
      </c>
      <c r="J512" s="35"/>
    </row>
    <row r="513" spans="1:10" ht="28.8" x14ac:dyDescent="0.3">
      <c r="A513" s="27" t="s">
        <v>103</v>
      </c>
      <c r="B513" s="34"/>
      <c r="E513" s="36" t="s">
        <v>4307</v>
      </c>
      <c r="J513" s="35"/>
    </row>
    <row r="514" spans="1:10" ht="28.8" x14ac:dyDescent="0.3">
      <c r="A514" s="27" t="s">
        <v>103</v>
      </c>
      <c r="B514" s="34"/>
      <c r="E514" s="36" t="s">
        <v>4308</v>
      </c>
      <c r="J514" s="35"/>
    </row>
    <row r="515" spans="1:10" ht="28.8" x14ac:dyDescent="0.3">
      <c r="A515" s="27" t="s">
        <v>103</v>
      </c>
      <c r="B515" s="34"/>
      <c r="E515" s="36" t="s">
        <v>4309</v>
      </c>
      <c r="J515" s="35"/>
    </row>
    <row r="516" spans="1:10" ht="28.8" x14ac:dyDescent="0.3">
      <c r="A516" s="27" t="s">
        <v>103</v>
      </c>
      <c r="B516" s="34"/>
      <c r="E516" s="36" t="s">
        <v>4310</v>
      </c>
      <c r="J516" s="35"/>
    </row>
    <row r="517" spans="1:10" ht="28.8" x14ac:dyDescent="0.3">
      <c r="A517" s="27" t="s">
        <v>103</v>
      </c>
      <c r="B517" s="34"/>
      <c r="E517" s="36" t="s">
        <v>4311</v>
      </c>
      <c r="J517" s="35"/>
    </row>
    <row r="518" spans="1:10" ht="28.8" x14ac:dyDescent="0.3">
      <c r="A518" s="27" t="s">
        <v>103</v>
      </c>
      <c r="B518" s="34"/>
      <c r="E518" s="36" t="s">
        <v>4312</v>
      </c>
      <c r="J518" s="35"/>
    </row>
    <row r="519" spans="1:10" ht="28.8" x14ac:dyDescent="0.3">
      <c r="A519" s="27" t="s">
        <v>103</v>
      </c>
      <c r="B519" s="34"/>
      <c r="E519" s="36" t="s">
        <v>4313</v>
      </c>
      <c r="J519" s="35"/>
    </row>
    <row r="520" spans="1:10" ht="28.8" x14ac:dyDescent="0.3">
      <c r="A520" s="27" t="s">
        <v>103</v>
      </c>
      <c r="B520" s="34"/>
      <c r="E520" s="36" t="s">
        <v>4314</v>
      </c>
      <c r="J520" s="35"/>
    </row>
    <row r="521" spans="1:10" ht="28.8" x14ac:dyDescent="0.3">
      <c r="A521" s="27" t="s">
        <v>103</v>
      </c>
      <c r="B521" s="34"/>
      <c r="E521" s="36" t="s">
        <v>4315</v>
      </c>
      <c r="J521" s="35"/>
    </row>
    <row r="522" spans="1:10" ht="28.8" x14ac:dyDescent="0.3">
      <c r="A522" s="27" t="s">
        <v>103</v>
      </c>
      <c r="B522" s="34"/>
      <c r="E522" s="36" t="s">
        <v>4316</v>
      </c>
      <c r="J522" s="35"/>
    </row>
    <row r="523" spans="1:10" ht="28.8" x14ac:dyDescent="0.3">
      <c r="A523" s="27" t="s">
        <v>103</v>
      </c>
      <c r="B523" s="34"/>
      <c r="E523" s="36" t="s">
        <v>4317</v>
      </c>
      <c r="J523" s="35"/>
    </row>
    <row r="524" spans="1:10" ht="28.8" x14ac:dyDescent="0.3">
      <c r="A524" s="27" t="s">
        <v>103</v>
      </c>
      <c r="B524" s="34"/>
      <c r="E524" s="36" t="s">
        <v>4318</v>
      </c>
      <c r="J524" s="35"/>
    </row>
    <row r="525" spans="1:10" ht="28.8" x14ac:dyDescent="0.3">
      <c r="A525" s="27" t="s">
        <v>103</v>
      </c>
      <c r="B525" s="34"/>
      <c r="E525" s="36" t="s">
        <v>4319</v>
      </c>
      <c r="J525" s="35"/>
    </row>
    <row r="526" spans="1:10" ht="28.8" x14ac:dyDescent="0.3">
      <c r="A526" s="27" t="s">
        <v>103</v>
      </c>
      <c r="B526" s="34"/>
      <c r="E526" s="36" t="s">
        <v>4320</v>
      </c>
      <c r="J526" s="35"/>
    </row>
    <row r="527" spans="1:10" ht="28.8" x14ac:dyDescent="0.3">
      <c r="A527" s="27" t="s">
        <v>103</v>
      </c>
      <c r="B527" s="34"/>
      <c r="E527" s="36" t="s">
        <v>4321</v>
      </c>
      <c r="J527" s="35"/>
    </row>
    <row r="528" spans="1:10" ht="28.8" x14ac:dyDescent="0.3">
      <c r="A528" s="27" t="s">
        <v>103</v>
      </c>
      <c r="B528" s="34"/>
      <c r="E528" s="36" t="s">
        <v>4322</v>
      </c>
      <c r="J528" s="35"/>
    </row>
    <row r="529" spans="1:10" ht="28.8" x14ac:dyDescent="0.3">
      <c r="A529" s="27" t="s">
        <v>103</v>
      </c>
      <c r="B529" s="34"/>
      <c r="E529" s="36" t="s">
        <v>4323</v>
      </c>
      <c r="J529" s="35"/>
    </row>
    <row r="530" spans="1:10" ht="28.8" x14ac:dyDescent="0.3">
      <c r="A530" s="27" t="s">
        <v>103</v>
      </c>
      <c r="B530" s="34"/>
      <c r="E530" s="36" t="s">
        <v>4324</v>
      </c>
      <c r="J530" s="35"/>
    </row>
    <row r="531" spans="1:10" ht="28.8" x14ac:dyDescent="0.3">
      <c r="A531" s="27" t="s">
        <v>103</v>
      </c>
      <c r="B531" s="34"/>
      <c r="E531" s="36" t="s">
        <v>4325</v>
      </c>
      <c r="J531" s="35"/>
    </row>
    <row r="532" spans="1:10" ht="28.8" x14ac:dyDescent="0.3">
      <c r="A532" s="27" t="s">
        <v>103</v>
      </c>
      <c r="B532" s="34"/>
      <c r="E532" s="36" t="s">
        <v>4326</v>
      </c>
      <c r="J532" s="35"/>
    </row>
    <row r="533" spans="1:10" ht="28.8" x14ac:dyDescent="0.3">
      <c r="A533" s="27" t="s">
        <v>103</v>
      </c>
      <c r="B533" s="34"/>
      <c r="E533" s="36" t="s">
        <v>4327</v>
      </c>
      <c r="J533" s="35"/>
    </row>
    <row r="534" spans="1:10" ht="28.8" x14ac:dyDescent="0.3">
      <c r="A534" s="27" t="s">
        <v>103</v>
      </c>
      <c r="B534" s="34"/>
      <c r="E534" s="36" t="s">
        <v>4328</v>
      </c>
      <c r="J534" s="35"/>
    </row>
    <row r="535" spans="1:10" ht="28.8" x14ac:dyDescent="0.3">
      <c r="A535" s="27" t="s">
        <v>103</v>
      </c>
      <c r="B535" s="34"/>
      <c r="E535" s="36" t="s">
        <v>4329</v>
      </c>
      <c r="J535" s="35"/>
    </row>
    <row r="536" spans="1:10" ht="28.8" x14ac:dyDescent="0.3">
      <c r="A536" s="27" t="s">
        <v>103</v>
      </c>
      <c r="B536" s="34"/>
      <c r="E536" s="36" t="s">
        <v>4330</v>
      </c>
      <c r="J536" s="35"/>
    </row>
    <row r="537" spans="1:10" ht="28.8" x14ac:dyDescent="0.3">
      <c r="A537" s="27" t="s">
        <v>103</v>
      </c>
      <c r="B537" s="34"/>
      <c r="E537" s="36" t="s">
        <v>4331</v>
      </c>
      <c r="J537" s="35"/>
    </row>
    <row r="538" spans="1:10" ht="28.8" x14ac:dyDescent="0.3">
      <c r="A538" s="27" t="s">
        <v>103</v>
      </c>
      <c r="B538" s="34"/>
      <c r="E538" s="36" t="s">
        <v>4332</v>
      </c>
      <c r="J538" s="35"/>
    </row>
    <row r="539" spans="1:10" ht="28.8" x14ac:dyDescent="0.3">
      <c r="A539" s="27" t="s">
        <v>103</v>
      </c>
      <c r="B539" s="34"/>
      <c r="E539" s="36" t="s">
        <v>4333</v>
      </c>
      <c r="J539" s="35"/>
    </row>
    <row r="540" spans="1:10" ht="28.8" x14ac:dyDescent="0.3">
      <c r="A540" s="27" t="s">
        <v>103</v>
      </c>
      <c r="B540" s="34"/>
      <c r="E540" s="36" t="s">
        <v>4334</v>
      </c>
      <c r="J540" s="35"/>
    </row>
    <row r="541" spans="1:10" ht="28.8" x14ac:dyDescent="0.3">
      <c r="A541" s="27" t="s">
        <v>103</v>
      </c>
      <c r="B541" s="34"/>
      <c r="E541" s="36" t="s">
        <v>4335</v>
      </c>
      <c r="J541" s="35"/>
    </row>
    <row r="542" spans="1:10" ht="28.8" x14ac:dyDescent="0.3">
      <c r="A542" s="27" t="s">
        <v>103</v>
      </c>
      <c r="B542" s="34"/>
      <c r="E542" s="36" t="s">
        <v>4336</v>
      </c>
      <c r="J542" s="35"/>
    </row>
    <row r="543" spans="1:10" ht="28.8" x14ac:dyDescent="0.3">
      <c r="A543" s="27" t="s">
        <v>103</v>
      </c>
      <c r="B543" s="34"/>
      <c r="E543" s="36" t="s">
        <v>4337</v>
      </c>
      <c r="J543" s="35"/>
    </row>
    <row r="544" spans="1:10" ht="28.8" x14ac:dyDescent="0.3">
      <c r="A544" s="27" t="s">
        <v>103</v>
      </c>
      <c r="B544" s="34"/>
      <c r="E544" s="36" t="s">
        <v>4338</v>
      </c>
      <c r="J544" s="35"/>
    </row>
    <row r="545" spans="1:10" ht="28.8" x14ac:dyDescent="0.3">
      <c r="A545" s="27" t="s">
        <v>103</v>
      </c>
      <c r="B545" s="34"/>
      <c r="E545" s="36" t="s">
        <v>4339</v>
      </c>
      <c r="J545" s="35"/>
    </row>
    <row r="546" spans="1:10" ht="28.8" x14ac:dyDescent="0.3">
      <c r="A546" s="27" t="s">
        <v>103</v>
      </c>
      <c r="B546" s="34"/>
      <c r="E546" s="36" t="s">
        <v>4340</v>
      </c>
      <c r="J546" s="35"/>
    </row>
    <row r="547" spans="1:10" ht="28.8" x14ac:dyDescent="0.3">
      <c r="A547" s="27" t="s">
        <v>103</v>
      </c>
      <c r="B547" s="34"/>
      <c r="E547" s="36" t="s">
        <v>4341</v>
      </c>
      <c r="J547" s="35"/>
    </row>
    <row r="548" spans="1:10" ht="28.8" x14ac:dyDescent="0.3">
      <c r="A548" s="27" t="s">
        <v>103</v>
      </c>
      <c r="B548" s="34"/>
      <c r="E548" s="36" t="s">
        <v>4342</v>
      </c>
      <c r="J548" s="35"/>
    </row>
    <row r="549" spans="1:10" ht="28.8" x14ac:dyDescent="0.3">
      <c r="A549" s="27" t="s">
        <v>103</v>
      </c>
      <c r="B549" s="34"/>
      <c r="E549" s="36" t="s">
        <v>4343</v>
      </c>
      <c r="J549" s="35"/>
    </row>
    <row r="550" spans="1:10" ht="28.8" x14ac:dyDescent="0.3">
      <c r="A550" s="27" t="s">
        <v>103</v>
      </c>
      <c r="B550" s="34"/>
      <c r="E550" s="36" t="s">
        <v>4344</v>
      </c>
      <c r="J550" s="35"/>
    </row>
    <row r="551" spans="1:10" ht="28.8" x14ac:dyDescent="0.3">
      <c r="A551" s="27" t="s">
        <v>103</v>
      </c>
      <c r="B551" s="34"/>
      <c r="E551" s="36" t="s">
        <v>4345</v>
      </c>
      <c r="J551" s="35"/>
    </row>
    <row r="552" spans="1:10" ht="28.8" x14ac:dyDescent="0.3">
      <c r="A552" s="27" t="s">
        <v>103</v>
      </c>
      <c r="B552" s="34"/>
      <c r="E552" s="36" t="s">
        <v>4346</v>
      </c>
      <c r="J552" s="35"/>
    </row>
    <row r="553" spans="1:10" ht="28.8" x14ac:dyDescent="0.3">
      <c r="A553" s="27" t="s">
        <v>103</v>
      </c>
      <c r="B553" s="34"/>
      <c r="E553" s="36" t="s">
        <v>4347</v>
      </c>
      <c r="J553" s="35"/>
    </row>
    <row r="554" spans="1:10" ht="28.8" x14ac:dyDescent="0.3">
      <c r="A554" s="27" t="s">
        <v>103</v>
      </c>
      <c r="B554" s="34"/>
      <c r="E554" s="36" t="s">
        <v>4348</v>
      </c>
      <c r="J554" s="35"/>
    </row>
    <row r="555" spans="1:10" ht="28.8" x14ac:dyDescent="0.3">
      <c r="A555" s="27" t="s">
        <v>103</v>
      </c>
      <c r="B555" s="34"/>
      <c r="E555" s="36" t="s">
        <v>4349</v>
      </c>
      <c r="J555" s="35"/>
    </row>
    <row r="556" spans="1:10" ht="28.8" x14ac:dyDescent="0.3">
      <c r="A556" s="27" t="s">
        <v>103</v>
      </c>
      <c r="B556" s="34"/>
      <c r="E556" s="36" t="s">
        <v>4350</v>
      </c>
      <c r="J556" s="35"/>
    </row>
    <row r="557" spans="1:10" ht="28.8" x14ac:dyDescent="0.3">
      <c r="A557" s="27" t="s">
        <v>103</v>
      </c>
      <c r="B557" s="34"/>
      <c r="E557" s="36" t="s">
        <v>4351</v>
      </c>
      <c r="J557" s="35"/>
    </row>
    <row r="558" spans="1:10" ht="28.8" x14ac:dyDescent="0.3">
      <c r="A558" s="27" t="s">
        <v>103</v>
      </c>
      <c r="B558" s="34"/>
      <c r="E558" s="36" t="s">
        <v>4352</v>
      </c>
      <c r="J558" s="35"/>
    </row>
    <row r="559" spans="1:10" ht="28.8" x14ac:dyDescent="0.3">
      <c r="A559" s="27" t="s">
        <v>103</v>
      </c>
      <c r="B559" s="34"/>
      <c r="E559" s="36" t="s">
        <v>4353</v>
      </c>
      <c r="J559" s="35"/>
    </row>
    <row r="560" spans="1:10" ht="28.8" x14ac:dyDescent="0.3">
      <c r="A560" s="27" t="s">
        <v>103</v>
      </c>
      <c r="B560" s="34"/>
      <c r="E560" s="36" t="s">
        <v>4354</v>
      </c>
      <c r="J560" s="35"/>
    </row>
    <row r="561" spans="1:10" ht="28.8" x14ac:dyDescent="0.3">
      <c r="A561" s="27" t="s">
        <v>103</v>
      </c>
      <c r="B561" s="34"/>
      <c r="E561" s="36" t="s">
        <v>4355</v>
      </c>
      <c r="J561" s="35"/>
    </row>
    <row r="562" spans="1:10" ht="28.8" x14ac:dyDescent="0.3">
      <c r="A562" s="27" t="s">
        <v>103</v>
      </c>
      <c r="B562" s="34"/>
      <c r="E562" s="36" t="s">
        <v>4356</v>
      </c>
      <c r="J562" s="35"/>
    </row>
    <row r="563" spans="1:10" ht="28.8" x14ac:dyDescent="0.3">
      <c r="A563" s="27" t="s">
        <v>103</v>
      </c>
      <c r="B563" s="34"/>
      <c r="E563" s="36" t="s">
        <v>4357</v>
      </c>
      <c r="J563" s="35"/>
    </row>
    <row r="564" spans="1:10" ht="28.8" x14ac:dyDescent="0.3">
      <c r="A564" s="27" t="s">
        <v>103</v>
      </c>
      <c r="B564" s="34"/>
      <c r="E564" s="36" t="s">
        <v>4358</v>
      </c>
      <c r="J564" s="35"/>
    </row>
    <row r="565" spans="1:10" ht="28.8" x14ac:dyDescent="0.3">
      <c r="A565" s="27" t="s">
        <v>103</v>
      </c>
      <c r="B565" s="34"/>
      <c r="E565" s="36" t="s">
        <v>4359</v>
      </c>
      <c r="J565" s="35"/>
    </row>
    <row r="566" spans="1:10" ht="28.8" x14ac:dyDescent="0.3">
      <c r="A566" s="27" t="s">
        <v>103</v>
      </c>
      <c r="B566" s="34"/>
      <c r="E566" s="36" t="s">
        <v>4360</v>
      </c>
      <c r="J566" s="35"/>
    </row>
    <row r="567" spans="1:10" ht="28.8" x14ac:dyDescent="0.3">
      <c r="A567" s="27" t="s">
        <v>103</v>
      </c>
      <c r="B567" s="34"/>
      <c r="E567" s="36" t="s">
        <v>4361</v>
      </c>
      <c r="J567" s="35"/>
    </row>
    <row r="568" spans="1:10" ht="28.8" x14ac:dyDescent="0.3">
      <c r="A568" s="27" t="s">
        <v>103</v>
      </c>
      <c r="B568" s="34"/>
      <c r="E568" s="36" t="s">
        <v>4362</v>
      </c>
      <c r="J568" s="35"/>
    </row>
    <row r="569" spans="1:10" ht="28.8" x14ac:dyDescent="0.3">
      <c r="A569" s="27" t="s">
        <v>103</v>
      </c>
      <c r="B569" s="34"/>
      <c r="E569" s="36" t="s">
        <v>4363</v>
      </c>
      <c r="J569" s="35"/>
    </row>
    <row r="570" spans="1:10" ht="28.8" x14ac:dyDescent="0.3">
      <c r="A570" s="27" t="s">
        <v>103</v>
      </c>
      <c r="B570" s="34"/>
      <c r="E570" s="36" t="s">
        <v>4364</v>
      </c>
      <c r="J570" s="35"/>
    </row>
    <row r="571" spans="1:10" ht="28.8" x14ac:dyDescent="0.3">
      <c r="A571" s="27" t="s">
        <v>103</v>
      </c>
      <c r="B571" s="34"/>
      <c r="E571" s="36" t="s">
        <v>4365</v>
      </c>
      <c r="J571" s="35"/>
    </row>
    <row r="572" spans="1:10" ht="28.8" x14ac:dyDescent="0.3">
      <c r="A572" s="27" t="s">
        <v>103</v>
      </c>
      <c r="B572" s="34"/>
      <c r="E572" s="36" t="s">
        <v>4366</v>
      </c>
      <c r="J572" s="35"/>
    </row>
    <row r="573" spans="1:10" ht="28.8" x14ac:dyDescent="0.3">
      <c r="A573" s="27" t="s">
        <v>103</v>
      </c>
      <c r="B573" s="34"/>
      <c r="E573" s="36" t="s">
        <v>4367</v>
      </c>
      <c r="J573" s="35"/>
    </row>
    <row r="574" spans="1:10" ht="28.8" x14ac:dyDescent="0.3">
      <c r="A574" s="27" t="s">
        <v>103</v>
      </c>
      <c r="B574" s="34"/>
      <c r="E574" s="36" t="s">
        <v>4368</v>
      </c>
      <c r="J574" s="35"/>
    </row>
    <row r="575" spans="1:10" ht="28.8" x14ac:dyDescent="0.3">
      <c r="A575" s="27" t="s">
        <v>103</v>
      </c>
      <c r="B575" s="34"/>
      <c r="E575" s="36" t="s">
        <v>4369</v>
      </c>
      <c r="J575" s="35"/>
    </row>
    <row r="576" spans="1:10" ht="28.8" x14ac:dyDescent="0.3">
      <c r="A576" s="27" t="s">
        <v>103</v>
      </c>
      <c r="B576" s="34"/>
      <c r="E576" s="36" t="s">
        <v>4370</v>
      </c>
      <c r="J576" s="35"/>
    </row>
    <row r="577" spans="1:10" ht="28.8" x14ac:dyDescent="0.3">
      <c r="A577" s="27" t="s">
        <v>103</v>
      </c>
      <c r="B577" s="34"/>
      <c r="E577" s="36" t="s">
        <v>4371</v>
      </c>
      <c r="J577" s="35"/>
    </row>
    <row r="578" spans="1:10" ht="28.8" x14ac:dyDescent="0.3">
      <c r="A578" s="27" t="s">
        <v>103</v>
      </c>
      <c r="B578" s="34"/>
      <c r="E578" s="36" t="s">
        <v>4372</v>
      </c>
      <c r="J578" s="35"/>
    </row>
    <row r="579" spans="1:10" ht="28.8" x14ac:dyDescent="0.3">
      <c r="A579" s="27" t="s">
        <v>103</v>
      </c>
      <c r="B579" s="34"/>
      <c r="E579" s="36" t="s">
        <v>4373</v>
      </c>
      <c r="J579" s="35"/>
    </row>
    <row r="580" spans="1:10" ht="28.8" x14ac:dyDescent="0.3">
      <c r="A580" s="27" t="s">
        <v>103</v>
      </c>
      <c r="B580" s="34"/>
      <c r="E580" s="36" t="s">
        <v>4374</v>
      </c>
      <c r="J580" s="35"/>
    </row>
    <row r="581" spans="1:10" ht="28.8" x14ac:dyDescent="0.3">
      <c r="A581" s="27" t="s">
        <v>103</v>
      </c>
      <c r="B581" s="34"/>
      <c r="E581" s="36" t="s">
        <v>4375</v>
      </c>
      <c r="J581" s="35"/>
    </row>
    <row r="582" spans="1:10" ht="28.8" x14ac:dyDescent="0.3">
      <c r="A582" s="27" t="s">
        <v>103</v>
      </c>
      <c r="B582" s="34"/>
      <c r="E582" s="36" t="s">
        <v>4376</v>
      </c>
      <c r="J582" s="35"/>
    </row>
    <row r="583" spans="1:10" ht="28.8" x14ac:dyDescent="0.3">
      <c r="A583" s="27" t="s">
        <v>103</v>
      </c>
      <c r="B583" s="34"/>
      <c r="E583" s="36" t="s">
        <v>4377</v>
      </c>
      <c r="J583" s="35"/>
    </row>
    <row r="584" spans="1:10" ht="28.8" x14ac:dyDescent="0.3">
      <c r="A584" s="27" t="s">
        <v>103</v>
      </c>
      <c r="B584" s="34"/>
      <c r="E584" s="36" t="s">
        <v>4378</v>
      </c>
      <c r="J584" s="35"/>
    </row>
    <row r="585" spans="1:10" ht="28.8" x14ac:dyDescent="0.3">
      <c r="A585" s="27" t="s">
        <v>103</v>
      </c>
      <c r="B585" s="34"/>
      <c r="E585" s="36" t="s">
        <v>4379</v>
      </c>
      <c r="J585" s="35"/>
    </row>
    <row r="586" spans="1:10" ht="28.8" x14ac:dyDescent="0.3">
      <c r="A586" s="27" t="s">
        <v>103</v>
      </c>
      <c r="B586" s="34"/>
      <c r="E586" s="36" t="s">
        <v>4380</v>
      </c>
      <c r="J586" s="35"/>
    </row>
    <row r="587" spans="1:10" ht="28.8" x14ac:dyDescent="0.3">
      <c r="A587" s="27" t="s">
        <v>103</v>
      </c>
      <c r="B587" s="34"/>
      <c r="E587" s="36" t="s">
        <v>4381</v>
      </c>
      <c r="J587" s="35"/>
    </row>
    <row r="588" spans="1:10" ht="28.8" x14ac:dyDescent="0.3">
      <c r="A588" s="27" t="s">
        <v>103</v>
      </c>
      <c r="B588" s="34"/>
      <c r="E588" s="36" t="s">
        <v>4382</v>
      </c>
      <c r="J588" s="35"/>
    </row>
    <row r="589" spans="1:10" ht="28.8" x14ac:dyDescent="0.3">
      <c r="A589" s="27" t="s">
        <v>103</v>
      </c>
      <c r="B589" s="34"/>
      <c r="E589" s="36" t="s">
        <v>4383</v>
      </c>
      <c r="J589" s="35"/>
    </row>
    <row r="590" spans="1:10" ht="28.8" x14ac:dyDescent="0.3">
      <c r="A590" s="27" t="s">
        <v>103</v>
      </c>
      <c r="B590" s="34"/>
      <c r="E590" s="36" t="s">
        <v>4384</v>
      </c>
      <c r="J590" s="35"/>
    </row>
    <row r="591" spans="1:10" ht="28.8" x14ac:dyDescent="0.3">
      <c r="A591" s="27" t="s">
        <v>103</v>
      </c>
      <c r="B591" s="34"/>
      <c r="E591" s="36" t="s">
        <v>4385</v>
      </c>
      <c r="J591" s="35"/>
    </row>
    <row r="592" spans="1:10" ht="28.8" x14ac:dyDescent="0.3">
      <c r="A592" s="27" t="s">
        <v>103</v>
      </c>
      <c r="B592" s="34"/>
      <c r="E592" s="36" t="s">
        <v>4386</v>
      </c>
      <c r="J592" s="35"/>
    </row>
    <row r="593" spans="1:10" ht="28.8" x14ac:dyDescent="0.3">
      <c r="A593" s="27" t="s">
        <v>103</v>
      </c>
      <c r="B593" s="34"/>
      <c r="E593" s="36" t="s">
        <v>4387</v>
      </c>
      <c r="J593" s="35"/>
    </row>
    <row r="594" spans="1:10" ht="28.8" x14ac:dyDescent="0.3">
      <c r="A594" s="27" t="s">
        <v>103</v>
      </c>
      <c r="B594" s="34"/>
      <c r="E594" s="36" t="s">
        <v>4388</v>
      </c>
      <c r="J594" s="35"/>
    </row>
    <row r="595" spans="1:10" ht="28.8" x14ac:dyDescent="0.3">
      <c r="A595" s="27" t="s">
        <v>103</v>
      </c>
      <c r="B595" s="34"/>
      <c r="E595" s="36" t="s">
        <v>4389</v>
      </c>
      <c r="J595" s="35"/>
    </row>
    <row r="596" spans="1:10" ht="28.8" x14ac:dyDescent="0.3">
      <c r="A596" s="27" t="s">
        <v>103</v>
      </c>
      <c r="B596" s="34"/>
      <c r="E596" s="36" t="s">
        <v>4390</v>
      </c>
      <c r="J596" s="35"/>
    </row>
    <row r="597" spans="1:10" ht="28.8" x14ac:dyDescent="0.3">
      <c r="A597" s="27" t="s">
        <v>103</v>
      </c>
      <c r="B597" s="34"/>
      <c r="E597" s="36" t="s">
        <v>4391</v>
      </c>
      <c r="J597" s="35"/>
    </row>
    <row r="598" spans="1:10" ht="28.8" x14ac:dyDescent="0.3">
      <c r="A598" s="27" t="s">
        <v>103</v>
      </c>
      <c r="B598" s="34"/>
      <c r="E598" s="36" t="s">
        <v>4392</v>
      </c>
      <c r="J598" s="35"/>
    </row>
    <row r="599" spans="1:10" ht="28.8" x14ac:dyDescent="0.3">
      <c r="A599" s="27" t="s">
        <v>103</v>
      </c>
      <c r="B599" s="34"/>
      <c r="E599" s="36" t="s">
        <v>4393</v>
      </c>
      <c r="J599" s="35"/>
    </row>
    <row r="600" spans="1:10" ht="28.8" x14ac:dyDescent="0.3">
      <c r="A600" s="27" t="s">
        <v>103</v>
      </c>
      <c r="B600" s="34"/>
      <c r="E600" s="36" t="s">
        <v>4394</v>
      </c>
      <c r="J600" s="35"/>
    </row>
    <row r="601" spans="1:10" ht="28.8" x14ac:dyDescent="0.3">
      <c r="A601" s="27" t="s">
        <v>103</v>
      </c>
      <c r="B601" s="34"/>
      <c r="E601" s="36" t="s">
        <v>4395</v>
      </c>
      <c r="J601" s="35"/>
    </row>
    <row r="602" spans="1:10" ht="28.8" x14ac:dyDescent="0.3">
      <c r="A602" s="27" t="s">
        <v>103</v>
      </c>
      <c r="B602" s="34"/>
      <c r="E602" s="36" t="s">
        <v>4396</v>
      </c>
      <c r="J602" s="35"/>
    </row>
    <row r="603" spans="1:10" ht="28.8" x14ac:dyDescent="0.3">
      <c r="A603" s="27" t="s">
        <v>103</v>
      </c>
      <c r="B603" s="34"/>
      <c r="E603" s="36" t="s">
        <v>4397</v>
      </c>
      <c r="J603" s="35"/>
    </row>
    <row r="604" spans="1:10" ht="28.8" x14ac:dyDescent="0.3">
      <c r="A604" s="27" t="s">
        <v>103</v>
      </c>
      <c r="B604" s="34"/>
      <c r="E604" s="36" t="s">
        <v>4398</v>
      </c>
      <c r="J604" s="35"/>
    </row>
    <row r="605" spans="1:10" ht="28.8" x14ac:dyDescent="0.3">
      <c r="A605" s="27" t="s">
        <v>103</v>
      </c>
      <c r="B605" s="34"/>
      <c r="E605" s="36" t="s">
        <v>4399</v>
      </c>
      <c r="J605" s="35"/>
    </row>
    <row r="606" spans="1:10" ht="28.8" x14ac:dyDescent="0.3">
      <c r="A606" s="27" t="s">
        <v>103</v>
      </c>
      <c r="B606" s="34"/>
      <c r="E606" s="36" t="s">
        <v>4400</v>
      </c>
      <c r="J606" s="35"/>
    </row>
    <row r="607" spans="1:10" ht="28.8" x14ac:dyDescent="0.3">
      <c r="A607" s="27" t="s">
        <v>103</v>
      </c>
      <c r="B607" s="34"/>
      <c r="E607" s="36" t="s">
        <v>4401</v>
      </c>
      <c r="J607" s="35"/>
    </row>
    <row r="608" spans="1:10" ht="28.8" x14ac:dyDescent="0.3">
      <c r="A608" s="27" t="s">
        <v>103</v>
      </c>
      <c r="B608" s="34"/>
      <c r="E608" s="36" t="s">
        <v>4402</v>
      </c>
      <c r="J608" s="35"/>
    </row>
    <row r="609" spans="1:10" ht="28.8" x14ac:dyDescent="0.3">
      <c r="A609" s="27" t="s">
        <v>103</v>
      </c>
      <c r="B609" s="34"/>
      <c r="E609" s="36" t="s">
        <v>4403</v>
      </c>
      <c r="J609" s="35"/>
    </row>
    <row r="610" spans="1:10" ht="28.8" x14ac:dyDescent="0.3">
      <c r="A610" s="27" t="s">
        <v>103</v>
      </c>
      <c r="B610" s="34"/>
      <c r="E610" s="36" t="s">
        <v>4404</v>
      </c>
      <c r="J610" s="35"/>
    </row>
    <row r="611" spans="1:10" ht="28.8" x14ac:dyDescent="0.3">
      <c r="A611" s="27" t="s">
        <v>103</v>
      </c>
      <c r="B611" s="34"/>
      <c r="E611" s="36" t="s">
        <v>4405</v>
      </c>
      <c r="J611" s="35"/>
    </row>
    <row r="612" spans="1:10" ht="28.8" x14ac:dyDescent="0.3">
      <c r="A612" s="27" t="s">
        <v>103</v>
      </c>
      <c r="B612" s="34"/>
      <c r="E612" s="36" t="s">
        <v>4406</v>
      </c>
      <c r="J612" s="35"/>
    </row>
    <row r="613" spans="1:10" ht="28.8" x14ac:dyDescent="0.3">
      <c r="A613" s="27" t="s">
        <v>103</v>
      </c>
      <c r="B613" s="34"/>
      <c r="E613" s="36" t="s">
        <v>4407</v>
      </c>
      <c r="J613" s="35"/>
    </row>
    <row r="614" spans="1:10" ht="28.8" x14ac:dyDescent="0.3">
      <c r="A614" s="27" t="s">
        <v>103</v>
      </c>
      <c r="B614" s="34"/>
      <c r="E614" s="36" t="s">
        <v>4408</v>
      </c>
      <c r="J614" s="35"/>
    </row>
    <row r="615" spans="1:10" ht="28.8" x14ac:dyDescent="0.3">
      <c r="A615" s="27" t="s">
        <v>103</v>
      </c>
      <c r="B615" s="34"/>
      <c r="E615" s="36" t="s">
        <v>4409</v>
      </c>
      <c r="J615" s="35"/>
    </row>
    <row r="616" spans="1:10" ht="28.8" x14ac:dyDescent="0.3">
      <c r="A616" s="27" t="s">
        <v>103</v>
      </c>
      <c r="B616" s="34"/>
      <c r="E616" s="36" t="s">
        <v>4410</v>
      </c>
      <c r="J616" s="35"/>
    </row>
    <row r="617" spans="1:10" ht="28.8" x14ac:dyDescent="0.3">
      <c r="A617" s="27" t="s">
        <v>103</v>
      </c>
      <c r="B617" s="34"/>
      <c r="E617" s="36" t="s">
        <v>4411</v>
      </c>
      <c r="J617" s="35"/>
    </row>
    <row r="618" spans="1:10" ht="28.8" x14ac:dyDescent="0.3">
      <c r="A618" s="27" t="s">
        <v>103</v>
      </c>
      <c r="B618" s="34"/>
      <c r="E618" s="36" t="s">
        <v>4412</v>
      </c>
      <c r="J618" s="35"/>
    </row>
    <row r="619" spans="1:10" ht="28.8" x14ac:dyDescent="0.3">
      <c r="A619" s="27" t="s">
        <v>103</v>
      </c>
      <c r="B619" s="34"/>
      <c r="E619" s="36" t="s">
        <v>4413</v>
      </c>
      <c r="J619" s="35"/>
    </row>
    <row r="620" spans="1:10" ht="28.8" x14ac:dyDescent="0.3">
      <c r="A620" s="27" t="s">
        <v>103</v>
      </c>
      <c r="B620" s="34"/>
      <c r="E620" s="36" t="s">
        <v>4414</v>
      </c>
      <c r="J620" s="35"/>
    </row>
    <row r="621" spans="1:10" ht="28.8" x14ac:dyDescent="0.3">
      <c r="A621" s="27" t="s">
        <v>103</v>
      </c>
      <c r="B621" s="34"/>
      <c r="E621" s="36" t="s">
        <v>4415</v>
      </c>
      <c r="J621" s="35"/>
    </row>
    <row r="622" spans="1:10" ht="28.8" x14ac:dyDescent="0.3">
      <c r="A622" s="27" t="s">
        <v>103</v>
      </c>
      <c r="B622" s="34"/>
      <c r="E622" s="36" t="s">
        <v>4416</v>
      </c>
      <c r="J622" s="35"/>
    </row>
    <row r="623" spans="1:10" ht="28.8" x14ac:dyDescent="0.3">
      <c r="A623" s="27" t="s">
        <v>103</v>
      </c>
      <c r="B623" s="34"/>
      <c r="E623" s="36" t="s">
        <v>4417</v>
      </c>
      <c r="J623" s="35"/>
    </row>
    <row r="624" spans="1:10" ht="28.8" x14ac:dyDescent="0.3">
      <c r="A624" s="27" t="s">
        <v>103</v>
      </c>
      <c r="B624" s="34"/>
      <c r="E624" s="36" t="s">
        <v>4418</v>
      </c>
      <c r="J624" s="35"/>
    </row>
    <row r="625" spans="1:10" ht="28.8" x14ac:dyDescent="0.3">
      <c r="A625" s="27" t="s">
        <v>103</v>
      </c>
      <c r="B625" s="34"/>
      <c r="E625" s="36" t="s">
        <v>4419</v>
      </c>
      <c r="J625" s="35"/>
    </row>
    <row r="626" spans="1:10" ht="28.8" x14ac:dyDescent="0.3">
      <c r="A626" s="27" t="s">
        <v>103</v>
      </c>
      <c r="B626" s="34"/>
      <c r="E626" s="36" t="s">
        <v>4420</v>
      </c>
      <c r="J626" s="35"/>
    </row>
    <row r="627" spans="1:10" ht="28.8" x14ac:dyDescent="0.3">
      <c r="A627" s="27" t="s">
        <v>103</v>
      </c>
      <c r="B627" s="34"/>
      <c r="E627" s="36" t="s">
        <v>4421</v>
      </c>
      <c r="J627" s="35"/>
    </row>
    <row r="628" spans="1:10" ht="28.8" x14ac:dyDescent="0.3">
      <c r="A628" s="27" t="s">
        <v>103</v>
      </c>
      <c r="B628" s="34"/>
      <c r="E628" s="36" t="s">
        <v>4422</v>
      </c>
      <c r="J628" s="35"/>
    </row>
    <row r="629" spans="1:10" ht="28.8" x14ac:dyDescent="0.3">
      <c r="A629" s="27" t="s">
        <v>103</v>
      </c>
      <c r="B629" s="34"/>
      <c r="E629" s="36" t="s">
        <v>4423</v>
      </c>
      <c r="J629" s="35"/>
    </row>
    <row r="630" spans="1:10" ht="28.8" x14ac:dyDescent="0.3">
      <c r="A630" s="27" t="s">
        <v>103</v>
      </c>
      <c r="B630" s="34"/>
      <c r="E630" s="36" t="s">
        <v>4424</v>
      </c>
      <c r="J630" s="35"/>
    </row>
    <row r="631" spans="1:10" ht="28.8" x14ac:dyDescent="0.3">
      <c r="A631" s="27" t="s">
        <v>103</v>
      </c>
      <c r="B631" s="34"/>
      <c r="E631" s="36" t="s">
        <v>4425</v>
      </c>
      <c r="J631" s="35"/>
    </row>
    <row r="632" spans="1:10" ht="28.8" x14ac:dyDescent="0.3">
      <c r="A632" s="27" t="s">
        <v>103</v>
      </c>
      <c r="B632" s="34"/>
      <c r="E632" s="36" t="s">
        <v>4426</v>
      </c>
      <c r="J632" s="35"/>
    </row>
    <row r="633" spans="1:10" ht="28.8" x14ac:dyDescent="0.3">
      <c r="A633" s="27" t="s">
        <v>103</v>
      </c>
      <c r="B633" s="34"/>
      <c r="E633" s="36" t="s">
        <v>4427</v>
      </c>
      <c r="J633" s="35"/>
    </row>
    <row r="634" spans="1:10" ht="28.8" x14ac:dyDescent="0.3">
      <c r="A634" s="27" t="s">
        <v>103</v>
      </c>
      <c r="B634" s="34"/>
      <c r="E634" s="36" t="s">
        <v>4428</v>
      </c>
      <c r="J634" s="35"/>
    </row>
    <row r="635" spans="1:10" ht="28.8" x14ac:dyDescent="0.3">
      <c r="A635" s="27" t="s">
        <v>103</v>
      </c>
      <c r="B635" s="34"/>
      <c r="E635" s="36" t="s">
        <v>4429</v>
      </c>
      <c r="J635" s="35"/>
    </row>
    <row r="636" spans="1:10" ht="28.8" x14ac:dyDescent="0.3">
      <c r="A636" s="27" t="s">
        <v>103</v>
      </c>
      <c r="B636" s="34"/>
      <c r="E636" s="36" t="s">
        <v>4430</v>
      </c>
      <c r="J636" s="35"/>
    </row>
    <row r="637" spans="1:10" ht="28.8" x14ac:dyDescent="0.3">
      <c r="A637" s="27" t="s">
        <v>103</v>
      </c>
      <c r="B637" s="34"/>
      <c r="E637" s="36" t="s">
        <v>4431</v>
      </c>
      <c r="J637" s="35"/>
    </row>
    <row r="638" spans="1:10" ht="28.8" x14ac:dyDescent="0.3">
      <c r="A638" s="27" t="s">
        <v>103</v>
      </c>
      <c r="B638" s="34"/>
      <c r="E638" s="36" t="s">
        <v>4432</v>
      </c>
      <c r="J638" s="35"/>
    </row>
    <row r="639" spans="1:10" ht="28.8" x14ac:dyDescent="0.3">
      <c r="A639" s="27" t="s">
        <v>103</v>
      </c>
      <c r="B639" s="34"/>
      <c r="E639" s="36" t="s">
        <v>4433</v>
      </c>
      <c r="J639" s="35"/>
    </row>
    <row r="640" spans="1:10" ht="28.8" x14ac:dyDescent="0.3">
      <c r="A640" s="27" t="s">
        <v>103</v>
      </c>
      <c r="B640" s="34"/>
      <c r="E640" s="36" t="s">
        <v>4434</v>
      </c>
      <c r="J640" s="35"/>
    </row>
    <row r="641" spans="1:10" ht="28.8" x14ac:dyDescent="0.3">
      <c r="A641" s="27" t="s">
        <v>103</v>
      </c>
      <c r="B641" s="34"/>
      <c r="E641" s="36" t="s">
        <v>4435</v>
      </c>
      <c r="J641" s="35"/>
    </row>
    <row r="642" spans="1:10" ht="28.8" x14ac:dyDescent="0.3">
      <c r="A642" s="27" t="s">
        <v>103</v>
      </c>
      <c r="B642" s="34"/>
      <c r="E642" s="36" t="s">
        <v>4436</v>
      </c>
      <c r="J642" s="35"/>
    </row>
    <row r="643" spans="1:10" ht="28.8" x14ac:dyDescent="0.3">
      <c r="A643" s="27" t="s">
        <v>103</v>
      </c>
      <c r="B643" s="34"/>
      <c r="E643" s="36" t="s">
        <v>4437</v>
      </c>
      <c r="J643" s="35"/>
    </row>
    <row r="644" spans="1:10" ht="28.8" x14ac:dyDescent="0.3">
      <c r="A644" s="27" t="s">
        <v>103</v>
      </c>
      <c r="B644" s="34"/>
      <c r="E644" s="36" t="s">
        <v>4438</v>
      </c>
      <c r="J644" s="35"/>
    </row>
    <row r="645" spans="1:10" ht="28.8" x14ac:dyDescent="0.3">
      <c r="A645" s="27" t="s">
        <v>103</v>
      </c>
      <c r="B645" s="34"/>
      <c r="E645" s="36" t="s">
        <v>4439</v>
      </c>
      <c r="J645" s="35"/>
    </row>
    <row r="646" spans="1:10" ht="28.8" x14ac:dyDescent="0.3">
      <c r="A646" s="27" t="s">
        <v>103</v>
      </c>
      <c r="B646" s="34"/>
      <c r="E646" s="36" t="s">
        <v>4440</v>
      </c>
      <c r="J646" s="35"/>
    </row>
    <row r="647" spans="1:10" ht="28.8" x14ac:dyDescent="0.3">
      <c r="A647" s="27" t="s">
        <v>103</v>
      </c>
      <c r="B647" s="34"/>
      <c r="E647" s="36" t="s">
        <v>4441</v>
      </c>
      <c r="J647" s="35"/>
    </row>
    <row r="648" spans="1:10" ht="28.8" x14ac:dyDescent="0.3">
      <c r="A648" s="27" t="s">
        <v>103</v>
      </c>
      <c r="B648" s="34"/>
      <c r="E648" s="36" t="s">
        <v>4442</v>
      </c>
      <c r="J648" s="35"/>
    </row>
    <row r="649" spans="1:10" ht="28.8" x14ac:dyDescent="0.3">
      <c r="A649" s="27" t="s">
        <v>103</v>
      </c>
      <c r="B649" s="34"/>
      <c r="E649" s="36" t="s">
        <v>4443</v>
      </c>
      <c r="J649" s="35"/>
    </row>
    <row r="650" spans="1:10" ht="28.8" x14ac:dyDescent="0.3">
      <c r="A650" s="27" t="s">
        <v>103</v>
      </c>
      <c r="B650" s="34"/>
      <c r="E650" s="36" t="s">
        <v>4444</v>
      </c>
      <c r="J650" s="35"/>
    </row>
    <row r="651" spans="1:10" ht="28.8" x14ac:dyDescent="0.3">
      <c r="A651" s="27" t="s">
        <v>103</v>
      </c>
      <c r="B651" s="34"/>
      <c r="E651" s="36" t="s">
        <v>4445</v>
      </c>
      <c r="J651" s="35"/>
    </row>
    <row r="652" spans="1:10" ht="28.8" x14ac:dyDescent="0.3">
      <c r="A652" s="27" t="s">
        <v>103</v>
      </c>
      <c r="B652" s="34"/>
      <c r="E652" s="36" t="s">
        <v>4446</v>
      </c>
      <c r="J652" s="35"/>
    </row>
    <row r="653" spans="1:10" ht="28.8" x14ac:dyDescent="0.3">
      <c r="A653" s="27" t="s">
        <v>103</v>
      </c>
      <c r="B653" s="34"/>
      <c r="E653" s="36" t="s">
        <v>4447</v>
      </c>
      <c r="J653" s="35"/>
    </row>
    <row r="654" spans="1:10" ht="28.8" x14ac:dyDescent="0.3">
      <c r="A654" s="27" t="s">
        <v>103</v>
      </c>
      <c r="B654" s="34"/>
      <c r="E654" s="36" t="s">
        <v>4448</v>
      </c>
      <c r="J654" s="35"/>
    </row>
    <row r="655" spans="1:10" ht="28.8" x14ac:dyDescent="0.3">
      <c r="A655" s="27" t="s">
        <v>103</v>
      </c>
      <c r="B655" s="34"/>
      <c r="E655" s="36" t="s">
        <v>4449</v>
      </c>
      <c r="J655" s="35"/>
    </row>
    <row r="656" spans="1:10" ht="28.8" x14ac:dyDescent="0.3">
      <c r="A656" s="27" t="s">
        <v>103</v>
      </c>
      <c r="B656" s="34"/>
      <c r="E656" s="36" t="s">
        <v>4450</v>
      </c>
      <c r="J656" s="35"/>
    </row>
    <row r="657" spans="1:10" ht="28.8" x14ac:dyDescent="0.3">
      <c r="A657" s="27" t="s">
        <v>103</v>
      </c>
      <c r="B657" s="34"/>
      <c r="E657" s="36" t="s">
        <v>4451</v>
      </c>
      <c r="J657" s="35"/>
    </row>
    <row r="658" spans="1:10" ht="28.8" x14ac:dyDescent="0.3">
      <c r="A658" s="27" t="s">
        <v>103</v>
      </c>
      <c r="B658" s="34"/>
      <c r="E658" s="36" t="s">
        <v>4452</v>
      </c>
      <c r="J658" s="35"/>
    </row>
    <row r="659" spans="1:10" ht="28.8" x14ac:dyDescent="0.3">
      <c r="A659" s="27" t="s">
        <v>103</v>
      </c>
      <c r="B659" s="34"/>
      <c r="E659" s="36" t="s">
        <v>4453</v>
      </c>
      <c r="J659" s="35"/>
    </row>
    <row r="660" spans="1:10" ht="28.8" x14ac:dyDescent="0.3">
      <c r="A660" s="27" t="s">
        <v>103</v>
      </c>
      <c r="B660" s="34"/>
      <c r="E660" s="36" t="s">
        <v>4454</v>
      </c>
      <c r="J660" s="35"/>
    </row>
    <row r="661" spans="1:10" ht="28.8" x14ac:dyDescent="0.3">
      <c r="A661" s="27" t="s">
        <v>103</v>
      </c>
      <c r="B661" s="34"/>
      <c r="E661" s="36" t="s">
        <v>4455</v>
      </c>
      <c r="J661" s="35"/>
    </row>
    <row r="662" spans="1:10" ht="28.8" x14ac:dyDescent="0.3">
      <c r="A662" s="27" t="s">
        <v>103</v>
      </c>
      <c r="B662" s="34"/>
      <c r="E662" s="36" t="s">
        <v>4456</v>
      </c>
      <c r="J662" s="35"/>
    </row>
    <row r="663" spans="1:10" ht="28.8" x14ac:dyDescent="0.3">
      <c r="A663" s="27" t="s">
        <v>103</v>
      </c>
      <c r="B663" s="34"/>
      <c r="E663" s="36" t="s">
        <v>4457</v>
      </c>
      <c r="J663" s="35"/>
    </row>
    <row r="664" spans="1:10" ht="28.8" x14ac:dyDescent="0.3">
      <c r="A664" s="27" t="s">
        <v>103</v>
      </c>
      <c r="B664" s="34"/>
      <c r="E664" s="36" t="s">
        <v>4458</v>
      </c>
      <c r="J664" s="35"/>
    </row>
    <row r="665" spans="1:10" ht="28.8" x14ac:dyDescent="0.3">
      <c r="A665" s="27" t="s">
        <v>103</v>
      </c>
      <c r="B665" s="34"/>
      <c r="E665" s="36" t="s">
        <v>4459</v>
      </c>
      <c r="J665" s="35"/>
    </row>
    <row r="666" spans="1:10" ht="28.8" x14ac:dyDescent="0.3">
      <c r="A666" s="27" t="s">
        <v>103</v>
      </c>
      <c r="B666" s="34"/>
      <c r="E666" s="36" t="s">
        <v>4460</v>
      </c>
      <c r="J666" s="35"/>
    </row>
    <row r="667" spans="1:10" ht="28.8" x14ac:dyDescent="0.3">
      <c r="A667" s="27" t="s">
        <v>103</v>
      </c>
      <c r="B667" s="34"/>
      <c r="E667" s="36" t="s">
        <v>4461</v>
      </c>
      <c r="J667" s="35"/>
    </row>
    <row r="668" spans="1:10" ht="28.8" x14ac:dyDescent="0.3">
      <c r="A668" s="27" t="s">
        <v>103</v>
      </c>
      <c r="B668" s="34"/>
      <c r="E668" s="36" t="s">
        <v>4462</v>
      </c>
      <c r="J668" s="35"/>
    </row>
    <row r="669" spans="1:10" ht="28.8" x14ac:dyDescent="0.3">
      <c r="A669" s="27" t="s">
        <v>103</v>
      </c>
      <c r="B669" s="34"/>
      <c r="E669" s="36" t="s">
        <v>4463</v>
      </c>
      <c r="J669" s="35"/>
    </row>
    <row r="670" spans="1:10" ht="28.8" x14ac:dyDescent="0.3">
      <c r="A670" s="27" t="s">
        <v>103</v>
      </c>
      <c r="B670" s="34"/>
      <c r="E670" s="36" t="s">
        <v>4464</v>
      </c>
      <c r="J670" s="35"/>
    </row>
    <row r="671" spans="1:10" ht="28.8" x14ac:dyDescent="0.3">
      <c r="A671" s="27" t="s">
        <v>103</v>
      </c>
      <c r="B671" s="34"/>
      <c r="E671" s="36" t="s">
        <v>4465</v>
      </c>
      <c r="J671" s="35"/>
    </row>
    <row r="672" spans="1:10" ht="28.8" x14ac:dyDescent="0.3">
      <c r="A672" s="27" t="s">
        <v>103</v>
      </c>
      <c r="B672" s="34"/>
      <c r="E672" s="36" t="s">
        <v>4466</v>
      </c>
      <c r="J672" s="35"/>
    </row>
    <row r="673" spans="1:10" ht="28.8" x14ac:dyDescent="0.3">
      <c r="A673" s="27" t="s">
        <v>103</v>
      </c>
      <c r="B673" s="34"/>
      <c r="E673" s="36" t="s">
        <v>4467</v>
      </c>
      <c r="J673" s="35"/>
    </row>
    <row r="674" spans="1:10" ht="28.8" x14ac:dyDescent="0.3">
      <c r="A674" s="27" t="s">
        <v>103</v>
      </c>
      <c r="B674" s="34"/>
      <c r="E674" s="36" t="s">
        <v>4468</v>
      </c>
      <c r="J674" s="35"/>
    </row>
    <row r="675" spans="1:10" ht="28.8" x14ac:dyDescent="0.3">
      <c r="A675" s="27" t="s">
        <v>103</v>
      </c>
      <c r="B675" s="34"/>
      <c r="E675" s="36" t="s">
        <v>4469</v>
      </c>
      <c r="J675" s="35"/>
    </row>
    <row r="676" spans="1:10" ht="28.8" x14ac:dyDescent="0.3">
      <c r="A676" s="27" t="s">
        <v>103</v>
      </c>
      <c r="B676" s="34"/>
      <c r="E676" s="36" t="s">
        <v>4470</v>
      </c>
      <c r="J676" s="35"/>
    </row>
    <row r="677" spans="1:10" ht="28.8" x14ac:dyDescent="0.3">
      <c r="A677" s="27" t="s">
        <v>103</v>
      </c>
      <c r="B677" s="34"/>
      <c r="E677" s="36" t="s">
        <v>4471</v>
      </c>
      <c r="J677" s="35"/>
    </row>
    <row r="678" spans="1:10" ht="28.8" x14ac:dyDescent="0.3">
      <c r="A678" s="27" t="s">
        <v>103</v>
      </c>
      <c r="B678" s="34"/>
      <c r="E678" s="36" t="s">
        <v>4472</v>
      </c>
      <c r="J678" s="35"/>
    </row>
    <row r="679" spans="1:10" ht="28.8" x14ac:dyDescent="0.3">
      <c r="A679" s="27" t="s">
        <v>103</v>
      </c>
      <c r="B679" s="34"/>
      <c r="E679" s="36" t="s">
        <v>4473</v>
      </c>
      <c r="J679" s="35"/>
    </row>
    <row r="680" spans="1:10" ht="28.8" x14ac:dyDescent="0.3">
      <c r="A680" s="27" t="s">
        <v>103</v>
      </c>
      <c r="B680" s="34"/>
      <c r="E680" s="36" t="s">
        <v>4474</v>
      </c>
      <c r="J680" s="35"/>
    </row>
    <row r="681" spans="1:10" ht="28.8" x14ac:dyDescent="0.3">
      <c r="A681" s="27" t="s">
        <v>103</v>
      </c>
      <c r="B681" s="34"/>
      <c r="E681" s="36" t="s">
        <v>4475</v>
      </c>
      <c r="J681" s="35"/>
    </row>
    <row r="682" spans="1:10" ht="28.8" x14ac:dyDescent="0.3">
      <c r="A682" s="27" t="s">
        <v>103</v>
      </c>
      <c r="B682" s="34"/>
      <c r="E682" s="36" t="s">
        <v>4476</v>
      </c>
      <c r="J682" s="35"/>
    </row>
    <row r="683" spans="1:10" ht="28.8" x14ac:dyDescent="0.3">
      <c r="A683" s="27" t="s">
        <v>103</v>
      </c>
      <c r="B683" s="34"/>
      <c r="E683" s="36" t="s">
        <v>4477</v>
      </c>
      <c r="J683" s="35"/>
    </row>
    <row r="684" spans="1:10" ht="28.8" x14ac:dyDescent="0.3">
      <c r="A684" s="27" t="s">
        <v>103</v>
      </c>
      <c r="B684" s="34"/>
      <c r="E684" s="36" t="s">
        <v>4478</v>
      </c>
      <c r="J684" s="35"/>
    </row>
    <row r="685" spans="1:10" ht="28.8" x14ac:dyDescent="0.3">
      <c r="A685" s="27" t="s">
        <v>103</v>
      </c>
      <c r="B685" s="34"/>
      <c r="E685" s="36" t="s">
        <v>4479</v>
      </c>
      <c r="J685" s="35"/>
    </row>
    <row r="686" spans="1:10" ht="28.8" x14ac:dyDescent="0.3">
      <c r="A686" s="27" t="s">
        <v>103</v>
      </c>
      <c r="B686" s="34"/>
      <c r="E686" s="36" t="s">
        <v>4480</v>
      </c>
      <c r="J686" s="35"/>
    </row>
    <row r="687" spans="1:10" ht="28.8" x14ac:dyDescent="0.3">
      <c r="A687" s="27" t="s">
        <v>103</v>
      </c>
      <c r="B687" s="34"/>
      <c r="E687" s="36" t="s">
        <v>4481</v>
      </c>
      <c r="J687" s="35"/>
    </row>
    <row r="688" spans="1:10" ht="28.8" x14ac:dyDescent="0.3">
      <c r="A688" s="27" t="s">
        <v>103</v>
      </c>
      <c r="B688" s="34"/>
      <c r="E688" s="36" t="s">
        <v>4482</v>
      </c>
      <c r="J688" s="35"/>
    </row>
    <row r="689" spans="1:10" ht="28.8" x14ac:dyDescent="0.3">
      <c r="A689" s="27" t="s">
        <v>103</v>
      </c>
      <c r="B689" s="34"/>
      <c r="E689" s="36" t="s">
        <v>4483</v>
      </c>
      <c r="J689" s="35"/>
    </row>
    <row r="690" spans="1:10" ht="28.8" x14ac:dyDescent="0.3">
      <c r="A690" s="27" t="s">
        <v>103</v>
      </c>
      <c r="B690" s="34"/>
      <c r="E690" s="36" t="s">
        <v>4484</v>
      </c>
      <c r="J690" s="35"/>
    </row>
    <row r="691" spans="1:10" ht="28.8" x14ac:dyDescent="0.3">
      <c r="A691" s="27" t="s">
        <v>103</v>
      </c>
      <c r="B691" s="34"/>
      <c r="E691" s="36" t="s">
        <v>4485</v>
      </c>
      <c r="J691" s="35"/>
    </row>
    <row r="692" spans="1:10" ht="28.8" x14ac:dyDescent="0.3">
      <c r="A692" s="27" t="s">
        <v>103</v>
      </c>
      <c r="B692" s="34"/>
      <c r="E692" s="36" t="s">
        <v>4486</v>
      </c>
      <c r="J692" s="35"/>
    </row>
    <row r="693" spans="1:10" ht="28.8" x14ac:dyDescent="0.3">
      <c r="A693" s="27" t="s">
        <v>103</v>
      </c>
      <c r="B693" s="34"/>
      <c r="E693" s="36" t="s">
        <v>4487</v>
      </c>
      <c r="J693" s="35"/>
    </row>
    <row r="694" spans="1:10" ht="28.8" x14ac:dyDescent="0.3">
      <c r="A694" s="27" t="s">
        <v>103</v>
      </c>
      <c r="B694" s="34"/>
      <c r="E694" s="36" t="s">
        <v>4488</v>
      </c>
      <c r="J694" s="35"/>
    </row>
    <row r="695" spans="1:10" ht="28.8" x14ac:dyDescent="0.3">
      <c r="A695" s="27" t="s">
        <v>103</v>
      </c>
      <c r="B695" s="34"/>
      <c r="E695" s="36" t="s">
        <v>4489</v>
      </c>
      <c r="J695" s="35"/>
    </row>
    <row r="696" spans="1:10" ht="28.8" x14ac:dyDescent="0.3">
      <c r="A696" s="27" t="s">
        <v>103</v>
      </c>
      <c r="B696" s="34"/>
      <c r="E696" s="36" t="s">
        <v>4490</v>
      </c>
      <c r="J696" s="35"/>
    </row>
    <row r="697" spans="1:10" ht="28.8" x14ac:dyDescent="0.3">
      <c r="A697" s="27" t="s">
        <v>103</v>
      </c>
      <c r="B697" s="34"/>
      <c r="E697" s="36" t="s">
        <v>4491</v>
      </c>
      <c r="J697" s="35"/>
    </row>
    <row r="698" spans="1:10" ht="28.8" x14ac:dyDescent="0.3">
      <c r="A698" s="27" t="s">
        <v>103</v>
      </c>
      <c r="B698" s="34"/>
      <c r="E698" s="36" t="s">
        <v>4492</v>
      </c>
      <c r="J698" s="35"/>
    </row>
    <row r="699" spans="1:10" ht="28.8" x14ac:dyDescent="0.3">
      <c r="A699" s="27" t="s">
        <v>103</v>
      </c>
      <c r="B699" s="34"/>
      <c r="E699" s="36" t="s">
        <v>4493</v>
      </c>
      <c r="J699" s="35"/>
    </row>
    <row r="700" spans="1:10" ht="28.8" x14ac:dyDescent="0.3">
      <c r="A700" s="27" t="s">
        <v>103</v>
      </c>
      <c r="B700" s="34"/>
      <c r="E700" s="36" t="s">
        <v>4494</v>
      </c>
      <c r="J700" s="35"/>
    </row>
    <row r="701" spans="1:10" ht="28.8" x14ac:dyDescent="0.3">
      <c r="A701" s="27" t="s">
        <v>103</v>
      </c>
      <c r="B701" s="34"/>
      <c r="E701" s="36" t="s">
        <v>4495</v>
      </c>
      <c r="J701" s="35"/>
    </row>
    <row r="702" spans="1:10" ht="28.8" x14ac:dyDescent="0.3">
      <c r="A702" s="27" t="s">
        <v>103</v>
      </c>
      <c r="B702" s="34"/>
      <c r="E702" s="36" t="s">
        <v>4496</v>
      </c>
      <c r="J702" s="35"/>
    </row>
    <row r="703" spans="1:10" ht="28.8" x14ac:dyDescent="0.3">
      <c r="A703" s="27" t="s">
        <v>103</v>
      </c>
      <c r="B703" s="34"/>
      <c r="E703" s="36" t="s">
        <v>4497</v>
      </c>
      <c r="J703" s="35"/>
    </row>
    <row r="704" spans="1:10" ht="28.8" x14ac:dyDescent="0.3">
      <c r="A704" s="27" t="s">
        <v>103</v>
      </c>
      <c r="B704" s="34"/>
      <c r="E704" s="36" t="s">
        <v>4498</v>
      </c>
      <c r="J704" s="35"/>
    </row>
    <row r="705" spans="1:10" ht="28.8" x14ac:dyDescent="0.3">
      <c r="A705" s="27" t="s">
        <v>103</v>
      </c>
      <c r="B705" s="34"/>
      <c r="E705" s="36" t="s">
        <v>4499</v>
      </c>
      <c r="J705" s="35"/>
    </row>
    <row r="706" spans="1:10" ht="28.8" x14ac:dyDescent="0.3">
      <c r="A706" s="27" t="s">
        <v>103</v>
      </c>
      <c r="B706" s="34"/>
      <c r="E706" s="36" t="s">
        <v>4500</v>
      </c>
      <c r="J706" s="35"/>
    </row>
    <row r="707" spans="1:10" ht="28.8" x14ac:dyDescent="0.3">
      <c r="A707" s="27" t="s">
        <v>103</v>
      </c>
      <c r="B707" s="34"/>
      <c r="E707" s="36" t="s">
        <v>4501</v>
      </c>
      <c r="J707" s="35"/>
    </row>
    <row r="708" spans="1:10" ht="28.8" x14ac:dyDescent="0.3">
      <c r="A708" s="27" t="s">
        <v>103</v>
      </c>
      <c r="B708" s="34"/>
      <c r="E708" s="36" t="s">
        <v>4502</v>
      </c>
      <c r="J708" s="35"/>
    </row>
    <row r="709" spans="1:10" ht="28.8" x14ac:dyDescent="0.3">
      <c r="A709" s="27" t="s">
        <v>103</v>
      </c>
      <c r="B709" s="34"/>
      <c r="E709" s="36" t="s">
        <v>4503</v>
      </c>
      <c r="J709" s="35"/>
    </row>
    <row r="710" spans="1:10" ht="28.8" x14ac:dyDescent="0.3">
      <c r="A710" s="27" t="s">
        <v>103</v>
      </c>
      <c r="B710" s="34"/>
      <c r="E710" s="36" t="s">
        <v>4504</v>
      </c>
      <c r="J710" s="35"/>
    </row>
    <row r="711" spans="1:10" ht="28.8" x14ac:dyDescent="0.3">
      <c r="A711" s="27" t="s">
        <v>103</v>
      </c>
      <c r="B711" s="34"/>
      <c r="E711" s="36" t="s">
        <v>4505</v>
      </c>
      <c r="J711" s="35"/>
    </row>
    <row r="712" spans="1:10" ht="28.8" x14ac:dyDescent="0.3">
      <c r="A712" s="27" t="s">
        <v>103</v>
      </c>
      <c r="B712" s="34"/>
      <c r="E712" s="36" t="s">
        <v>4506</v>
      </c>
      <c r="J712" s="35"/>
    </row>
    <row r="713" spans="1:10" ht="28.8" x14ac:dyDescent="0.3">
      <c r="A713" s="27" t="s">
        <v>103</v>
      </c>
      <c r="B713" s="34"/>
      <c r="E713" s="36" t="s">
        <v>4507</v>
      </c>
      <c r="J713" s="35"/>
    </row>
    <row r="714" spans="1:10" ht="28.8" x14ac:dyDescent="0.3">
      <c r="A714" s="27" t="s">
        <v>103</v>
      </c>
      <c r="B714" s="34"/>
      <c r="E714" s="36" t="s">
        <v>4508</v>
      </c>
      <c r="J714" s="35"/>
    </row>
    <row r="715" spans="1:10" ht="28.8" x14ac:dyDescent="0.3">
      <c r="A715" s="27" t="s">
        <v>103</v>
      </c>
      <c r="B715" s="34"/>
      <c r="E715" s="36" t="s">
        <v>4509</v>
      </c>
      <c r="J715" s="35"/>
    </row>
    <row r="716" spans="1:10" ht="28.8" x14ac:dyDescent="0.3">
      <c r="A716" s="27" t="s">
        <v>103</v>
      </c>
      <c r="B716" s="34"/>
      <c r="E716" s="36" t="s">
        <v>4510</v>
      </c>
      <c r="J716" s="35"/>
    </row>
    <row r="717" spans="1:10" ht="28.8" x14ac:dyDescent="0.3">
      <c r="A717" s="27" t="s">
        <v>103</v>
      </c>
      <c r="B717" s="34"/>
      <c r="E717" s="36" t="s">
        <v>4511</v>
      </c>
      <c r="J717" s="35"/>
    </row>
    <row r="718" spans="1:10" ht="28.8" x14ac:dyDescent="0.3">
      <c r="A718" s="27" t="s">
        <v>103</v>
      </c>
      <c r="B718" s="34"/>
      <c r="E718" s="36" t="s">
        <v>4512</v>
      </c>
      <c r="J718" s="35"/>
    </row>
    <row r="719" spans="1:10" ht="28.8" x14ac:dyDescent="0.3">
      <c r="A719" s="27" t="s">
        <v>103</v>
      </c>
      <c r="B719" s="34"/>
      <c r="E719" s="36" t="s">
        <v>4513</v>
      </c>
      <c r="J719" s="35"/>
    </row>
    <row r="720" spans="1:10" ht="28.8" x14ac:dyDescent="0.3">
      <c r="A720" s="27" t="s">
        <v>103</v>
      </c>
      <c r="B720" s="34"/>
      <c r="E720" s="36" t="s">
        <v>4514</v>
      </c>
      <c r="J720" s="35"/>
    </row>
    <row r="721" spans="1:10" ht="28.8" x14ac:dyDescent="0.3">
      <c r="A721" s="27" t="s">
        <v>103</v>
      </c>
      <c r="B721" s="34"/>
      <c r="E721" s="36" t="s">
        <v>4515</v>
      </c>
      <c r="J721" s="35"/>
    </row>
    <row r="722" spans="1:10" ht="28.8" x14ac:dyDescent="0.3">
      <c r="A722" s="27" t="s">
        <v>103</v>
      </c>
      <c r="B722" s="34"/>
      <c r="E722" s="36" t="s">
        <v>4516</v>
      </c>
      <c r="J722" s="35"/>
    </row>
    <row r="723" spans="1:10" ht="28.8" x14ac:dyDescent="0.3">
      <c r="A723" s="27" t="s">
        <v>103</v>
      </c>
      <c r="B723" s="34"/>
      <c r="E723" s="36" t="s">
        <v>4517</v>
      </c>
      <c r="J723" s="35"/>
    </row>
    <row r="724" spans="1:10" ht="28.8" x14ac:dyDescent="0.3">
      <c r="A724" s="27" t="s">
        <v>103</v>
      </c>
      <c r="B724" s="34"/>
      <c r="E724" s="36" t="s">
        <v>4518</v>
      </c>
      <c r="J724" s="35"/>
    </row>
    <row r="725" spans="1:10" ht="28.8" x14ac:dyDescent="0.3">
      <c r="A725" s="27" t="s">
        <v>103</v>
      </c>
      <c r="B725" s="34"/>
      <c r="E725" s="36" t="s">
        <v>4519</v>
      </c>
      <c r="J725" s="35"/>
    </row>
    <row r="726" spans="1:10" ht="28.8" x14ac:dyDescent="0.3">
      <c r="A726" s="27" t="s">
        <v>103</v>
      </c>
      <c r="B726" s="34"/>
      <c r="E726" s="36" t="s">
        <v>4520</v>
      </c>
      <c r="J726" s="35"/>
    </row>
    <row r="727" spans="1:10" ht="28.8" x14ac:dyDescent="0.3">
      <c r="A727" s="27" t="s">
        <v>103</v>
      </c>
      <c r="B727" s="34"/>
      <c r="E727" s="36" t="s">
        <v>4521</v>
      </c>
      <c r="J727" s="35"/>
    </row>
    <row r="728" spans="1:10" ht="28.8" x14ac:dyDescent="0.3">
      <c r="A728" s="27" t="s">
        <v>103</v>
      </c>
      <c r="B728" s="34"/>
      <c r="E728" s="36" t="s">
        <v>4522</v>
      </c>
      <c r="J728" s="35"/>
    </row>
    <row r="729" spans="1:10" ht="28.8" x14ac:dyDescent="0.3">
      <c r="A729" s="27" t="s">
        <v>103</v>
      </c>
      <c r="B729" s="34"/>
      <c r="E729" s="36" t="s">
        <v>4523</v>
      </c>
      <c r="J729" s="35"/>
    </row>
    <row r="730" spans="1:10" ht="28.8" x14ac:dyDescent="0.3">
      <c r="A730" s="27" t="s">
        <v>103</v>
      </c>
      <c r="B730" s="34"/>
      <c r="E730" s="36" t="s">
        <v>4524</v>
      </c>
      <c r="J730" s="35"/>
    </row>
    <row r="731" spans="1:10" ht="28.8" x14ac:dyDescent="0.3">
      <c r="A731" s="27" t="s">
        <v>103</v>
      </c>
      <c r="B731" s="34"/>
      <c r="E731" s="36" t="s">
        <v>4525</v>
      </c>
      <c r="J731" s="35"/>
    </row>
    <row r="732" spans="1:10" ht="28.8" x14ac:dyDescent="0.3">
      <c r="A732" s="27" t="s">
        <v>103</v>
      </c>
      <c r="B732" s="34"/>
      <c r="E732" s="36" t="s">
        <v>4526</v>
      </c>
      <c r="J732" s="35"/>
    </row>
    <row r="733" spans="1:10" ht="28.8" x14ac:dyDescent="0.3">
      <c r="A733" s="27" t="s">
        <v>103</v>
      </c>
      <c r="B733" s="34"/>
      <c r="E733" s="36" t="s">
        <v>4527</v>
      </c>
      <c r="J733" s="35"/>
    </row>
    <row r="734" spans="1:10" ht="28.8" x14ac:dyDescent="0.3">
      <c r="A734" s="27" t="s">
        <v>103</v>
      </c>
      <c r="B734" s="34"/>
      <c r="E734" s="36" t="s">
        <v>4528</v>
      </c>
      <c r="J734" s="35"/>
    </row>
    <row r="735" spans="1:10" ht="28.8" x14ac:dyDescent="0.3">
      <c r="A735" s="27" t="s">
        <v>103</v>
      </c>
      <c r="B735" s="34"/>
      <c r="E735" s="36" t="s">
        <v>4529</v>
      </c>
      <c r="J735" s="35"/>
    </row>
    <row r="736" spans="1:10" ht="28.8" x14ac:dyDescent="0.3">
      <c r="A736" s="27" t="s">
        <v>103</v>
      </c>
      <c r="B736" s="34"/>
      <c r="E736" s="36" t="s">
        <v>4530</v>
      </c>
      <c r="J736" s="35"/>
    </row>
    <row r="737" spans="1:10" ht="28.8" x14ac:dyDescent="0.3">
      <c r="A737" s="27" t="s">
        <v>103</v>
      </c>
      <c r="B737" s="34"/>
      <c r="E737" s="36" t="s">
        <v>4531</v>
      </c>
      <c r="J737" s="35"/>
    </row>
    <row r="738" spans="1:10" ht="28.8" x14ac:dyDescent="0.3">
      <c r="A738" s="27" t="s">
        <v>103</v>
      </c>
      <c r="B738" s="34"/>
      <c r="E738" s="36" t="s">
        <v>4532</v>
      </c>
      <c r="J738" s="35"/>
    </row>
    <row r="739" spans="1:10" ht="28.8" x14ac:dyDescent="0.3">
      <c r="A739" s="27" t="s">
        <v>103</v>
      </c>
      <c r="B739" s="34"/>
      <c r="E739" s="36" t="s">
        <v>4533</v>
      </c>
      <c r="J739" s="35"/>
    </row>
    <row r="740" spans="1:10" ht="28.8" x14ac:dyDescent="0.3">
      <c r="A740" s="27" t="s">
        <v>103</v>
      </c>
      <c r="B740" s="34"/>
      <c r="E740" s="36" t="s">
        <v>4534</v>
      </c>
      <c r="J740" s="35"/>
    </row>
    <row r="741" spans="1:10" ht="28.8" x14ac:dyDescent="0.3">
      <c r="A741" s="27" t="s">
        <v>103</v>
      </c>
      <c r="B741" s="34"/>
      <c r="E741" s="36" t="s">
        <v>4535</v>
      </c>
      <c r="J741" s="35"/>
    </row>
    <row r="742" spans="1:10" ht="28.8" x14ac:dyDescent="0.3">
      <c r="A742" s="27" t="s">
        <v>103</v>
      </c>
      <c r="B742" s="34"/>
      <c r="E742" s="36" t="s">
        <v>4536</v>
      </c>
      <c r="J742" s="35"/>
    </row>
    <row r="743" spans="1:10" ht="28.8" x14ac:dyDescent="0.3">
      <c r="A743" s="27" t="s">
        <v>103</v>
      </c>
      <c r="B743" s="34"/>
      <c r="E743" s="36" t="s">
        <v>4537</v>
      </c>
      <c r="J743" s="35"/>
    </row>
    <row r="744" spans="1:10" ht="28.8" x14ac:dyDescent="0.3">
      <c r="A744" s="27" t="s">
        <v>103</v>
      </c>
      <c r="B744" s="34"/>
      <c r="E744" s="36" t="s">
        <v>4538</v>
      </c>
      <c r="J744" s="35"/>
    </row>
    <row r="745" spans="1:10" ht="28.8" x14ac:dyDescent="0.3">
      <c r="A745" s="27" t="s">
        <v>103</v>
      </c>
      <c r="B745" s="34"/>
      <c r="E745" s="36" t="s">
        <v>4539</v>
      </c>
      <c r="J745" s="35"/>
    </row>
    <row r="746" spans="1:10" ht="28.8" x14ac:dyDescent="0.3">
      <c r="A746" s="27" t="s">
        <v>103</v>
      </c>
      <c r="B746" s="34"/>
      <c r="E746" s="36" t="s">
        <v>4540</v>
      </c>
      <c r="J746" s="35"/>
    </row>
    <row r="747" spans="1:10" ht="28.8" x14ac:dyDescent="0.3">
      <c r="A747" s="27" t="s">
        <v>103</v>
      </c>
      <c r="B747" s="34"/>
      <c r="E747" s="36" t="s">
        <v>4541</v>
      </c>
      <c r="J747" s="35"/>
    </row>
    <row r="748" spans="1:10" ht="28.8" x14ac:dyDescent="0.3">
      <c r="A748" s="27" t="s">
        <v>103</v>
      </c>
      <c r="B748" s="34"/>
      <c r="E748" s="36" t="s">
        <v>4542</v>
      </c>
      <c r="J748" s="35"/>
    </row>
    <row r="749" spans="1:10" ht="28.8" x14ac:dyDescent="0.3">
      <c r="A749" s="27" t="s">
        <v>103</v>
      </c>
      <c r="B749" s="34"/>
      <c r="E749" s="36" t="s">
        <v>4543</v>
      </c>
      <c r="J749" s="35"/>
    </row>
    <row r="750" spans="1:10" ht="28.8" x14ac:dyDescent="0.3">
      <c r="A750" s="27" t="s">
        <v>103</v>
      </c>
      <c r="B750" s="34"/>
      <c r="E750" s="36" t="s">
        <v>4544</v>
      </c>
      <c r="J750" s="35"/>
    </row>
    <row r="751" spans="1:10" ht="28.8" x14ac:dyDescent="0.3">
      <c r="A751" s="27" t="s">
        <v>103</v>
      </c>
      <c r="B751" s="34"/>
      <c r="E751" s="36" t="s">
        <v>4545</v>
      </c>
      <c r="J751" s="35"/>
    </row>
    <row r="752" spans="1:10" ht="28.8" x14ac:dyDescent="0.3">
      <c r="A752" s="27" t="s">
        <v>103</v>
      </c>
      <c r="B752" s="34"/>
      <c r="E752" s="36" t="s">
        <v>4546</v>
      </c>
      <c r="J752" s="35"/>
    </row>
    <row r="753" spans="1:10" ht="28.8" x14ac:dyDescent="0.3">
      <c r="A753" s="27" t="s">
        <v>103</v>
      </c>
      <c r="B753" s="34"/>
      <c r="E753" s="36" t="s">
        <v>4547</v>
      </c>
      <c r="J753" s="35"/>
    </row>
    <row r="754" spans="1:10" ht="28.8" x14ac:dyDescent="0.3">
      <c r="A754" s="27" t="s">
        <v>103</v>
      </c>
      <c r="B754" s="34"/>
      <c r="E754" s="36" t="s">
        <v>4548</v>
      </c>
      <c r="J754" s="35"/>
    </row>
    <row r="755" spans="1:10" ht="28.8" x14ac:dyDescent="0.3">
      <c r="A755" s="27" t="s">
        <v>103</v>
      </c>
      <c r="B755" s="34"/>
      <c r="E755" s="36" t="s">
        <v>4549</v>
      </c>
      <c r="J755" s="35"/>
    </row>
    <row r="756" spans="1:10" ht="28.8" x14ac:dyDescent="0.3">
      <c r="A756" s="27" t="s">
        <v>103</v>
      </c>
      <c r="B756" s="34"/>
      <c r="E756" s="36" t="s">
        <v>4550</v>
      </c>
      <c r="J756" s="35"/>
    </row>
    <row r="757" spans="1:10" ht="28.8" x14ac:dyDescent="0.3">
      <c r="A757" s="27" t="s">
        <v>103</v>
      </c>
      <c r="B757" s="34"/>
      <c r="E757" s="36" t="s">
        <v>4551</v>
      </c>
      <c r="J757" s="35"/>
    </row>
    <row r="758" spans="1:10" ht="28.8" x14ac:dyDescent="0.3">
      <c r="A758" s="27" t="s">
        <v>103</v>
      </c>
      <c r="B758" s="34"/>
      <c r="E758" s="36" t="s">
        <v>4552</v>
      </c>
      <c r="J758" s="35"/>
    </row>
    <row r="759" spans="1:10" ht="28.8" x14ac:dyDescent="0.3">
      <c r="A759" s="27" t="s">
        <v>103</v>
      </c>
      <c r="B759" s="34"/>
      <c r="E759" s="36" t="s">
        <v>4553</v>
      </c>
      <c r="J759" s="35"/>
    </row>
    <row r="760" spans="1:10" ht="28.8" x14ac:dyDescent="0.3">
      <c r="A760" s="27" t="s">
        <v>103</v>
      </c>
      <c r="B760" s="34"/>
      <c r="E760" s="36" t="s">
        <v>4554</v>
      </c>
      <c r="J760" s="35"/>
    </row>
    <row r="761" spans="1:10" ht="28.8" x14ac:dyDescent="0.3">
      <c r="A761" s="27" t="s">
        <v>103</v>
      </c>
      <c r="B761" s="34"/>
      <c r="E761" s="36" t="s">
        <v>4555</v>
      </c>
      <c r="J761" s="35"/>
    </row>
    <row r="762" spans="1:10" ht="28.8" x14ac:dyDescent="0.3">
      <c r="A762" s="27" t="s">
        <v>103</v>
      </c>
      <c r="B762" s="34"/>
      <c r="E762" s="36" t="s">
        <v>4556</v>
      </c>
      <c r="J762" s="35"/>
    </row>
    <row r="763" spans="1:10" ht="28.8" x14ac:dyDescent="0.3">
      <c r="A763" s="27" t="s">
        <v>103</v>
      </c>
      <c r="B763" s="34"/>
      <c r="E763" s="36" t="s">
        <v>4557</v>
      </c>
      <c r="J763" s="35"/>
    </row>
    <row r="764" spans="1:10" ht="28.8" x14ac:dyDescent="0.3">
      <c r="A764" s="27" t="s">
        <v>103</v>
      </c>
      <c r="B764" s="34"/>
      <c r="E764" s="36" t="s">
        <v>4558</v>
      </c>
      <c r="J764" s="35"/>
    </row>
    <row r="765" spans="1:10" ht="28.8" x14ac:dyDescent="0.3">
      <c r="A765" s="27" t="s">
        <v>103</v>
      </c>
      <c r="B765" s="34"/>
      <c r="E765" s="36" t="s">
        <v>4559</v>
      </c>
      <c r="J765" s="35"/>
    </row>
    <row r="766" spans="1:10" ht="28.8" x14ac:dyDescent="0.3">
      <c r="A766" s="27" t="s">
        <v>103</v>
      </c>
      <c r="B766" s="34"/>
      <c r="E766" s="36" t="s">
        <v>4560</v>
      </c>
      <c r="J766" s="35"/>
    </row>
    <row r="767" spans="1:10" ht="28.8" x14ac:dyDescent="0.3">
      <c r="A767" s="27" t="s">
        <v>103</v>
      </c>
      <c r="B767" s="34"/>
      <c r="E767" s="36" t="s">
        <v>4561</v>
      </c>
      <c r="J767" s="35"/>
    </row>
    <row r="768" spans="1:10" ht="28.8" x14ac:dyDescent="0.3">
      <c r="A768" s="27" t="s">
        <v>103</v>
      </c>
      <c r="B768" s="34"/>
      <c r="E768" s="36" t="s">
        <v>4562</v>
      </c>
      <c r="J768" s="35"/>
    </row>
    <row r="769" spans="1:10" ht="28.8" x14ac:dyDescent="0.3">
      <c r="A769" s="27" t="s">
        <v>103</v>
      </c>
      <c r="B769" s="34"/>
      <c r="E769" s="36" t="s">
        <v>4563</v>
      </c>
      <c r="J769" s="35"/>
    </row>
    <row r="770" spans="1:10" ht="28.8" x14ac:dyDescent="0.3">
      <c r="A770" s="27" t="s">
        <v>103</v>
      </c>
      <c r="B770" s="34"/>
      <c r="E770" s="36" t="s">
        <v>4564</v>
      </c>
      <c r="J770" s="35"/>
    </row>
    <row r="771" spans="1:10" ht="28.8" x14ac:dyDescent="0.3">
      <c r="A771" s="27" t="s">
        <v>103</v>
      </c>
      <c r="B771" s="34"/>
      <c r="E771" s="36" t="s">
        <v>4565</v>
      </c>
      <c r="J771" s="35"/>
    </row>
    <row r="772" spans="1:10" ht="28.8" x14ac:dyDescent="0.3">
      <c r="A772" s="27" t="s">
        <v>103</v>
      </c>
      <c r="B772" s="34"/>
      <c r="E772" s="36" t="s">
        <v>4566</v>
      </c>
      <c r="J772" s="35"/>
    </row>
    <row r="773" spans="1:10" ht="28.8" x14ac:dyDescent="0.3">
      <c r="A773" s="27" t="s">
        <v>103</v>
      </c>
      <c r="B773" s="34"/>
      <c r="E773" s="36" t="s">
        <v>4567</v>
      </c>
      <c r="J773" s="35"/>
    </row>
    <row r="774" spans="1:10" ht="28.8" x14ac:dyDescent="0.3">
      <c r="A774" s="27" t="s">
        <v>103</v>
      </c>
      <c r="B774" s="34"/>
      <c r="E774" s="36" t="s">
        <v>4568</v>
      </c>
      <c r="J774" s="35"/>
    </row>
    <row r="775" spans="1:10" ht="28.8" x14ac:dyDescent="0.3">
      <c r="A775" s="27" t="s">
        <v>103</v>
      </c>
      <c r="B775" s="34"/>
      <c r="E775" s="36" t="s">
        <v>4569</v>
      </c>
      <c r="J775" s="35"/>
    </row>
    <row r="776" spans="1:10" ht="28.8" x14ac:dyDescent="0.3">
      <c r="A776" s="27" t="s">
        <v>103</v>
      </c>
      <c r="B776" s="34"/>
      <c r="E776" s="36" t="s">
        <v>4570</v>
      </c>
      <c r="J776" s="35"/>
    </row>
    <row r="777" spans="1:10" ht="28.8" x14ac:dyDescent="0.3">
      <c r="A777" s="27" t="s">
        <v>103</v>
      </c>
      <c r="B777" s="34"/>
      <c r="E777" s="36" t="s">
        <v>4571</v>
      </c>
      <c r="J777" s="35"/>
    </row>
    <row r="778" spans="1:10" ht="28.8" x14ac:dyDescent="0.3">
      <c r="A778" s="27" t="s">
        <v>103</v>
      </c>
      <c r="B778" s="34"/>
      <c r="E778" s="36" t="s">
        <v>4572</v>
      </c>
      <c r="J778" s="35"/>
    </row>
    <row r="779" spans="1:10" ht="28.8" x14ac:dyDescent="0.3">
      <c r="A779" s="27" t="s">
        <v>103</v>
      </c>
      <c r="B779" s="34"/>
      <c r="E779" s="36" t="s">
        <v>4573</v>
      </c>
      <c r="J779" s="35"/>
    </row>
    <row r="780" spans="1:10" ht="28.8" x14ac:dyDescent="0.3">
      <c r="A780" s="27" t="s">
        <v>103</v>
      </c>
      <c r="B780" s="34"/>
      <c r="E780" s="36" t="s">
        <v>4574</v>
      </c>
      <c r="J780" s="35"/>
    </row>
    <row r="781" spans="1:10" ht="28.8" x14ac:dyDescent="0.3">
      <c r="A781" s="27" t="s">
        <v>103</v>
      </c>
      <c r="B781" s="34"/>
      <c r="E781" s="36" t="s">
        <v>4575</v>
      </c>
      <c r="J781" s="35"/>
    </row>
    <row r="782" spans="1:10" ht="28.8" x14ac:dyDescent="0.3">
      <c r="A782" s="27" t="s">
        <v>103</v>
      </c>
      <c r="B782" s="34"/>
      <c r="E782" s="36" t="s">
        <v>4576</v>
      </c>
      <c r="J782" s="35"/>
    </row>
    <row r="783" spans="1:10" ht="28.8" x14ac:dyDescent="0.3">
      <c r="A783" s="27" t="s">
        <v>103</v>
      </c>
      <c r="B783" s="34"/>
      <c r="E783" s="36" t="s">
        <v>4577</v>
      </c>
      <c r="J783" s="35"/>
    </row>
    <row r="784" spans="1:10" ht="28.8" x14ac:dyDescent="0.3">
      <c r="A784" s="27" t="s">
        <v>103</v>
      </c>
      <c r="B784" s="34"/>
      <c r="E784" s="36" t="s">
        <v>4578</v>
      </c>
      <c r="J784" s="35"/>
    </row>
    <row r="785" spans="1:10" ht="28.8" x14ac:dyDescent="0.3">
      <c r="A785" s="27" t="s">
        <v>103</v>
      </c>
      <c r="B785" s="34"/>
      <c r="E785" s="36" t="s">
        <v>4579</v>
      </c>
      <c r="J785" s="35"/>
    </row>
    <row r="786" spans="1:10" ht="28.8" x14ac:dyDescent="0.3">
      <c r="A786" s="27" t="s">
        <v>103</v>
      </c>
      <c r="B786" s="34"/>
      <c r="E786" s="36" t="s">
        <v>4580</v>
      </c>
      <c r="J786" s="35"/>
    </row>
    <row r="787" spans="1:10" ht="28.8" x14ac:dyDescent="0.3">
      <c r="A787" s="27" t="s">
        <v>103</v>
      </c>
      <c r="B787" s="34"/>
      <c r="E787" s="36" t="s">
        <v>4581</v>
      </c>
      <c r="J787" s="35"/>
    </row>
    <row r="788" spans="1:10" ht="28.8" x14ac:dyDescent="0.3">
      <c r="A788" s="27" t="s">
        <v>103</v>
      </c>
      <c r="B788" s="34"/>
      <c r="E788" s="36" t="s">
        <v>4582</v>
      </c>
      <c r="J788" s="35"/>
    </row>
    <row r="789" spans="1:10" ht="28.8" x14ac:dyDescent="0.3">
      <c r="A789" s="27" t="s">
        <v>103</v>
      </c>
      <c r="B789" s="34"/>
      <c r="E789" s="36" t="s">
        <v>4583</v>
      </c>
      <c r="J789" s="35"/>
    </row>
    <row r="790" spans="1:10" ht="28.8" x14ac:dyDescent="0.3">
      <c r="A790" s="27" t="s">
        <v>103</v>
      </c>
      <c r="B790" s="34"/>
      <c r="E790" s="36" t="s">
        <v>4584</v>
      </c>
      <c r="J790" s="35"/>
    </row>
    <row r="791" spans="1:10" ht="28.8" x14ac:dyDescent="0.3">
      <c r="A791" s="27" t="s">
        <v>103</v>
      </c>
      <c r="B791" s="34"/>
      <c r="E791" s="36" t="s">
        <v>4585</v>
      </c>
      <c r="J791" s="35"/>
    </row>
    <row r="792" spans="1:10" ht="28.8" x14ac:dyDescent="0.3">
      <c r="A792" s="27" t="s">
        <v>103</v>
      </c>
      <c r="B792" s="34"/>
      <c r="E792" s="36" t="s">
        <v>4586</v>
      </c>
      <c r="J792" s="35"/>
    </row>
    <row r="793" spans="1:10" ht="28.8" x14ac:dyDescent="0.3">
      <c r="A793" s="27" t="s">
        <v>103</v>
      </c>
      <c r="B793" s="34"/>
      <c r="E793" s="36" t="s">
        <v>4587</v>
      </c>
      <c r="J793" s="35"/>
    </row>
    <row r="794" spans="1:10" ht="28.8" x14ac:dyDescent="0.3">
      <c r="A794" s="27" t="s">
        <v>103</v>
      </c>
      <c r="B794" s="34"/>
      <c r="E794" s="36" t="s">
        <v>4588</v>
      </c>
      <c r="J794" s="35"/>
    </row>
    <row r="795" spans="1:10" ht="28.8" x14ac:dyDescent="0.3">
      <c r="A795" s="27" t="s">
        <v>103</v>
      </c>
      <c r="B795" s="34"/>
      <c r="E795" s="36" t="s">
        <v>4589</v>
      </c>
      <c r="J795" s="35"/>
    </row>
    <row r="796" spans="1:10" ht="28.8" x14ac:dyDescent="0.3">
      <c r="A796" s="27" t="s">
        <v>103</v>
      </c>
      <c r="B796" s="34"/>
      <c r="E796" s="36" t="s">
        <v>4590</v>
      </c>
      <c r="J796" s="35"/>
    </row>
    <row r="797" spans="1:10" ht="28.8" x14ac:dyDescent="0.3">
      <c r="A797" s="27" t="s">
        <v>103</v>
      </c>
      <c r="B797" s="34"/>
      <c r="E797" s="36" t="s">
        <v>4591</v>
      </c>
      <c r="J797" s="35"/>
    </row>
    <row r="798" spans="1:10" ht="28.8" x14ac:dyDescent="0.3">
      <c r="A798" s="27" t="s">
        <v>103</v>
      </c>
      <c r="B798" s="34"/>
      <c r="E798" s="36" t="s">
        <v>4592</v>
      </c>
      <c r="J798" s="35"/>
    </row>
    <row r="799" spans="1:10" ht="28.8" x14ac:dyDescent="0.3">
      <c r="A799" s="27" t="s">
        <v>103</v>
      </c>
      <c r="B799" s="34"/>
      <c r="E799" s="36" t="s">
        <v>4593</v>
      </c>
      <c r="J799" s="35"/>
    </row>
    <row r="800" spans="1:10" ht="28.8" x14ac:dyDescent="0.3">
      <c r="A800" s="27" t="s">
        <v>103</v>
      </c>
      <c r="B800" s="34"/>
      <c r="E800" s="36" t="s">
        <v>4594</v>
      </c>
      <c r="J800" s="35"/>
    </row>
    <row r="801" spans="1:10" ht="28.8" x14ac:dyDescent="0.3">
      <c r="A801" s="27" t="s">
        <v>103</v>
      </c>
      <c r="B801" s="34"/>
      <c r="E801" s="36" t="s">
        <v>4595</v>
      </c>
      <c r="J801" s="35"/>
    </row>
    <row r="802" spans="1:10" ht="28.8" x14ac:dyDescent="0.3">
      <c r="A802" s="27" t="s">
        <v>103</v>
      </c>
      <c r="B802" s="34"/>
      <c r="E802" s="36" t="s">
        <v>4596</v>
      </c>
      <c r="J802" s="35"/>
    </row>
    <row r="803" spans="1:10" ht="28.8" x14ac:dyDescent="0.3">
      <c r="A803" s="27" t="s">
        <v>103</v>
      </c>
      <c r="B803" s="34"/>
      <c r="E803" s="36" t="s">
        <v>4597</v>
      </c>
      <c r="J803" s="35"/>
    </row>
    <row r="804" spans="1:10" ht="28.8" x14ac:dyDescent="0.3">
      <c r="A804" s="27" t="s">
        <v>103</v>
      </c>
      <c r="B804" s="34"/>
      <c r="E804" s="36" t="s">
        <v>4598</v>
      </c>
      <c r="J804" s="35"/>
    </row>
    <row r="805" spans="1:10" ht="28.8" x14ac:dyDescent="0.3">
      <c r="A805" s="27" t="s">
        <v>103</v>
      </c>
      <c r="B805" s="34"/>
      <c r="E805" s="36" t="s">
        <v>4599</v>
      </c>
      <c r="J805" s="35"/>
    </row>
    <row r="806" spans="1:10" ht="28.8" x14ac:dyDescent="0.3">
      <c r="A806" s="27" t="s">
        <v>103</v>
      </c>
      <c r="B806" s="34"/>
      <c r="E806" s="36" t="s">
        <v>4600</v>
      </c>
      <c r="J806" s="35"/>
    </row>
    <row r="807" spans="1:10" ht="28.8" x14ac:dyDescent="0.3">
      <c r="A807" s="27" t="s">
        <v>103</v>
      </c>
      <c r="B807" s="34"/>
      <c r="E807" s="36" t="s">
        <v>4601</v>
      </c>
      <c r="J807" s="35"/>
    </row>
    <row r="808" spans="1:10" ht="28.8" x14ac:dyDescent="0.3">
      <c r="A808" s="27" t="s">
        <v>103</v>
      </c>
      <c r="B808" s="34"/>
      <c r="E808" s="36" t="s">
        <v>4602</v>
      </c>
      <c r="J808" s="35"/>
    </row>
    <row r="809" spans="1:10" ht="28.8" x14ac:dyDescent="0.3">
      <c r="A809" s="27" t="s">
        <v>103</v>
      </c>
      <c r="B809" s="34"/>
      <c r="E809" s="36" t="s">
        <v>4603</v>
      </c>
      <c r="J809" s="35"/>
    </row>
    <row r="810" spans="1:10" ht="28.8" x14ac:dyDescent="0.3">
      <c r="A810" s="27" t="s">
        <v>103</v>
      </c>
      <c r="B810" s="34"/>
      <c r="E810" s="36" t="s">
        <v>4604</v>
      </c>
      <c r="J810" s="35"/>
    </row>
    <row r="811" spans="1:10" ht="28.8" x14ac:dyDescent="0.3">
      <c r="A811" s="27" t="s">
        <v>103</v>
      </c>
      <c r="B811" s="34"/>
      <c r="E811" s="36" t="s">
        <v>4605</v>
      </c>
      <c r="J811" s="35"/>
    </row>
    <row r="812" spans="1:10" ht="28.8" x14ac:dyDescent="0.3">
      <c r="A812" s="27" t="s">
        <v>103</v>
      </c>
      <c r="B812" s="34"/>
      <c r="E812" s="36" t="s">
        <v>4606</v>
      </c>
      <c r="J812" s="35"/>
    </row>
    <row r="813" spans="1:10" ht="28.8" x14ac:dyDescent="0.3">
      <c r="A813" s="27" t="s">
        <v>103</v>
      </c>
      <c r="B813" s="34"/>
      <c r="E813" s="36" t="s">
        <v>4607</v>
      </c>
      <c r="J813" s="35"/>
    </row>
    <row r="814" spans="1:10" ht="28.8" x14ac:dyDescent="0.3">
      <c r="A814" s="27" t="s">
        <v>103</v>
      </c>
      <c r="B814" s="34"/>
      <c r="E814" s="36" t="s">
        <v>4608</v>
      </c>
      <c r="J814" s="35"/>
    </row>
    <row r="815" spans="1:10" ht="28.8" x14ac:dyDescent="0.3">
      <c r="A815" s="27" t="s">
        <v>103</v>
      </c>
      <c r="B815" s="34"/>
      <c r="E815" s="36" t="s">
        <v>4609</v>
      </c>
      <c r="J815" s="35"/>
    </row>
    <row r="816" spans="1:10" ht="28.8" x14ac:dyDescent="0.3">
      <c r="A816" s="27" t="s">
        <v>103</v>
      </c>
      <c r="B816" s="34"/>
      <c r="E816" s="36" t="s">
        <v>4610</v>
      </c>
      <c r="J816" s="35"/>
    </row>
    <row r="817" spans="1:10" ht="28.8" x14ac:dyDescent="0.3">
      <c r="A817" s="27" t="s">
        <v>103</v>
      </c>
      <c r="B817" s="34"/>
      <c r="E817" s="36" t="s">
        <v>4611</v>
      </c>
      <c r="J817" s="35"/>
    </row>
    <row r="818" spans="1:10" ht="28.8" x14ac:dyDescent="0.3">
      <c r="A818" s="27" t="s">
        <v>103</v>
      </c>
      <c r="B818" s="34"/>
      <c r="E818" s="36" t="s">
        <v>4612</v>
      </c>
      <c r="J818" s="35"/>
    </row>
    <row r="819" spans="1:10" ht="28.8" x14ac:dyDescent="0.3">
      <c r="A819" s="27" t="s">
        <v>103</v>
      </c>
      <c r="B819" s="34"/>
      <c r="E819" s="36" t="s">
        <v>4613</v>
      </c>
      <c r="J819" s="35"/>
    </row>
    <row r="820" spans="1:10" ht="28.8" x14ac:dyDescent="0.3">
      <c r="A820" s="27" t="s">
        <v>103</v>
      </c>
      <c r="B820" s="34"/>
      <c r="E820" s="36" t="s">
        <v>4614</v>
      </c>
      <c r="J820" s="35"/>
    </row>
    <row r="821" spans="1:10" ht="28.8" x14ac:dyDescent="0.3">
      <c r="A821" s="27" t="s">
        <v>103</v>
      </c>
      <c r="B821" s="34"/>
      <c r="E821" s="36" t="s">
        <v>4615</v>
      </c>
      <c r="J821" s="35"/>
    </row>
    <row r="822" spans="1:10" ht="28.8" x14ac:dyDescent="0.3">
      <c r="A822" s="27" t="s">
        <v>103</v>
      </c>
      <c r="B822" s="34"/>
      <c r="E822" s="36" t="s">
        <v>4616</v>
      </c>
      <c r="J822" s="35"/>
    </row>
    <row r="823" spans="1:10" ht="28.8" x14ac:dyDescent="0.3">
      <c r="A823" s="27" t="s">
        <v>103</v>
      </c>
      <c r="B823" s="34"/>
      <c r="E823" s="36" t="s">
        <v>4617</v>
      </c>
      <c r="J823" s="35"/>
    </row>
    <row r="824" spans="1:10" ht="28.8" x14ac:dyDescent="0.3">
      <c r="A824" s="27" t="s">
        <v>103</v>
      </c>
      <c r="B824" s="34"/>
      <c r="E824" s="36" t="s">
        <v>4618</v>
      </c>
      <c r="J824" s="35"/>
    </row>
    <row r="825" spans="1:10" ht="28.8" x14ac:dyDescent="0.3">
      <c r="A825" s="27" t="s">
        <v>103</v>
      </c>
      <c r="B825" s="34"/>
      <c r="E825" s="36" t="s">
        <v>4619</v>
      </c>
      <c r="J825" s="35"/>
    </row>
    <row r="826" spans="1:10" ht="28.8" x14ac:dyDescent="0.3">
      <c r="A826" s="27" t="s">
        <v>103</v>
      </c>
      <c r="B826" s="34"/>
      <c r="E826" s="36" t="s">
        <v>4620</v>
      </c>
      <c r="J826" s="35"/>
    </row>
    <row r="827" spans="1:10" ht="28.8" x14ac:dyDescent="0.3">
      <c r="A827" s="27" t="s">
        <v>103</v>
      </c>
      <c r="B827" s="34"/>
      <c r="E827" s="36" t="s">
        <v>4621</v>
      </c>
      <c r="J827" s="35"/>
    </row>
    <row r="828" spans="1:10" ht="28.8" x14ac:dyDescent="0.3">
      <c r="A828" s="27" t="s">
        <v>103</v>
      </c>
      <c r="B828" s="34"/>
      <c r="E828" s="36" t="s">
        <v>4622</v>
      </c>
      <c r="J828" s="35"/>
    </row>
    <row r="829" spans="1:10" ht="28.8" x14ac:dyDescent="0.3">
      <c r="A829" s="27" t="s">
        <v>103</v>
      </c>
      <c r="B829" s="34"/>
      <c r="E829" s="36" t="s">
        <v>4623</v>
      </c>
      <c r="J829" s="35"/>
    </row>
    <row r="830" spans="1:10" ht="28.8" x14ac:dyDescent="0.3">
      <c r="A830" s="27" t="s">
        <v>103</v>
      </c>
      <c r="B830" s="34"/>
      <c r="E830" s="36" t="s">
        <v>4624</v>
      </c>
      <c r="J830" s="35"/>
    </row>
    <row r="831" spans="1:10" ht="28.8" x14ac:dyDescent="0.3">
      <c r="A831" s="27" t="s">
        <v>103</v>
      </c>
      <c r="B831" s="34"/>
      <c r="E831" s="36" t="s">
        <v>4625</v>
      </c>
      <c r="J831" s="35"/>
    </row>
    <row r="832" spans="1:10" ht="28.8" x14ac:dyDescent="0.3">
      <c r="A832" s="27" t="s">
        <v>103</v>
      </c>
      <c r="B832" s="34"/>
      <c r="E832" s="36" t="s">
        <v>4626</v>
      </c>
      <c r="J832" s="35"/>
    </row>
    <row r="833" spans="1:16" ht="28.8" x14ac:dyDescent="0.3">
      <c r="A833" s="27" t="s">
        <v>103</v>
      </c>
      <c r="B833" s="34"/>
      <c r="E833" s="36" t="s">
        <v>4627</v>
      </c>
      <c r="J833" s="35"/>
    </row>
    <row r="834" spans="1:16" ht="28.8" x14ac:dyDescent="0.3">
      <c r="A834" s="27" t="s">
        <v>103</v>
      </c>
      <c r="B834" s="34"/>
      <c r="E834" s="36" t="s">
        <v>4628</v>
      </c>
      <c r="J834" s="35"/>
    </row>
    <row r="835" spans="1:16" ht="28.8" x14ac:dyDescent="0.3">
      <c r="A835" s="27" t="s">
        <v>103</v>
      </c>
      <c r="B835" s="34"/>
      <c r="E835" s="36" t="s">
        <v>4629</v>
      </c>
      <c r="J835" s="35"/>
    </row>
    <row r="836" spans="1:16" ht="28.8" x14ac:dyDescent="0.3">
      <c r="A836" s="27" t="s">
        <v>103</v>
      </c>
      <c r="B836" s="34"/>
      <c r="E836" s="36" t="s">
        <v>4630</v>
      </c>
      <c r="J836" s="35"/>
    </row>
    <row r="837" spans="1:16" ht="28.8" x14ac:dyDescent="0.3">
      <c r="A837" s="27" t="s">
        <v>103</v>
      </c>
      <c r="B837" s="34"/>
      <c r="E837" s="36" t="s">
        <v>4631</v>
      </c>
      <c r="J837" s="35"/>
    </row>
    <row r="838" spans="1:16" ht="28.8" x14ac:dyDescent="0.3">
      <c r="A838" s="27" t="s">
        <v>103</v>
      </c>
      <c r="B838" s="34"/>
      <c r="E838" s="36" t="s">
        <v>4632</v>
      </c>
      <c r="J838" s="35"/>
    </row>
    <row r="839" spans="1:16" ht="28.8" x14ac:dyDescent="0.3">
      <c r="A839" s="27" t="s">
        <v>103</v>
      </c>
      <c r="B839" s="34"/>
      <c r="E839" s="36" t="s">
        <v>4633</v>
      </c>
      <c r="J839" s="35"/>
    </row>
    <row r="840" spans="1:16" ht="28.8" x14ac:dyDescent="0.3">
      <c r="A840" s="27" t="s">
        <v>103</v>
      </c>
      <c r="B840" s="34"/>
      <c r="E840" s="36" t="s">
        <v>4634</v>
      </c>
      <c r="J840" s="35"/>
    </row>
    <row r="841" spans="1:16" ht="28.8" x14ac:dyDescent="0.3">
      <c r="A841" s="27" t="s">
        <v>103</v>
      </c>
      <c r="B841" s="34"/>
      <c r="E841" s="36" t="s">
        <v>4635</v>
      </c>
      <c r="J841" s="35"/>
    </row>
    <row r="842" spans="1:16" ht="28.8" x14ac:dyDescent="0.3">
      <c r="A842" s="27" t="s">
        <v>103</v>
      </c>
      <c r="B842" s="34"/>
      <c r="E842" s="36" t="s">
        <v>4636</v>
      </c>
      <c r="J842" s="35"/>
    </row>
    <row r="843" spans="1:16" x14ac:dyDescent="0.3">
      <c r="A843" s="27" t="s">
        <v>103</v>
      </c>
      <c r="B843" s="34"/>
      <c r="E843" s="36" t="s">
        <v>4637</v>
      </c>
      <c r="J843" s="35"/>
    </row>
    <row r="844" spans="1:16" ht="100.8" x14ac:dyDescent="0.3">
      <c r="A844" s="27" t="s">
        <v>105</v>
      </c>
      <c r="B844" s="34"/>
      <c r="E844" s="29" t="s">
        <v>4638</v>
      </c>
      <c r="J844" s="35"/>
    </row>
    <row r="845" spans="1:16" ht="28.8" x14ac:dyDescent="0.3">
      <c r="A845" s="27" t="s">
        <v>95</v>
      </c>
      <c r="B845" s="27">
        <v>13</v>
      </c>
      <c r="C845" s="28" t="s">
        <v>4168</v>
      </c>
      <c r="D845" s="27" t="s">
        <v>266</v>
      </c>
      <c r="E845" s="29" t="s">
        <v>4169</v>
      </c>
      <c r="F845" s="30" t="s">
        <v>248</v>
      </c>
      <c r="G845" s="31">
        <v>160.94399999999999</v>
      </c>
      <c r="H845" s="32">
        <v>0</v>
      </c>
      <c r="I845" s="32">
        <f>ROUND(160.944*H845,P4)</f>
        <v>0</v>
      </c>
      <c r="J845" s="30" t="s">
        <v>118</v>
      </c>
      <c r="O845" s="33">
        <f>I845*0.21</f>
        <v>0</v>
      </c>
      <c r="P845">
        <v>3</v>
      </c>
    </row>
    <row r="846" spans="1:16" ht="316.8" x14ac:dyDescent="0.3">
      <c r="A846" s="27" t="s">
        <v>101</v>
      </c>
      <c r="B846" s="34"/>
      <c r="E846" s="29" t="s">
        <v>4170</v>
      </c>
      <c r="J846" s="35"/>
    </row>
    <row r="847" spans="1:16" ht="28.8" x14ac:dyDescent="0.3">
      <c r="A847" s="27" t="s">
        <v>103</v>
      </c>
      <c r="B847" s="34"/>
      <c r="E847" s="36" t="s">
        <v>4639</v>
      </c>
      <c r="J847" s="35"/>
    </row>
    <row r="848" spans="1:16" ht="28.8" x14ac:dyDescent="0.3">
      <c r="A848" s="27" t="s">
        <v>103</v>
      </c>
      <c r="B848" s="34"/>
      <c r="E848" s="36" t="s">
        <v>4640</v>
      </c>
      <c r="J848" s="35"/>
    </row>
    <row r="849" spans="1:10" ht="28.8" x14ac:dyDescent="0.3">
      <c r="A849" s="27" t="s">
        <v>103</v>
      </c>
      <c r="B849" s="34"/>
      <c r="E849" s="36" t="s">
        <v>4641</v>
      </c>
      <c r="J849" s="35"/>
    </row>
    <row r="850" spans="1:10" ht="28.8" x14ac:dyDescent="0.3">
      <c r="A850" s="27" t="s">
        <v>103</v>
      </c>
      <c r="B850" s="34"/>
      <c r="E850" s="36" t="s">
        <v>4642</v>
      </c>
      <c r="J850" s="35"/>
    </row>
    <row r="851" spans="1:10" ht="28.8" x14ac:dyDescent="0.3">
      <c r="A851" s="27" t="s">
        <v>103</v>
      </c>
      <c r="B851" s="34"/>
      <c r="E851" s="36" t="s">
        <v>4643</v>
      </c>
      <c r="J851" s="35"/>
    </row>
    <row r="852" spans="1:10" ht="28.8" x14ac:dyDescent="0.3">
      <c r="A852" s="27" t="s">
        <v>103</v>
      </c>
      <c r="B852" s="34"/>
      <c r="E852" s="36" t="s">
        <v>4644</v>
      </c>
      <c r="J852" s="35"/>
    </row>
    <row r="853" spans="1:10" ht="28.8" x14ac:dyDescent="0.3">
      <c r="A853" s="27" t="s">
        <v>103</v>
      </c>
      <c r="B853" s="34"/>
      <c r="E853" s="36" t="s">
        <v>4645</v>
      </c>
      <c r="J853" s="35"/>
    </row>
    <row r="854" spans="1:10" ht="28.8" x14ac:dyDescent="0.3">
      <c r="A854" s="27" t="s">
        <v>103</v>
      </c>
      <c r="B854" s="34"/>
      <c r="E854" s="36" t="s">
        <v>4646</v>
      </c>
      <c r="J854" s="35"/>
    </row>
    <row r="855" spans="1:10" ht="28.8" x14ac:dyDescent="0.3">
      <c r="A855" s="27" t="s">
        <v>103</v>
      </c>
      <c r="B855" s="34"/>
      <c r="E855" s="36" t="s">
        <v>4647</v>
      </c>
      <c r="J855" s="35"/>
    </row>
    <row r="856" spans="1:10" ht="28.8" x14ac:dyDescent="0.3">
      <c r="A856" s="27" t="s">
        <v>103</v>
      </c>
      <c r="B856" s="34"/>
      <c r="E856" s="36" t="s">
        <v>4648</v>
      </c>
      <c r="J856" s="35"/>
    </row>
    <row r="857" spans="1:10" ht="28.8" x14ac:dyDescent="0.3">
      <c r="A857" s="27" t="s">
        <v>103</v>
      </c>
      <c r="B857" s="34"/>
      <c r="E857" s="36" t="s">
        <v>4649</v>
      </c>
      <c r="J857" s="35"/>
    </row>
    <row r="858" spans="1:10" ht="28.8" x14ac:dyDescent="0.3">
      <c r="A858" s="27" t="s">
        <v>103</v>
      </c>
      <c r="B858" s="34"/>
      <c r="E858" s="36" t="s">
        <v>4650</v>
      </c>
      <c r="J858" s="35"/>
    </row>
    <row r="859" spans="1:10" ht="28.8" x14ac:dyDescent="0.3">
      <c r="A859" s="27" t="s">
        <v>103</v>
      </c>
      <c r="B859" s="34"/>
      <c r="E859" s="36" t="s">
        <v>4651</v>
      </c>
      <c r="J859" s="35"/>
    </row>
    <row r="860" spans="1:10" ht="28.8" x14ac:dyDescent="0.3">
      <c r="A860" s="27" t="s">
        <v>103</v>
      </c>
      <c r="B860" s="34"/>
      <c r="E860" s="36" t="s">
        <v>4652</v>
      </c>
      <c r="J860" s="35"/>
    </row>
    <row r="861" spans="1:10" ht="28.8" x14ac:dyDescent="0.3">
      <c r="A861" s="27" t="s">
        <v>103</v>
      </c>
      <c r="B861" s="34"/>
      <c r="E861" s="36" t="s">
        <v>4653</v>
      </c>
      <c r="J861" s="35"/>
    </row>
    <row r="862" spans="1:10" ht="28.8" x14ac:dyDescent="0.3">
      <c r="A862" s="27" t="s">
        <v>103</v>
      </c>
      <c r="B862" s="34"/>
      <c r="E862" s="36" t="s">
        <v>4654</v>
      </c>
      <c r="J862" s="35"/>
    </row>
    <row r="863" spans="1:10" ht="28.8" x14ac:dyDescent="0.3">
      <c r="A863" s="27" t="s">
        <v>103</v>
      </c>
      <c r="B863" s="34"/>
      <c r="E863" s="36" t="s">
        <v>4655</v>
      </c>
      <c r="J863" s="35"/>
    </row>
    <row r="864" spans="1:10" ht="28.8" x14ac:dyDescent="0.3">
      <c r="A864" s="27" t="s">
        <v>103</v>
      </c>
      <c r="B864" s="34"/>
      <c r="E864" s="36" t="s">
        <v>4656</v>
      </c>
      <c r="J864" s="35"/>
    </row>
    <row r="865" spans="1:10" ht="28.8" x14ac:dyDescent="0.3">
      <c r="A865" s="27" t="s">
        <v>103</v>
      </c>
      <c r="B865" s="34"/>
      <c r="E865" s="36" t="s">
        <v>4657</v>
      </c>
      <c r="J865" s="35"/>
    </row>
    <row r="866" spans="1:10" ht="28.8" x14ac:dyDescent="0.3">
      <c r="A866" s="27" t="s">
        <v>103</v>
      </c>
      <c r="B866" s="34"/>
      <c r="E866" s="36" t="s">
        <v>4658</v>
      </c>
      <c r="J866" s="35"/>
    </row>
    <row r="867" spans="1:10" ht="28.8" x14ac:dyDescent="0.3">
      <c r="A867" s="27" t="s">
        <v>103</v>
      </c>
      <c r="B867" s="34"/>
      <c r="E867" s="36" t="s">
        <v>4659</v>
      </c>
      <c r="J867" s="35"/>
    </row>
    <row r="868" spans="1:10" ht="28.8" x14ac:dyDescent="0.3">
      <c r="A868" s="27" t="s">
        <v>103</v>
      </c>
      <c r="B868" s="34"/>
      <c r="E868" s="36" t="s">
        <v>4660</v>
      </c>
      <c r="J868" s="35"/>
    </row>
    <row r="869" spans="1:10" ht="28.8" x14ac:dyDescent="0.3">
      <c r="A869" s="27" t="s">
        <v>103</v>
      </c>
      <c r="B869" s="34"/>
      <c r="E869" s="36" t="s">
        <v>4661</v>
      </c>
      <c r="J869" s="35"/>
    </row>
    <row r="870" spans="1:10" ht="28.8" x14ac:dyDescent="0.3">
      <c r="A870" s="27" t="s">
        <v>103</v>
      </c>
      <c r="B870" s="34"/>
      <c r="E870" s="36" t="s">
        <v>4662</v>
      </c>
      <c r="J870" s="35"/>
    </row>
    <row r="871" spans="1:10" ht="28.8" x14ac:dyDescent="0.3">
      <c r="A871" s="27" t="s">
        <v>103</v>
      </c>
      <c r="B871" s="34"/>
      <c r="E871" s="36" t="s">
        <v>4663</v>
      </c>
      <c r="J871" s="35"/>
    </row>
    <row r="872" spans="1:10" ht="28.8" x14ac:dyDescent="0.3">
      <c r="A872" s="27" t="s">
        <v>103</v>
      </c>
      <c r="B872" s="34"/>
      <c r="E872" s="36" t="s">
        <v>4664</v>
      </c>
      <c r="J872" s="35"/>
    </row>
    <row r="873" spans="1:10" ht="28.8" x14ac:dyDescent="0.3">
      <c r="A873" s="27" t="s">
        <v>103</v>
      </c>
      <c r="B873" s="34"/>
      <c r="E873" s="36" t="s">
        <v>4665</v>
      </c>
      <c r="J873" s="35"/>
    </row>
    <row r="874" spans="1:10" ht="28.8" x14ac:dyDescent="0.3">
      <c r="A874" s="27" t="s">
        <v>103</v>
      </c>
      <c r="B874" s="34"/>
      <c r="E874" s="36" t="s">
        <v>4666</v>
      </c>
      <c r="J874" s="35"/>
    </row>
    <row r="875" spans="1:10" ht="28.8" x14ac:dyDescent="0.3">
      <c r="A875" s="27" t="s">
        <v>103</v>
      </c>
      <c r="B875" s="34"/>
      <c r="E875" s="36" t="s">
        <v>4667</v>
      </c>
      <c r="J875" s="35"/>
    </row>
    <row r="876" spans="1:10" ht="28.8" x14ac:dyDescent="0.3">
      <c r="A876" s="27" t="s">
        <v>103</v>
      </c>
      <c r="B876" s="34"/>
      <c r="E876" s="36" t="s">
        <v>4668</v>
      </c>
      <c r="J876" s="35"/>
    </row>
    <row r="877" spans="1:10" ht="28.8" x14ac:dyDescent="0.3">
      <c r="A877" s="27" t="s">
        <v>103</v>
      </c>
      <c r="B877" s="34"/>
      <c r="E877" s="36" t="s">
        <v>4669</v>
      </c>
      <c r="J877" s="35"/>
    </row>
    <row r="878" spans="1:10" ht="28.8" x14ac:dyDescent="0.3">
      <c r="A878" s="27" t="s">
        <v>103</v>
      </c>
      <c r="B878" s="34"/>
      <c r="E878" s="36" t="s">
        <v>4670</v>
      </c>
      <c r="J878" s="35"/>
    </row>
    <row r="879" spans="1:10" ht="28.8" x14ac:dyDescent="0.3">
      <c r="A879" s="27" t="s">
        <v>103</v>
      </c>
      <c r="B879" s="34"/>
      <c r="E879" s="36" t="s">
        <v>4671</v>
      </c>
      <c r="J879" s="35"/>
    </row>
    <row r="880" spans="1:10" ht="28.8" x14ac:dyDescent="0.3">
      <c r="A880" s="27" t="s">
        <v>103</v>
      </c>
      <c r="B880" s="34"/>
      <c r="E880" s="36" t="s">
        <v>4672</v>
      </c>
      <c r="J880" s="35"/>
    </row>
    <row r="881" spans="1:10" ht="28.8" x14ac:dyDescent="0.3">
      <c r="A881" s="27" t="s">
        <v>103</v>
      </c>
      <c r="B881" s="34"/>
      <c r="E881" s="36" t="s">
        <v>4673</v>
      </c>
      <c r="J881" s="35"/>
    </row>
    <row r="882" spans="1:10" ht="28.8" x14ac:dyDescent="0.3">
      <c r="A882" s="27" t="s">
        <v>103</v>
      </c>
      <c r="B882" s="34"/>
      <c r="E882" s="36" t="s">
        <v>4674</v>
      </c>
      <c r="J882" s="35"/>
    </row>
    <row r="883" spans="1:10" ht="28.8" x14ac:dyDescent="0.3">
      <c r="A883" s="27" t="s">
        <v>103</v>
      </c>
      <c r="B883" s="34"/>
      <c r="E883" s="36" t="s">
        <v>4675</v>
      </c>
      <c r="J883" s="35"/>
    </row>
    <row r="884" spans="1:10" ht="28.8" x14ac:dyDescent="0.3">
      <c r="A884" s="27" t="s">
        <v>103</v>
      </c>
      <c r="B884" s="34"/>
      <c r="E884" s="36" t="s">
        <v>4676</v>
      </c>
      <c r="J884" s="35"/>
    </row>
    <row r="885" spans="1:10" ht="28.8" x14ac:dyDescent="0.3">
      <c r="A885" s="27" t="s">
        <v>103</v>
      </c>
      <c r="B885" s="34"/>
      <c r="E885" s="36" t="s">
        <v>4677</v>
      </c>
      <c r="J885" s="35"/>
    </row>
    <row r="886" spans="1:10" ht="28.8" x14ac:dyDescent="0.3">
      <c r="A886" s="27" t="s">
        <v>103</v>
      </c>
      <c r="B886" s="34"/>
      <c r="E886" s="36" t="s">
        <v>4678</v>
      </c>
      <c r="J886" s="35"/>
    </row>
    <row r="887" spans="1:10" ht="28.8" x14ac:dyDescent="0.3">
      <c r="A887" s="27" t="s">
        <v>103</v>
      </c>
      <c r="B887" s="34"/>
      <c r="E887" s="36" t="s">
        <v>4679</v>
      </c>
      <c r="J887" s="35"/>
    </row>
    <row r="888" spans="1:10" ht="28.8" x14ac:dyDescent="0.3">
      <c r="A888" s="27" t="s">
        <v>103</v>
      </c>
      <c r="B888" s="34"/>
      <c r="E888" s="36" t="s">
        <v>4680</v>
      </c>
      <c r="J888" s="35"/>
    </row>
    <row r="889" spans="1:10" ht="28.8" x14ac:dyDescent="0.3">
      <c r="A889" s="27" t="s">
        <v>103</v>
      </c>
      <c r="B889" s="34"/>
      <c r="E889" s="36" t="s">
        <v>4681</v>
      </c>
      <c r="J889" s="35"/>
    </row>
    <row r="890" spans="1:10" ht="28.8" x14ac:dyDescent="0.3">
      <c r="A890" s="27" t="s">
        <v>103</v>
      </c>
      <c r="B890" s="34"/>
      <c r="E890" s="36" t="s">
        <v>4682</v>
      </c>
      <c r="J890" s="35"/>
    </row>
    <row r="891" spans="1:10" ht="28.8" x14ac:dyDescent="0.3">
      <c r="A891" s="27" t="s">
        <v>103</v>
      </c>
      <c r="B891" s="34"/>
      <c r="E891" s="36" t="s">
        <v>4683</v>
      </c>
      <c r="J891" s="35"/>
    </row>
    <row r="892" spans="1:10" ht="28.8" x14ac:dyDescent="0.3">
      <c r="A892" s="27" t="s">
        <v>103</v>
      </c>
      <c r="B892" s="34"/>
      <c r="E892" s="36" t="s">
        <v>4684</v>
      </c>
      <c r="J892" s="35"/>
    </row>
    <row r="893" spans="1:10" ht="28.8" x14ac:dyDescent="0.3">
      <c r="A893" s="27" t="s">
        <v>103</v>
      </c>
      <c r="B893" s="34"/>
      <c r="E893" s="36" t="s">
        <v>4685</v>
      </c>
      <c r="J893" s="35"/>
    </row>
    <row r="894" spans="1:10" ht="28.8" x14ac:dyDescent="0.3">
      <c r="A894" s="27" t="s">
        <v>103</v>
      </c>
      <c r="B894" s="34"/>
      <c r="E894" s="36" t="s">
        <v>4686</v>
      </c>
      <c r="J894" s="35"/>
    </row>
    <row r="895" spans="1:10" ht="28.8" x14ac:dyDescent="0.3">
      <c r="A895" s="27" t="s">
        <v>103</v>
      </c>
      <c r="B895" s="34"/>
      <c r="E895" s="36" t="s">
        <v>4687</v>
      </c>
      <c r="J895" s="35"/>
    </row>
    <row r="896" spans="1:10" ht="28.8" x14ac:dyDescent="0.3">
      <c r="A896" s="27" t="s">
        <v>103</v>
      </c>
      <c r="B896" s="34"/>
      <c r="E896" s="36" t="s">
        <v>4688</v>
      </c>
      <c r="J896" s="35"/>
    </row>
    <row r="897" spans="1:10" ht="28.8" x14ac:dyDescent="0.3">
      <c r="A897" s="27" t="s">
        <v>103</v>
      </c>
      <c r="B897" s="34"/>
      <c r="E897" s="36" t="s">
        <v>4689</v>
      </c>
      <c r="J897" s="35"/>
    </row>
    <row r="898" spans="1:10" ht="28.8" x14ac:dyDescent="0.3">
      <c r="A898" s="27" t="s">
        <v>103</v>
      </c>
      <c r="B898" s="34"/>
      <c r="E898" s="36" t="s">
        <v>4690</v>
      </c>
      <c r="J898" s="35"/>
    </row>
    <row r="899" spans="1:10" ht="28.8" x14ac:dyDescent="0.3">
      <c r="A899" s="27" t="s">
        <v>103</v>
      </c>
      <c r="B899" s="34"/>
      <c r="E899" s="36" t="s">
        <v>4691</v>
      </c>
      <c r="J899" s="35"/>
    </row>
    <row r="900" spans="1:10" ht="28.8" x14ac:dyDescent="0.3">
      <c r="A900" s="27" t="s">
        <v>103</v>
      </c>
      <c r="B900" s="34"/>
      <c r="E900" s="36" t="s">
        <v>4692</v>
      </c>
      <c r="J900" s="35"/>
    </row>
    <row r="901" spans="1:10" ht="28.8" x14ac:dyDescent="0.3">
      <c r="A901" s="27" t="s">
        <v>103</v>
      </c>
      <c r="B901" s="34"/>
      <c r="E901" s="36" t="s">
        <v>4693</v>
      </c>
      <c r="J901" s="35"/>
    </row>
    <row r="902" spans="1:10" ht="28.8" x14ac:dyDescent="0.3">
      <c r="A902" s="27" t="s">
        <v>103</v>
      </c>
      <c r="B902" s="34"/>
      <c r="E902" s="36" t="s">
        <v>4694</v>
      </c>
      <c r="J902" s="35"/>
    </row>
    <row r="903" spans="1:10" ht="28.8" x14ac:dyDescent="0.3">
      <c r="A903" s="27" t="s">
        <v>103</v>
      </c>
      <c r="B903" s="34"/>
      <c r="E903" s="36" t="s">
        <v>4695</v>
      </c>
      <c r="J903" s="35"/>
    </row>
    <row r="904" spans="1:10" ht="28.8" x14ac:dyDescent="0.3">
      <c r="A904" s="27" t="s">
        <v>103</v>
      </c>
      <c r="B904" s="34"/>
      <c r="E904" s="36" t="s">
        <v>4696</v>
      </c>
      <c r="J904" s="35"/>
    </row>
    <row r="905" spans="1:10" ht="28.8" x14ac:dyDescent="0.3">
      <c r="A905" s="27" t="s">
        <v>103</v>
      </c>
      <c r="B905" s="34"/>
      <c r="E905" s="36" t="s">
        <v>4697</v>
      </c>
      <c r="J905" s="35"/>
    </row>
    <row r="906" spans="1:10" ht="28.8" x14ac:dyDescent="0.3">
      <c r="A906" s="27" t="s">
        <v>103</v>
      </c>
      <c r="B906" s="34"/>
      <c r="E906" s="36" t="s">
        <v>4698</v>
      </c>
      <c r="J906" s="35"/>
    </row>
    <row r="907" spans="1:10" ht="28.8" x14ac:dyDescent="0.3">
      <c r="A907" s="27" t="s">
        <v>103</v>
      </c>
      <c r="B907" s="34"/>
      <c r="E907" s="36" t="s">
        <v>4699</v>
      </c>
      <c r="J907" s="35"/>
    </row>
    <row r="908" spans="1:10" ht="28.8" x14ac:dyDescent="0.3">
      <c r="A908" s="27" t="s">
        <v>103</v>
      </c>
      <c r="B908" s="34"/>
      <c r="E908" s="36" t="s">
        <v>4700</v>
      </c>
      <c r="J908" s="35"/>
    </row>
    <row r="909" spans="1:10" ht="28.8" x14ac:dyDescent="0.3">
      <c r="A909" s="27" t="s">
        <v>103</v>
      </c>
      <c r="B909" s="34"/>
      <c r="E909" s="36" t="s">
        <v>4701</v>
      </c>
      <c r="J909" s="35"/>
    </row>
    <row r="910" spans="1:10" ht="28.8" x14ac:dyDescent="0.3">
      <c r="A910" s="27" t="s">
        <v>103</v>
      </c>
      <c r="B910" s="34"/>
      <c r="E910" s="36" t="s">
        <v>4702</v>
      </c>
      <c r="J910" s="35"/>
    </row>
    <row r="911" spans="1:10" ht="28.8" x14ac:dyDescent="0.3">
      <c r="A911" s="27" t="s">
        <v>103</v>
      </c>
      <c r="B911" s="34"/>
      <c r="E911" s="36" t="s">
        <v>4703</v>
      </c>
      <c r="J911" s="35"/>
    </row>
    <row r="912" spans="1:10" ht="28.8" x14ac:dyDescent="0.3">
      <c r="A912" s="27" t="s">
        <v>103</v>
      </c>
      <c r="B912" s="34"/>
      <c r="E912" s="36" t="s">
        <v>4704</v>
      </c>
      <c r="J912" s="35"/>
    </row>
    <row r="913" spans="1:10" ht="28.8" x14ac:dyDescent="0.3">
      <c r="A913" s="27" t="s">
        <v>103</v>
      </c>
      <c r="B913" s="34"/>
      <c r="E913" s="36" t="s">
        <v>4705</v>
      </c>
      <c r="J913" s="35"/>
    </row>
    <row r="914" spans="1:10" ht="28.8" x14ac:dyDescent="0.3">
      <c r="A914" s="27" t="s">
        <v>103</v>
      </c>
      <c r="B914" s="34"/>
      <c r="E914" s="36" t="s">
        <v>4706</v>
      </c>
      <c r="J914" s="35"/>
    </row>
    <row r="915" spans="1:10" ht="28.8" x14ac:dyDescent="0.3">
      <c r="A915" s="27" t="s">
        <v>103</v>
      </c>
      <c r="B915" s="34"/>
      <c r="E915" s="36" t="s">
        <v>4707</v>
      </c>
      <c r="J915" s="35"/>
    </row>
    <row r="916" spans="1:10" ht="28.8" x14ac:dyDescent="0.3">
      <c r="A916" s="27" t="s">
        <v>103</v>
      </c>
      <c r="B916" s="34"/>
      <c r="E916" s="36" t="s">
        <v>4708</v>
      </c>
      <c r="J916" s="35"/>
    </row>
    <row r="917" spans="1:10" ht="28.8" x14ac:dyDescent="0.3">
      <c r="A917" s="27" t="s">
        <v>103</v>
      </c>
      <c r="B917" s="34"/>
      <c r="E917" s="36" t="s">
        <v>4709</v>
      </c>
      <c r="J917" s="35"/>
    </row>
    <row r="918" spans="1:10" ht="28.8" x14ac:dyDescent="0.3">
      <c r="A918" s="27" t="s">
        <v>103</v>
      </c>
      <c r="B918" s="34"/>
      <c r="E918" s="36" t="s">
        <v>4710</v>
      </c>
      <c r="J918" s="35"/>
    </row>
    <row r="919" spans="1:10" ht="28.8" x14ac:dyDescent="0.3">
      <c r="A919" s="27" t="s">
        <v>103</v>
      </c>
      <c r="B919" s="34"/>
      <c r="E919" s="36" t="s">
        <v>4711</v>
      </c>
      <c r="J919" s="35"/>
    </row>
    <row r="920" spans="1:10" ht="28.8" x14ac:dyDescent="0.3">
      <c r="A920" s="27" t="s">
        <v>103</v>
      </c>
      <c r="B920" s="34"/>
      <c r="E920" s="36" t="s">
        <v>4712</v>
      </c>
      <c r="J920" s="35"/>
    </row>
    <row r="921" spans="1:10" ht="28.8" x14ac:dyDescent="0.3">
      <c r="A921" s="27" t="s">
        <v>103</v>
      </c>
      <c r="B921" s="34"/>
      <c r="E921" s="36" t="s">
        <v>4713</v>
      </c>
      <c r="J921" s="35"/>
    </row>
    <row r="922" spans="1:10" ht="28.8" x14ac:dyDescent="0.3">
      <c r="A922" s="27" t="s">
        <v>103</v>
      </c>
      <c r="B922" s="34"/>
      <c r="E922" s="36" t="s">
        <v>4714</v>
      </c>
      <c r="J922" s="35"/>
    </row>
    <row r="923" spans="1:10" ht="28.8" x14ac:dyDescent="0.3">
      <c r="A923" s="27" t="s">
        <v>103</v>
      </c>
      <c r="B923" s="34"/>
      <c r="E923" s="36" t="s">
        <v>4715</v>
      </c>
      <c r="J923" s="35"/>
    </row>
    <row r="924" spans="1:10" ht="28.8" x14ac:dyDescent="0.3">
      <c r="A924" s="27" t="s">
        <v>103</v>
      </c>
      <c r="B924" s="34"/>
      <c r="E924" s="36" t="s">
        <v>4716</v>
      </c>
      <c r="J924" s="35"/>
    </row>
    <row r="925" spans="1:10" ht="28.8" x14ac:dyDescent="0.3">
      <c r="A925" s="27" t="s">
        <v>103</v>
      </c>
      <c r="B925" s="34"/>
      <c r="E925" s="36" t="s">
        <v>4717</v>
      </c>
      <c r="J925" s="35"/>
    </row>
    <row r="926" spans="1:10" ht="28.8" x14ac:dyDescent="0.3">
      <c r="A926" s="27" t="s">
        <v>103</v>
      </c>
      <c r="B926" s="34"/>
      <c r="E926" s="36" t="s">
        <v>4718</v>
      </c>
      <c r="J926" s="35"/>
    </row>
    <row r="927" spans="1:10" ht="28.8" x14ac:dyDescent="0.3">
      <c r="A927" s="27" t="s">
        <v>103</v>
      </c>
      <c r="B927" s="34"/>
      <c r="E927" s="36" t="s">
        <v>4719</v>
      </c>
      <c r="J927" s="35"/>
    </row>
    <row r="928" spans="1:10" ht="28.8" x14ac:dyDescent="0.3">
      <c r="A928" s="27" t="s">
        <v>103</v>
      </c>
      <c r="B928" s="34"/>
      <c r="E928" s="36" t="s">
        <v>4720</v>
      </c>
      <c r="J928" s="35"/>
    </row>
    <row r="929" spans="1:10" ht="28.8" x14ac:dyDescent="0.3">
      <c r="A929" s="27" t="s">
        <v>103</v>
      </c>
      <c r="B929" s="34"/>
      <c r="E929" s="36" t="s">
        <v>4721</v>
      </c>
      <c r="J929" s="35"/>
    </row>
    <row r="930" spans="1:10" ht="28.8" x14ac:dyDescent="0.3">
      <c r="A930" s="27" t="s">
        <v>103</v>
      </c>
      <c r="B930" s="34"/>
      <c r="E930" s="36" t="s">
        <v>4722</v>
      </c>
      <c r="J930" s="35"/>
    </row>
    <row r="931" spans="1:10" ht="28.8" x14ac:dyDescent="0.3">
      <c r="A931" s="27" t="s">
        <v>103</v>
      </c>
      <c r="B931" s="34"/>
      <c r="E931" s="36" t="s">
        <v>4723</v>
      </c>
      <c r="J931" s="35"/>
    </row>
    <row r="932" spans="1:10" ht="28.8" x14ac:dyDescent="0.3">
      <c r="A932" s="27" t="s">
        <v>103</v>
      </c>
      <c r="B932" s="34"/>
      <c r="E932" s="36" t="s">
        <v>4724</v>
      </c>
      <c r="J932" s="35"/>
    </row>
    <row r="933" spans="1:10" ht="28.8" x14ac:dyDescent="0.3">
      <c r="A933" s="27" t="s">
        <v>103</v>
      </c>
      <c r="B933" s="34"/>
      <c r="E933" s="36" t="s">
        <v>4725</v>
      </c>
      <c r="J933" s="35"/>
    </row>
    <row r="934" spans="1:10" ht="28.8" x14ac:dyDescent="0.3">
      <c r="A934" s="27" t="s">
        <v>103</v>
      </c>
      <c r="B934" s="34"/>
      <c r="E934" s="36" t="s">
        <v>4726</v>
      </c>
      <c r="J934" s="35"/>
    </row>
    <row r="935" spans="1:10" ht="28.8" x14ac:dyDescent="0.3">
      <c r="A935" s="27" t="s">
        <v>103</v>
      </c>
      <c r="B935" s="34"/>
      <c r="E935" s="36" t="s">
        <v>4727</v>
      </c>
      <c r="J935" s="35"/>
    </row>
    <row r="936" spans="1:10" ht="28.8" x14ac:dyDescent="0.3">
      <c r="A936" s="27" t="s">
        <v>103</v>
      </c>
      <c r="B936" s="34"/>
      <c r="E936" s="36" t="s">
        <v>4728</v>
      </c>
      <c r="J936" s="35"/>
    </row>
    <row r="937" spans="1:10" ht="28.8" x14ac:dyDescent="0.3">
      <c r="A937" s="27" t="s">
        <v>103</v>
      </c>
      <c r="B937" s="34"/>
      <c r="E937" s="36" t="s">
        <v>4729</v>
      </c>
      <c r="J937" s="35"/>
    </row>
    <row r="938" spans="1:10" ht="28.8" x14ac:dyDescent="0.3">
      <c r="A938" s="27" t="s">
        <v>103</v>
      </c>
      <c r="B938" s="34"/>
      <c r="E938" s="36" t="s">
        <v>4730</v>
      </c>
      <c r="J938" s="35"/>
    </row>
    <row r="939" spans="1:10" ht="28.8" x14ac:dyDescent="0.3">
      <c r="A939" s="27" t="s">
        <v>103</v>
      </c>
      <c r="B939" s="34"/>
      <c r="E939" s="36" t="s">
        <v>4731</v>
      </c>
      <c r="J939" s="35"/>
    </row>
    <row r="940" spans="1:10" ht="28.8" x14ac:dyDescent="0.3">
      <c r="A940" s="27" t="s">
        <v>103</v>
      </c>
      <c r="B940" s="34"/>
      <c r="E940" s="36" t="s">
        <v>4732</v>
      </c>
      <c r="J940" s="35"/>
    </row>
    <row r="941" spans="1:10" ht="28.8" x14ac:dyDescent="0.3">
      <c r="A941" s="27" t="s">
        <v>103</v>
      </c>
      <c r="B941" s="34"/>
      <c r="E941" s="36" t="s">
        <v>4733</v>
      </c>
      <c r="J941" s="35"/>
    </row>
    <row r="942" spans="1:10" ht="28.8" x14ac:dyDescent="0.3">
      <c r="A942" s="27" t="s">
        <v>103</v>
      </c>
      <c r="B942" s="34"/>
      <c r="E942" s="36" t="s">
        <v>4734</v>
      </c>
      <c r="J942" s="35"/>
    </row>
    <row r="943" spans="1:10" ht="28.8" x14ac:dyDescent="0.3">
      <c r="A943" s="27" t="s">
        <v>103</v>
      </c>
      <c r="B943" s="34"/>
      <c r="E943" s="36" t="s">
        <v>4735</v>
      </c>
      <c r="J943" s="35"/>
    </row>
    <row r="944" spans="1:10" ht="28.8" x14ac:dyDescent="0.3">
      <c r="A944" s="27" t="s">
        <v>103</v>
      </c>
      <c r="B944" s="34"/>
      <c r="E944" s="36" t="s">
        <v>4736</v>
      </c>
      <c r="J944" s="35"/>
    </row>
    <row r="945" spans="1:10" ht="28.8" x14ac:dyDescent="0.3">
      <c r="A945" s="27" t="s">
        <v>103</v>
      </c>
      <c r="B945" s="34"/>
      <c r="E945" s="36" t="s">
        <v>4737</v>
      </c>
      <c r="J945" s="35"/>
    </row>
    <row r="946" spans="1:10" ht="28.8" x14ac:dyDescent="0.3">
      <c r="A946" s="27" t="s">
        <v>103</v>
      </c>
      <c r="B946" s="34"/>
      <c r="E946" s="36" t="s">
        <v>4738</v>
      </c>
      <c r="J946" s="35"/>
    </row>
    <row r="947" spans="1:10" ht="28.8" x14ac:dyDescent="0.3">
      <c r="A947" s="27" t="s">
        <v>103</v>
      </c>
      <c r="B947" s="34"/>
      <c r="E947" s="36" t="s">
        <v>4739</v>
      </c>
      <c r="J947" s="35"/>
    </row>
    <row r="948" spans="1:10" ht="28.8" x14ac:dyDescent="0.3">
      <c r="A948" s="27" t="s">
        <v>103</v>
      </c>
      <c r="B948" s="34"/>
      <c r="E948" s="36" t="s">
        <v>4740</v>
      </c>
      <c r="J948" s="35"/>
    </row>
    <row r="949" spans="1:10" ht="28.8" x14ac:dyDescent="0.3">
      <c r="A949" s="27" t="s">
        <v>103</v>
      </c>
      <c r="B949" s="34"/>
      <c r="E949" s="36" t="s">
        <v>4741</v>
      </c>
      <c r="J949" s="35"/>
    </row>
    <row r="950" spans="1:10" ht="28.8" x14ac:dyDescent="0.3">
      <c r="A950" s="27" t="s">
        <v>103</v>
      </c>
      <c r="B950" s="34"/>
      <c r="E950" s="36" t="s">
        <v>4742</v>
      </c>
      <c r="J950" s="35"/>
    </row>
    <row r="951" spans="1:10" ht="28.8" x14ac:dyDescent="0.3">
      <c r="A951" s="27" t="s">
        <v>103</v>
      </c>
      <c r="B951" s="34"/>
      <c r="E951" s="36" t="s">
        <v>4743</v>
      </c>
      <c r="J951" s="35"/>
    </row>
    <row r="952" spans="1:10" ht="28.8" x14ac:dyDescent="0.3">
      <c r="A952" s="27" t="s">
        <v>103</v>
      </c>
      <c r="B952" s="34"/>
      <c r="E952" s="36" t="s">
        <v>4744</v>
      </c>
      <c r="J952" s="35"/>
    </row>
    <row r="953" spans="1:10" ht="28.8" x14ac:dyDescent="0.3">
      <c r="A953" s="27" t="s">
        <v>103</v>
      </c>
      <c r="B953" s="34"/>
      <c r="E953" s="36" t="s">
        <v>4745</v>
      </c>
      <c r="J953" s="35"/>
    </row>
    <row r="954" spans="1:10" ht="28.8" x14ac:dyDescent="0.3">
      <c r="A954" s="27" t="s">
        <v>103</v>
      </c>
      <c r="B954" s="34"/>
      <c r="E954" s="36" t="s">
        <v>4746</v>
      </c>
      <c r="J954" s="35"/>
    </row>
    <row r="955" spans="1:10" ht="28.8" x14ac:dyDescent="0.3">
      <c r="A955" s="27" t="s">
        <v>103</v>
      </c>
      <c r="B955" s="34"/>
      <c r="E955" s="36" t="s">
        <v>4747</v>
      </c>
      <c r="J955" s="35"/>
    </row>
    <row r="956" spans="1:10" ht="28.8" x14ac:dyDescent="0.3">
      <c r="A956" s="27" t="s">
        <v>103</v>
      </c>
      <c r="B956" s="34"/>
      <c r="E956" s="36" t="s">
        <v>4748</v>
      </c>
      <c r="J956" s="35"/>
    </row>
    <row r="957" spans="1:10" ht="28.8" x14ac:dyDescent="0.3">
      <c r="A957" s="27" t="s">
        <v>103</v>
      </c>
      <c r="B957" s="34"/>
      <c r="E957" s="36" t="s">
        <v>4749</v>
      </c>
      <c r="J957" s="35"/>
    </row>
    <row r="958" spans="1:10" ht="28.8" x14ac:dyDescent="0.3">
      <c r="A958" s="27" t="s">
        <v>103</v>
      </c>
      <c r="B958" s="34"/>
      <c r="E958" s="36" t="s">
        <v>4750</v>
      </c>
      <c r="J958" s="35"/>
    </row>
    <row r="959" spans="1:10" ht="28.8" x14ac:dyDescent="0.3">
      <c r="A959" s="27" t="s">
        <v>103</v>
      </c>
      <c r="B959" s="34"/>
      <c r="E959" s="36" t="s">
        <v>4751</v>
      </c>
      <c r="J959" s="35"/>
    </row>
    <row r="960" spans="1:10" ht="28.8" x14ac:dyDescent="0.3">
      <c r="A960" s="27" t="s">
        <v>103</v>
      </c>
      <c r="B960" s="34"/>
      <c r="E960" s="36" t="s">
        <v>4752</v>
      </c>
      <c r="J960" s="35"/>
    </row>
    <row r="961" spans="1:10" ht="28.8" x14ac:dyDescent="0.3">
      <c r="A961" s="27" t="s">
        <v>103</v>
      </c>
      <c r="B961" s="34"/>
      <c r="E961" s="36" t="s">
        <v>4753</v>
      </c>
      <c r="J961" s="35"/>
    </row>
    <row r="962" spans="1:10" ht="28.8" x14ac:dyDescent="0.3">
      <c r="A962" s="27" t="s">
        <v>103</v>
      </c>
      <c r="B962" s="34"/>
      <c r="E962" s="36" t="s">
        <v>4754</v>
      </c>
      <c r="J962" s="35"/>
    </row>
    <row r="963" spans="1:10" ht="28.8" x14ac:dyDescent="0.3">
      <c r="A963" s="27" t="s">
        <v>103</v>
      </c>
      <c r="B963" s="34"/>
      <c r="E963" s="36" t="s">
        <v>4755</v>
      </c>
      <c r="J963" s="35"/>
    </row>
    <row r="964" spans="1:10" ht="28.8" x14ac:dyDescent="0.3">
      <c r="A964" s="27" t="s">
        <v>103</v>
      </c>
      <c r="B964" s="34"/>
      <c r="E964" s="36" t="s">
        <v>4756</v>
      </c>
      <c r="J964" s="35"/>
    </row>
    <row r="965" spans="1:10" ht="28.8" x14ac:dyDescent="0.3">
      <c r="A965" s="27" t="s">
        <v>103</v>
      </c>
      <c r="B965" s="34"/>
      <c r="E965" s="36" t="s">
        <v>4757</v>
      </c>
      <c r="J965" s="35"/>
    </row>
    <row r="966" spans="1:10" ht="28.8" x14ac:dyDescent="0.3">
      <c r="A966" s="27" t="s">
        <v>103</v>
      </c>
      <c r="B966" s="34"/>
      <c r="E966" s="36" t="s">
        <v>4758</v>
      </c>
      <c r="J966" s="35"/>
    </row>
    <row r="967" spans="1:10" ht="28.8" x14ac:dyDescent="0.3">
      <c r="A967" s="27" t="s">
        <v>103</v>
      </c>
      <c r="B967" s="34"/>
      <c r="E967" s="36" t="s">
        <v>4759</v>
      </c>
      <c r="J967" s="35"/>
    </row>
    <row r="968" spans="1:10" ht="28.8" x14ac:dyDescent="0.3">
      <c r="A968" s="27" t="s">
        <v>103</v>
      </c>
      <c r="B968" s="34"/>
      <c r="E968" s="36" t="s">
        <v>4760</v>
      </c>
      <c r="J968" s="35"/>
    </row>
    <row r="969" spans="1:10" ht="28.8" x14ac:dyDescent="0.3">
      <c r="A969" s="27" t="s">
        <v>103</v>
      </c>
      <c r="B969" s="34"/>
      <c r="E969" s="36" t="s">
        <v>4761</v>
      </c>
      <c r="J969" s="35"/>
    </row>
    <row r="970" spans="1:10" ht="28.8" x14ac:dyDescent="0.3">
      <c r="A970" s="27" t="s">
        <v>103</v>
      </c>
      <c r="B970" s="34"/>
      <c r="E970" s="36" t="s">
        <v>4762</v>
      </c>
      <c r="J970" s="35"/>
    </row>
    <row r="971" spans="1:10" ht="28.8" x14ac:dyDescent="0.3">
      <c r="A971" s="27" t="s">
        <v>103</v>
      </c>
      <c r="B971" s="34"/>
      <c r="E971" s="36" t="s">
        <v>4763</v>
      </c>
      <c r="J971" s="35"/>
    </row>
    <row r="972" spans="1:10" ht="28.8" x14ac:dyDescent="0.3">
      <c r="A972" s="27" t="s">
        <v>103</v>
      </c>
      <c r="B972" s="34"/>
      <c r="E972" s="36" t="s">
        <v>4764</v>
      </c>
      <c r="J972" s="35"/>
    </row>
    <row r="973" spans="1:10" ht="28.8" x14ac:dyDescent="0.3">
      <c r="A973" s="27" t="s">
        <v>103</v>
      </c>
      <c r="B973" s="34"/>
      <c r="E973" s="36" t="s">
        <v>4765</v>
      </c>
      <c r="J973" s="35"/>
    </row>
    <row r="974" spans="1:10" ht="28.8" x14ac:dyDescent="0.3">
      <c r="A974" s="27" t="s">
        <v>103</v>
      </c>
      <c r="B974" s="34"/>
      <c r="E974" s="36" t="s">
        <v>4766</v>
      </c>
      <c r="J974" s="35"/>
    </row>
    <row r="975" spans="1:10" ht="28.8" x14ac:dyDescent="0.3">
      <c r="A975" s="27" t="s">
        <v>103</v>
      </c>
      <c r="B975" s="34"/>
      <c r="E975" s="36" t="s">
        <v>4767</v>
      </c>
      <c r="J975" s="35"/>
    </row>
    <row r="976" spans="1:10" ht="28.8" x14ac:dyDescent="0.3">
      <c r="A976" s="27" t="s">
        <v>103</v>
      </c>
      <c r="B976" s="34"/>
      <c r="E976" s="36" t="s">
        <v>4768</v>
      </c>
      <c r="J976" s="35"/>
    </row>
    <row r="977" spans="1:10" ht="28.8" x14ac:dyDescent="0.3">
      <c r="A977" s="27" t="s">
        <v>103</v>
      </c>
      <c r="B977" s="34"/>
      <c r="E977" s="36" t="s">
        <v>4769</v>
      </c>
      <c r="J977" s="35"/>
    </row>
    <row r="978" spans="1:10" ht="28.8" x14ac:dyDescent="0.3">
      <c r="A978" s="27" t="s">
        <v>103</v>
      </c>
      <c r="B978" s="34"/>
      <c r="E978" s="36" t="s">
        <v>4770</v>
      </c>
      <c r="J978" s="35"/>
    </row>
    <row r="979" spans="1:10" ht="28.8" x14ac:dyDescent="0.3">
      <c r="A979" s="27" t="s">
        <v>103</v>
      </c>
      <c r="B979" s="34"/>
      <c r="E979" s="36" t="s">
        <v>4771</v>
      </c>
      <c r="J979" s="35"/>
    </row>
    <row r="980" spans="1:10" ht="28.8" x14ac:dyDescent="0.3">
      <c r="A980" s="27" t="s">
        <v>103</v>
      </c>
      <c r="B980" s="34"/>
      <c r="E980" s="36" t="s">
        <v>4772</v>
      </c>
      <c r="J980" s="35"/>
    </row>
    <row r="981" spans="1:10" ht="28.8" x14ac:dyDescent="0.3">
      <c r="A981" s="27" t="s">
        <v>103</v>
      </c>
      <c r="B981" s="34"/>
      <c r="E981" s="36" t="s">
        <v>4773</v>
      </c>
      <c r="J981" s="35"/>
    </row>
    <row r="982" spans="1:10" ht="28.8" x14ac:dyDescent="0.3">
      <c r="A982" s="27" t="s">
        <v>103</v>
      </c>
      <c r="B982" s="34"/>
      <c r="E982" s="36" t="s">
        <v>4774</v>
      </c>
      <c r="J982" s="35"/>
    </row>
    <row r="983" spans="1:10" ht="28.8" x14ac:dyDescent="0.3">
      <c r="A983" s="27" t="s">
        <v>103</v>
      </c>
      <c r="B983" s="34"/>
      <c r="E983" s="36" t="s">
        <v>4775</v>
      </c>
      <c r="J983" s="35"/>
    </row>
    <row r="984" spans="1:10" ht="28.8" x14ac:dyDescent="0.3">
      <c r="A984" s="27" t="s">
        <v>103</v>
      </c>
      <c r="B984" s="34"/>
      <c r="E984" s="36" t="s">
        <v>4776</v>
      </c>
      <c r="J984" s="35"/>
    </row>
    <row r="985" spans="1:10" ht="28.8" x14ac:dyDescent="0.3">
      <c r="A985" s="27" t="s">
        <v>103</v>
      </c>
      <c r="B985" s="34"/>
      <c r="E985" s="36" t="s">
        <v>4777</v>
      </c>
      <c r="J985" s="35"/>
    </row>
    <row r="986" spans="1:10" ht="28.8" x14ac:dyDescent="0.3">
      <c r="A986" s="27" t="s">
        <v>103</v>
      </c>
      <c r="B986" s="34"/>
      <c r="E986" s="36" t="s">
        <v>4778</v>
      </c>
      <c r="J986" s="35"/>
    </row>
    <row r="987" spans="1:10" ht="28.8" x14ac:dyDescent="0.3">
      <c r="A987" s="27" t="s">
        <v>103</v>
      </c>
      <c r="B987" s="34"/>
      <c r="E987" s="36" t="s">
        <v>4779</v>
      </c>
      <c r="J987" s="35"/>
    </row>
    <row r="988" spans="1:10" ht="28.8" x14ac:dyDescent="0.3">
      <c r="A988" s="27" t="s">
        <v>103</v>
      </c>
      <c r="B988" s="34"/>
      <c r="E988" s="36" t="s">
        <v>4780</v>
      </c>
      <c r="J988" s="35"/>
    </row>
    <row r="989" spans="1:10" ht="28.8" x14ac:dyDescent="0.3">
      <c r="A989" s="27" t="s">
        <v>103</v>
      </c>
      <c r="B989" s="34"/>
      <c r="E989" s="36" t="s">
        <v>4781</v>
      </c>
      <c r="J989" s="35"/>
    </row>
    <row r="990" spans="1:10" ht="28.8" x14ac:dyDescent="0.3">
      <c r="A990" s="27" t="s">
        <v>103</v>
      </c>
      <c r="B990" s="34"/>
      <c r="E990" s="36" t="s">
        <v>4782</v>
      </c>
      <c r="J990" s="35"/>
    </row>
    <row r="991" spans="1:10" ht="28.8" x14ac:dyDescent="0.3">
      <c r="A991" s="27" t="s">
        <v>103</v>
      </c>
      <c r="B991" s="34"/>
      <c r="E991" s="36" t="s">
        <v>4783</v>
      </c>
      <c r="J991" s="35"/>
    </row>
    <row r="992" spans="1:10" ht="28.8" x14ac:dyDescent="0.3">
      <c r="A992" s="27" t="s">
        <v>103</v>
      </c>
      <c r="B992" s="34"/>
      <c r="E992" s="36" t="s">
        <v>4784</v>
      </c>
      <c r="J992" s="35"/>
    </row>
    <row r="993" spans="1:10" ht="28.8" x14ac:dyDescent="0.3">
      <c r="A993" s="27" t="s">
        <v>103</v>
      </c>
      <c r="B993" s="34"/>
      <c r="E993" s="36" t="s">
        <v>4785</v>
      </c>
      <c r="J993" s="35"/>
    </row>
    <row r="994" spans="1:10" ht="28.8" x14ac:dyDescent="0.3">
      <c r="A994" s="27" t="s">
        <v>103</v>
      </c>
      <c r="B994" s="34"/>
      <c r="E994" s="36" t="s">
        <v>4786</v>
      </c>
      <c r="J994" s="35"/>
    </row>
    <row r="995" spans="1:10" ht="28.8" x14ac:dyDescent="0.3">
      <c r="A995" s="27" t="s">
        <v>103</v>
      </c>
      <c r="B995" s="34"/>
      <c r="E995" s="36" t="s">
        <v>4787</v>
      </c>
      <c r="J995" s="35"/>
    </row>
    <row r="996" spans="1:10" ht="28.8" x14ac:dyDescent="0.3">
      <c r="A996" s="27" t="s">
        <v>103</v>
      </c>
      <c r="B996" s="34"/>
      <c r="E996" s="36" t="s">
        <v>4788</v>
      </c>
      <c r="J996" s="35"/>
    </row>
    <row r="997" spans="1:10" ht="28.8" x14ac:dyDescent="0.3">
      <c r="A997" s="27" t="s">
        <v>103</v>
      </c>
      <c r="B997" s="34"/>
      <c r="E997" s="36" t="s">
        <v>4789</v>
      </c>
      <c r="J997" s="35"/>
    </row>
    <row r="998" spans="1:10" ht="28.8" x14ac:dyDescent="0.3">
      <c r="A998" s="27" t="s">
        <v>103</v>
      </c>
      <c r="B998" s="34"/>
      <c r="E998" s="36" t="s">
        <v>4790</v>
      </c>
      <c r="J998" s="35"/>
    </row>
    <row r="999" spans="1:10" ht="28.8" x14ac:dyDescent="0.3">
      <c r="A999" s="27" t="s">
        <v>103</v>
      </c>
      <c r="B999" s="34"/>
      <c r="E999" s="36" t="s">
        <v>4791</v>
      </c>
      <c r="J999" s="35"/>
    </row>
    <row r="1000" spans="1:10" ht="28.8" x14ac:dyDescent="0.3">
      <c r="A1000" s="27" t="s">
        <v>103</v>
      </c>
      <c r="B1000" s="34"/>
      <c r="E1000" s="36" t="s">
        <v>4792</v>
      </c>
      <c r="J1000" s="35"/>
    </row>
    <row r="1001" spans="1:10" ht="28.8" x14ac:dyDescent="0.3">
      <c r="A1001" s="27" t="s">
        <v>103</v>
      </c>
      <c r="B1001" s="34"/>
      <c r="E1001" s="36" t="s">
        <v>4793</v>
      </c>
      <c r="J1001" s="35"/>
    </row>
    <row r="1002" spans="1:10" ht="28.8" x14ac:dyDescent="0.3">
      <c r="A1002" s="27" t="s">
        <v>103</v>
      </c>
      <c r="B1002" s="34"/>
      <c r="E1002" s="36" t="s">
        <v>4794</v>
      </c>
      <c r="J1002" s="35"/>
    </row>
    <row r="1003" spans="1:10" ht="28.8" x14ac:dyDescent="0.3">
      <c r="A1003" s="27" t="s">
        <v>103</v>
      </c>
      <c r="B1003" s="34"/>
      <c r="E1003" s="36" t="s">
        <v>4795</v>
      </c>
      <c r="J1003" s="35"/>
    </row>
    <row r="1004" spans="1:10" ht="28.8" x14ac:dyDescent="0.3">
      <c r="A1004" s="27" t="s">
        <v>103</v>
      </c>
      <c r="B1004" s="34"/>
      <c r="E1004" s="36" t="s">
        <v>4796</v>
      </c>
      <c r="J1004" s="35"/>
    </row>
    <row r="1005" spans="1:10" ht="28.8" x14ac:dyDescent="0.3">
      <c r="A1005" s="27" t="s">
        <v>103</v>
      </c>
      <c r="B1005" s="34"/>
      <c r="E1005" s="36" t="s">
        <v>4797</v>
      </c>
      <c r="J1005" s="35"/>
    </row>
    <row r="1006" spans="1:10" ht="28.8" x14ac:dyDescent="0.3">
      <c r="A1006" s="27" t="s">
        <v>103</v>
      </c>
      <c r="B1006" s="34"/>
      <c r="E1006" s="36" t="s">
        <v>4798</v>
      </c>
      <c r="J1006" s="35"/>
    </row>
    <row r="1007" spans="1:10" ht="28.8" x14ac:dyDescent="0.3">
      <c r="A1007" s="27" t="s">
        <v>103</v>
      </c>
      <c r="B1007" s="34"/>
      <c r="E1007" s="36" t="s">
        <v>4799</v>
      </c>
      <c r="J1007" s="35"/>
    </row>
    <row r="1008" spans="1:10" ht="28.8" x14ac:dyDescent="0.3">
      <c r="A1008" s="27" t="s">
        <v>103</v>
      </c>
      <c r="B1008" s="34"/>
      <c r="E1008" s="36" t="s">
        <v>4800</v>
      </c>
      <c r="J1008" s="35"/>
    </row>
    <row r="1009" spans="1:10" ht="28.8" x14ac:dyDescent="0.3">
      <c r="A1009" s="27" t="s">
        <v>103</v>
      </c>
      <c r="B1009" s="34"/>
      <c r="E1009" s="36" t="s">
        <v>4801</v>
      </c>
      <c r="J1009" s="35"/>
    </row>
    <row r="1010" spans="1:10" ht="28.8" x14ac:dyDescent="0.3">
      <c r="A1010" s="27" t="s">
        <v>103</v>
      </c>
      <c r="B1010" s="34"/>
      <c r="E1010" s="36" t="s">
        <v>4802</v>
      </c>
      <c r="J1010" s="35"/>
    </row>
    <row r="1011" spans="1:10" ht="28.8" x14ac:dyDescent="0.3">
      <c r="A1011" s="27" t="s">
        <v>103</v>
      </c>
      <c r="B1011" s="34"/>
      <c r="E1011" s="36" t="s">
        <v>4803</v>
      </c>
      <c r="J1011" s="35"/>
    </row>
    <row r="1012" spans="1:10" ht="28.8" x14ac:dyDescent="0.3">
      <c r="A1012" s="27" t="s">
        <v>103</v>
      </c>
      <c r="B1012" s="34"/>
      <c r="E1012" s="36" t="s">
        <v>4804</v>
      </c>
      <c r="J1012" s="35"/>
    </row>
    <row r="1013" spans="1:10" ht="28.8" x14ac:dyDescent="0.3">
      <c r="A1013" s="27" t="s">
        <v>103</v>
      </c>
      <c r="B1013" s="34"/>
      <c r="E1013" s="36" t="s">
        <v>4805</v>
      </c>
      <c r="J1013" s="35"/>
    </row>
    <row r="1014" spans="1:10" ht="28.8" x14ac:dyDescent="0.3">
      <c r="A1014" s="27" t="s">
        <v>103</v>
      </c>
      <c r="B1014" s="34"/>
      <c r="E1014" s="36" t="s">
        <v>4806</v>
      </c>
      <c r="J1014" s="35"/>
    </row>
    <row r="1015" spans="1:10" ht="28.8" x14ac:dyDescent="0.3">
      <c r="A1015" s="27" t="s">
        <v>103</v>
      </c>
      <c r="B1015" s="34"/>
      <c r="E1015" s="36" t="s">
        <v>4807</v>
      </c>
      <c r="J1015" s="35"/>
    </row>
    <row r="1016" spans="1:10" ht="28.8" x14ac:dyDescent="0.3">
      <c r="A1016" s="27" t="s">
        <v>103</v>
      </c>
      <c r="B1016" s="34"/>
      <c r="E1016" s="36" t="s">
        <v>4808</v>
      </c>
      <c r="J1016" s="35"/>
    </row>
    <row r="1017" spans="1:10" ht="28.8" x14ac:dyDescent="0.3">
      <c r="A1017" s="27" t="s">
        <v>103</v>
      </c>
      <c r="B1017" s="34"/>
      <c r="E1017" s="36" t="s">
        <v>4809</v>
      </c>
      <c r="J1017" s="35"/>
    </row>
    <row r="1018" spans="1:10" ht="28.8" x14ac:dyDescent="0.3">
      <c r="A1018" s="27" t="s">
        <v>103</v>
      </c>
      <c r="B1018" s="34"/>
      <c r="E1018" s="36" t="s">
        <v>4810</v>
      </c>
      <c r="J1018" s="35"/>
    </row>
    <row r="1019" spans="1:10" ht="28.8" x14ac:dyDescent="0.3">
      <c r="A1019" s="27" t="s">
        <v>103</v>
      </c>
      <c r="B1019" s="34"/>
      <c r="E1019" s="36" t="s">
        <v>4811</v>
      </c>
      <c r="J1019" s="35"/>
    </row>
    <row r="1020" spans="1:10" ht="28.8" x14ac:dyDescent="0.3">
      <c r="A1020" s="27" t="s">
        <v>103</v>
      </c>
      <c r="B1020" s="34"/>
      <c r="E1020" s="36" t="s">
        <v>4812</v>
      </c>
      <c r="J1020" s="35"/>
    </row>
    <row r="1021" spans="1:10" ht="28.8" x14ac:dyDescent="0.3">
      <c r="A1021" s="27" t="s">
        <v>103</v>
      </c>
      <c r="B1021" s="34"/>
      <c r="E1021" s="36" t="s">
        <v>4813</v>
      </c>
      <c r="J1021" s="35"/>
    </row>
    <row r="1022" spans="1:10" ht="28.8" x14ac:dyDescent="0.3">
      <c r="A1022" s="27" t="s">
        <v>103</v>
      </c>
      <c r="B1022" s="34"/>
      <c r="E1022" s="36" t="s">
        <v>4814</v>
      </c>
      <c r="J1022" s="35"/>
    </row>
    <row r="1023" spans="1:10" ht="28.8" x14ac:dyDescent="0.3">
      <c r="A1023" s="27" t="s">
        <v>103</v>
      </c>
      <c r="B1023" s="34"/>
      <c r="E1023" s="36" t="s">
        <v>4815</v>
      </c>
      <c r="J1023" s="35"/>
    </row>
    <row r="1024" spans="1:10" ht="28.8" x14ac:dyDescent="0.3">
      <c r="A1024" s="27" t="s">
        <v>103</v>
      </c>
      <c r="B1024" s="34"/>
      <c r="E1024" s="36" t="s">
        <v>4816</v>
      </c>
      <c r="J1024" s="35"/>
    </row>
    <row r="1025" spans="1:16" ht="28.8" x14ac:dyDescent="0.3">
      <c r="A1025" s="27" t="s">
        <v>103</v>
      </c>
      <c r="B1025" s="34"/>
      <c r="E1025" s="36" t="s">
        <v>4817</v>
      </c>
      <c r="J1025" s="35"/>
    </row>
    <row r="1026" spans="1:16" ht="28.8" x14ac:dyDescent="0.3">
      <c r="A1026" s="27" t="s">
        <v>103</v>
      </c>
      <c r="B1026" s="34"/>
      <c r="E1026" s="36" t="s">
        <v>4818</v>
      </c>
      <c r="J1026" s="35"/>
    </row>
    <row r="1027" spans="1:16" ht="28.8" x14ac:dyDescent="0.3">
      <c r="A1027" s="27" t="s">
        <v>103</v>
      </c>
      <c r="B1027" s="34"/>
      <c r="E1027" s="36" t="s">
        <v>4819</v>
      </c>
      <c r="J1027" s="35"/>
    </row>
    <row r="1028" spans="1:16" ht="28.8" x14ac:dyDescent="0.3">
      <c r="A1028" s="27" t="s">
        <v>103</v>
      </c>
      <c r="B1028" s="34"/>
      <c r="E1028" s="36" t="s">
        <v>4820</v>
      </c>
      <c r="J1028" s="35"/>
    </row>
    <row r="1029" spans="1:16" ht="28.8" x14ac:dyDescent="0.3">
      <c r="A1029" s="27" t="s">
        <v>103</v>
      </c>
      <c r="B1029" s="34"/>
      <c r="E1029" s="36" t="s">
        <v>4821</v>
      </c>
      <c r="J1029" s="35"/>
    </row>
    <row r="1030" spans="1:16" ht="28.8" x14ac:dyDescent="0.3">
      <c r="A1030" s="27" t="s">
        <v>103</v>
      </c>
      <c r="B1030" s="34"/>
      <c r="E1030" s="36" t="s">
        <v>4822</v>
      </c>
      <c r="J1030" s="35"/>
    </row>
    <row r="1031" spans="1:16" ht="28.8" x14ac:dyDescent="0.3">
      <c r="A1031" s="27" t="s">
        <v>103</v>
      </c>
      <c r="B1031" s="34"/>
      <c r="E1031" s="36" t="s">
        <v>4823</v>
      </c>
      <c r="J1031" s="35"/>
    </row>
    <row r="1032" spans="1:16" x14ac:dyDescent="0.3">
      <c r="A1032" s="27" t="s">
        <v>103</v>
      </c>
      <c r="B1032" s="34"/>
      <c r="E1032" s="36" t="s">
        <v>4824</v>
      </c>
      <c r="J1032" s="35"/>
    </row>
    <row r="1033" spans="1:16" ht="100.8" x14ac:dyDescent="0.3">
      <c r="A1033" s="27" t="s">
        <v>105</v>
      </c>
      <c r="B1033" s="34"/>
      <c r="E1033" s="29" t="s">
        <v>4638</v>
      </c>
      <c r="J1033" s="35"/>
    </row>
    <row r="1034" spans="1:16" x14ac:dyDescent="0.3">
      <c r="A1034" s="27" t="s">
        <v>95</v>
      </c>
      <c r="B1034" s="27">
        <v>14</v>
      </c>
      <c r="C1034" s="28" t="s">
        <v>4825</v>
      </c>
      <c r="D1034" s="27" t="s">
        <v>129</v>
      </c>
      <c r="E1034" s="29" t="s">
        <v>4826</v>
      </c>
      <c r="F1034" s="30" t="s">
        <v>248</v>
      </c>
      <c r="G1034" s="31">
        <v>410.202</v>
      </c>
      <c r="H1034" s="32">
        <v>0</v>
      </c>
      <c r="I1034" s="32">
        <f>ROUND(410.202*H1034,P4)</f>
        <v>0</v>
      </c>
      <c r="J1034" s="30" t="s">
        <v>118</v>
      </c>
      <c r="O1034" s="33">
        <f>I1034*0.21</f>
        <v>0</v>
      </c>
      <c r="P1034">
        <v>3</v>
      </c>
    </row>
    <row r="1035" spans="1:16" ht="316.8" x14ac:dyDescent="0.3">
      <c r="A1035" s="27" t="s">
        <v>101</v>
      </c>
      <c r="B1035" s="34"/>
      <c r="E1035" s="29" t="s">
        <v>4827</v>
      </c>
      <c r="J1035" s="35"/>
    </row>
    <row r="1036" spans="1:16" ht="28.8" x14ac:dyDescent="0.3">
      <c r="A1036" s="27" t="s">
        <v>103</v>
      </c>
      <c r="B1036" s="34"/>
      <c r="E1036" s="36" t="s">
        <v>4828</v>
      </c>
      <c r="J1036" s="35"/>
    </row>
    <row r="1037" spans="1:16" ht="28.8" x14ac:dyDescent="0.3">
      <c r="A1037" s="27" t="s">
        <v>103</v>
      </c>
      <c r="B1037" s="34"/>
      <c r="E1037" s="36" t="s">
        <v>4829</v>
      </c>
      <c r="J1037" s="35"/>
    </row>
    <row r="1038" spans="1:16" ht="28.8" x14ac:dyDescent="0.3">
      <c r="A1038" s="27" t="s">
        <v>103</v>
      </c>
      <c r="B1038" s="34"/>
      <c r="E1038" s="36" t="s">
        <v>4830</v>
      </c>
      <c r="J1038" s="35"/>
    </row>
    <row r="1039" spans="1:16" ht="28.8" x14ac:dyDescent="0.3">
      <c r="A1039" s="27" t="s">
        <v>103</v>
      </c>
      <c r="B1039" s="34"/>
      <c r="E1039" s="36" t="s">
        <v>4831</v>
      </c>
      <c r="J1039" s="35"/>
    </row>
    <row r="1040" spans="1:16" ht="28.8" x14ac:dyDescent="0.3">
      <c r="A1040" s="27" t="s">
        <v>103</v>
      </c>
      <c r="B1040" s="34"/>
      <c r="E1040" s="36" t="s">
        <v>4832</v>
      </c>
      <c r="J1040" s="35"/>
    </row>
    <row r="1041" spans="1:10" ht="28.8" x14ac:dyDescent="0.3">
      <c r="A1041" s="27" t="s">
        <v>103</v>
      </c>
      <c r="B1041" s="34"/>
      <c r="E1041" s="36" t="s">
        <v>4833</v>
      </c>
      <c r="J1041" s="35"/>
    </row>
    <row r="1042" spans="1:10" ht="28.8" x14ac:dyDescent="0.3">
      <c r="A1042" s="27" t="s">
        <v>103</v>
      </c>
      <c r="B1042" s="34"/>
      <c r="E1042" s="36" t="s">
        <v>4834</v>
      </c>
      <c r="J1042" s="35"/>
    </row>
    <row r="1043" spans="1:10" ht="28.8" x14ac:dyDescent="0.3">
      <c r="A1043" s="27" t="s">
        <v>103</v>
      </c>
      <c r="B1043" s="34"/>
      <c r="E1043" s="36" t="s">
        <v>4835</v>
      </c>
      <c r="J1043" s="35"/>
    </row>
    <row r="1044" spans="1:10" ht="28.8" x14ac:dyDescent="0.3">
      <c r="A1044" s="27" t="s">
        <v>103</v>
      </c>
      <c r="B1044" s="34"/>
      <c r="E1044" s="36" t="s">
        <v>4836</v>
      </c>
      <c r="J1044" s="35"/>
    </row>
    <row r="1045" spans="1:10" ht="28.8" x14ac:dyDescent="0.3">
      <c r="A1045" s="27" t="s">
        <v>103</v>
      </c>
      <c r="B1045" s="34"/>
      <c r="E1045" s="36" t="s">
        <v>4837</v>
      </c>
      <c r="J1045" s="35"/>
    </row>
    <row r="1046" spans="1:10" ht="28.8" x14ac:dyDescent="0.3">
      <c r="A1046" s="27" t="s">
        <v>103</v>
      </c>
      <c r="B1046" s="34"/>
      <c r="E1046" s="36" t="s">
        <v>4838</v>
      </c>
      <c r="J1046" s="35"/>
    </row>
    <row r="1047" spans="1:10" ht="28.8" x14ac:dyDescent="0.3">
      <c r="A1047" s="27" t="s">
        <v>103</v>
      </c>
      <c r="B1047" s="34"/>
      <c r="E1047" s="36" t="s">
        <v>4839</v>
      </c>
      <c r="J1047" s="35"/>
    </row>
    <row r="1048" spans="1:10" ht="28.8" x14ac:dyDescent="0.3">
      <c r="A1048" s="27" t="s">
        <v>103</v>
      </c>
      <c r="B1048" s="34"/>
      <c r="E1048" s="36" t="s">
        <v>4840</v>
      </c>
      <c r="J1048" s="35"/>
    </row>
    <row r="1049" spans="1:10" ht="28.8" x14ac:dyDescent="0.3">
      <c r="A1049" s="27" t="s">
        <v>103</v>
      </c>
      <c r="B1049" s="34"/>
      <c r="E1049" s="36" t="s">
        <v>4841</v>
      </c>
      <c r="J1049" s="35"/>
    </row>
    <row r="1050" spans="1:10" ht="28.8" x14ac:dyDescent="0.3">
      <c r="A1050" s="27" t="s">
        <v>103</v>
      </c>
      <c r="B1050" s="34"/>
      <c r="E1050" s="36" t="s">
        <v>4842</v>
      </c>
      <c r="J1050" s="35"/>
    </row>
    <row r="1051" spans="1:10" ht="28.8" x14ac:dyDescent="0.3">
      <c r="A1051" s="27" t="s">
        <v>103</v>
      </c>
      <c r="B1051" s="34"/>
      <c r="E1051" s="36" t="s">
        <v>4843</v>
      </c>
      <c r="J1051" s="35"/>
    </row>
    <row r="1052" spans="1:10" ht="28.8" x14ac:dyDescent="0.3">
      <c r="A1052" s="27" t="s">
        <v>103</v>
      </c>
      <c r="B1052" s="34"/>
      <c r="E1052" s="36" t="s">
        <v>4844</v>
      </c>
      <c r="J1052" s="35"/>
    </row>
    <row r="1053" spans="1:10" ht="28.8" x14ac:dyDescent="0.3">
      <c r="A1053" s="27" t="s">
        <v>103</v>
      </c>
      <c r="B1053" s="34"/>
      <c r="E1053" s="36" t="s">
        <v>4845</v>
      </c>
      <c r="J1053" s="35"/>
    </row>
    <row r="1054" spans="1:10" ht="28.8" x14ac:dyDescent="0.3">
      <c r="A1054" s="27" t="s">
        <v>103</v>
      </c>
      <c r="B1054" s="34"/>
      <c r="E1054" s="36" t="s">
        <v>4846</v>
      </c>
      <c r="J1054" s="35"/>
    </row>
    <row r="1055" spans="1:10" ht="28.8" x14ac:dyDescent="0.3">
      <c r="A1055" s="27" t="s">
        <v>103</v>
      </c>
      <c r="B1055" s="34"/>
      <c r="E1055" s="36" t="s">
        <v>4847</v>
      </c>
      <c r="J1055" s="35"/>
    </row>
    <row r="1056" spans="1:10" ht="28.8" x14ac:dyDescent="0.3">
      <c r="A1056" s="27" t="s">
        <v>103</v>
      </c>
      <c r="B1056" s="34"/>
      <c r="E1056" s="36" t="s">
        <v>4848</v>
      </c>
      <c r="J1056" s="35"/>
    </row>
    <row r="1057" spans="1:10" ht="28.8" x14ac:dyDescent="0.3">
      <c r="A1057" s="27" t="s">
        <v>103</v>
      </c>
      <c r="B1057" s="34"/>
      <c r="E1057" s="36" t="s">
        <v>4849</v>
      </c>
      <c r="J1057" s="35"/>
    </row>
    <row r="1058" spans="1:10" ht="28.8" x14ac:dyDescent="0.3">
      <c r="A1058" s="27" t="s">
        <v>103</v>
      </c>
      <c r="B1058" s="34"/>
      <c r="E1058" s="36" t="s">
        <v>4850</v>
      </c>
      <c r="J1058" s="35"/>
    </row>
    <row r="1059" spans="1:10" ht="28.8" x14ac:dyDescent="0.3">
      <c r="A1059" s="27" t="s">
        <v>103</v>
      </c>
      <c r="B1059" s="34"/>
      <c r="E1059" s="36" t="s">
        <v>4851</v>
      </c>
      <c r="J1059" s="35"/>
    </row>
    <row r="1060" spans="1:10" ht="28.8" x14ac:dyDescent="0.3">
      <c r="A1060" s="27" t="s">
        <v>103</v>
      </c>
      <c r="B1060" s="34"/>
      <c r="E1060" s="36" t="s">
        <v>4852</v>
      </c>
      <c r="J1060" s="35"/>
    </row>
    <row r="1061" spans="1:10" ht="28.8" x14ac:dyDescent="0.3">
      <c r="A1061" s="27" t="s">
        <v>103</v>
      </c>
      <c r="B1061" s="34"/>
      <c r="E1061" s="36" t="s">
        <v>4853</v>
      </c>
      <c r="J1061" s="35"/>
    </row>
    <row r="1062" spans="1:10" ht="28.8" x14ac:dyDescent="0.3">
      <c r="A1062" s="27" t="s">
        <v>103</v>
      </c>
      <c r="B1062" s="34"/>
      <c r="E1062" s="36" t="s">
        <v>4854</v>
      </c>
      <c r="J1062" s="35"/>
    </row>
    <row r="1063" spans="1:10" ht="28.8" x14ac:dyDescent="0.3">
      <c r="A1063" s="27" t="s">
        <v>103</v>
      </c>
      <c r="B1063" s="34"/>
      <c r="E1063" s="36" t="s">
        <v>4855</v>
      </c>
      <c r="J1063" s="35"/>
    </row>
    <row r="1064" spans="1:10" ht="28.8" x14ac:dyDescent="0.3">
      <c r="A1064" s="27" t="s">
        <v>103</v>
      </c>
      <c r="B1064" s="34"/>
      <c r="E1064" s="36" t="s">
        <v>4856</v>
      </c>
      <c r="J1064" s="35"/>
    </row>
    <row r="1065" spans="1:10" ht="28.8" x14ac:dyDescent="0.3">
      <c r="A1065" s="27" t="s">
        <v>103</v>
      </c>
      <c r="B1065" s="34"/>
      <c r="E1065" s="36" t="s">
        <v>4857</v>
      </c>
      <c r="J1065" s="35"/>
    </row>
    <row r="1066" spans="1:10" ht="28.8" x14ac:dyDescent="0.3">
      <c r="A1066" s="27" t="s">
        <v>103</v>
      </c>
      <c r="B1066" s="34"/>
      <c r="E1066" s="36" t="s">
        <v>4858</v>
      </c>
      <c r="J1066" s="35"/>
    </row>
    <row r="1067" spans="1:10" ht="28.8" x14ac:dyDescent="0.3">
      <c r="A1067" s="27" t="s">
        <v>103</v>
      </c>
      <c r="B1067" s="34"/>
      <c r="E1067" s="36" t="s">
        <v>4859</v>
      </c>
      <c r="J1067" s="35"/>
    </row>
    <row r="1068" spans="1:10" ht="28.8" x14ac:dyDescent="0.3">
      <c r="A1068" s="27" t="s">
        <v>103</v>
      </c>
      <c r="B1068" s="34"/>
      <c r="E1068" s="36" t="s">
        <v>4860</v>
      </c>
      <c r="J1068" s="35"/>
    </row>
    <row r="1069" spans="1:10" ht="28.8" x14ac:dyDescent="0.3">
      <c r="A1069" s="27" t="s">
        <v>103</v>
      </c>
      <c r="B1069" s="34"/>
      <c r="E1069" s="36" t="s">
        <v>4861</v>
      </c>
      <c r="J1069" s="35"/>
    </row>
    <row r="1070" spans="1:10" ht="28.8" x14ac:dyDescent="0.3">
      <c r="A1070" s="27" t="s">
        <v>103</v>
      </c>
      <c r="B1070" s="34"/>
      <c r="E1070" s="36" t="s">
        <v>4862</v>
      </c>
      <c r="J1070" s="35"/>
    </row>
    <row r="1071" spans="1:10" ht="28.8" x14ac:dyDescent="0.3">
      <c r="A1071" s="27" t="s">
        <v>103</v>
      </c>
      <c r="B1071" s="34"/>
      <c r="E1071" s="36" t="s">
        <v>4863</v>
      </c>
      <c r="J1071" s="35"/>
    </row>
    <row r="1072" spans="1:10" ht="28.8" x14ac:dyDescent="0.3">
      <c r="A1072" s="27" t="s">
        <v>103</v>
      </c>
      <c r="B1072" s="34"/>
      <c r="E1072" s="36" t="s">
        <v>4864</v>
      </c>
      <c r="J1072" s="35"/>
    </row>
    <row r="1073" spans="1:10" ht="28.8" x14ac:dyDescent="0.3">
      <c r="A1073" s="27" t="s">
        <v>103</v>
      </c>
      <c r="B1073" s="34"/>
      <c r="E1073" s="36" t="s">
        <v>4865</v>
      </c>
      <c r="J1073" s="35"/>
    </row>
    <row r="1074" spans="1:10" ht="28.8" x14ac:dyDescent="0.3">
      <c r="A1074" s="27" t="s">
        <v>103</v>
      </c>
      <c r="B1074" s="34"/>
      <c r="E1074" s="36" t="s">
        <v>4866</v>
      </c>
      <c r="J1074" s="35"/>
    </row>
    <row r="1075" spans="1:10" ht="28.8" x14ac:dyDescent="0.3">
      <c r="A1075" s="27" t="s">
        <v>103</v>
      </c>
      <c r="B1075" s="34"/>
      <c r="E1075" s="36" t="s">
        <v>4867</v>
      </c>
      <c r="J1075" s="35"/>
    </row>
    <row r="1076" spans="1:10" ht="28.8" x14ac:dyDescent="0.3">
      <c r="A1076" s="27" t="s">
        <v>103</v>
      </c>
      <c r="B1076" s="34"/>
      <c r="E1076" s="36" t="s">
        <v>4868</v>
      </c>
      <c r="J1076" s="35"/>
    </row>
    <row r="1077" spans="1:10" ht="28.8" x14ac:dyDescent="0.3">
      <c r="A1077" s="27" t="s">
        <v>103</v>
      </c>
      <c r="B1077" s="34"/>
      <c r="E1077" s="36" t="s">
        <v>4869</v>
      </c>
      <c r="J1077" s="35"/>
    </row>
    <row r="1078" spans="1:10" ht="28.8" x14ac:dyDescent="0.3">
      <c r="A1078" s="27" t="s">
        <v>103</v>
      </c>
      <c r="B1078" s="34"/>
      <c r="E1078" s="36" t="s">
        <v>4870</v>
      </c>
      <c r="J1078" s="35"/>
    </row>
    <row r="1079" spans="1:10" ht="28.8" x14ac:dyDescent="0.3">
      <c r="A1079" s="27" t="s">
        <v>103</v>
      </c>
      <c r="B1079" s="34"/>
      <c r="E1079" s="36" t="s">
        <v>4871</v>
      </c>
      <c r="J1079" s="35"/>
    </row>
    <row r="1080" spans="1:10" ht="28.8" x14ac:dyDescent="0.3">
      <c r="A1080" s="27" t="s">
        <v>103</v>
      </c>
      <c r="B1080" s="34"/>
      <c r="E1080" s="36" t="s">
        <v>4872</v>
      </c>
      <c r="J1080" s="35"/>
    </row>
    <row r="1081" spans="1:10" ht="28.8" x14ac:dyDescent="0.3">
      <c r="A1081" s="27" t="s">
        <v>103</v>
      </c>
      <c r="B1081" s="34"/>
      <c r="E1081" s="36" t="s">
        <v>4873</v>
      </c>
      <c r="J1081" s="35"/>
    </row>
    <row r="1082" spans="1:10" ht="28.8" x14ac:dyDescent="0.3">
      <c r="A1082" s="27" t="s">
        <v>103</v>
      </c>
      <c r="B1082" s="34"/>
      <c r="E1082" s="36" t="s">
        <v>4874</v>
      </c>
      <c r="J1082" s="35"/>
    </row>
    <row r="1083" spans="1:10" ht="28.8" x14ac:dyDescent="0.3">
      <c r="A1083" s="27" t="s">
        <v>103</v>
      </c>
      <c r="B1083" s="34"/>
      <c r="E1083" s="36" t="s">
        <v>4875</v>
      </c>
      <c r="J1083" s="35"/>
    </row>
    <row r="1084" spans="1:10" ht="28.8" x14ac:dyDescent="0.3">
      <c r="A1084" s="27" t="s">
        <v>103</v>
      </c>
      <c r="B1084" s="34"/>
      <c r="E1084" s="36" t="s">
        <v>4876</v>
      </c>
      <c r="J1084" s="35"/>
    </row>
    <row r="1085" spans="1:10" ht="28.8" x14ac:dyDescent="0.3">
      <c r="A1085" s="27" t="s">
        <v>103</v>
      </c>
      <c r="B1085" s="34"/>
      <c r="E1085" s="36" t="s">
        <v>4877</v>
      </c>
      <c r="J1085" s="35"/>
    </row>
    <row r="1086" spans="1:10" ht="28.8" x14ac:dyDescent="0.3">
      <c r="A1086" s="27" t="s">
        <v>103</v>
      </c>
      <c r="B1086" s="34"/>
      <c r="E1086" s="36" t="s">
        <v>4878</v>
      </c>
      <c r="J1086" s="35"/>
    </row>
    <row r="1087" spans="1:10" ht="28.8" x14ac:dyDescent="0.3">
      <c r="A1087" s="27" t="s">
        <v>103</v>
      </c>
      <c r="B1087" s="34"/>
      <c r="E1087" s="36" t="s">
        <v>4879</v>
      </c>
      <c r="J1087" s="35"/>
    </row>
    <row r="1088" spans="1:10" ht="28.8" x14ac:dyDescent="0.3">
      <c r="A1088" s="27" t="s">
        <v>103</v>
      </c>
      <c r="B1088" s="34"/>
      <c r="E1088" s="36" t="s">
        <v>4880</v>
      </c>
      <c r="J1088" s="35"/>
    </row>
    <row r="1089" spans="1:10" ht="28.8" x14ac:dyDescent="0.3">
      <c r="A1089" s="27" t="s">
        <v>103</v>
      </c>
      <c r="B1089" s="34"/>
      <c r="E1089" s="36" t="s">
        <v>4881</v>
      </c>
      <c r="J1089" s="35"/>
    </row>
    <row r="1090" spans="1:10" ht="28.8" x14ac:dyDescent="0.3">
      <c r="A1090" s="27" t="s">
        <v>103</v>
      </c>
      <c r="B1090" s="34"/>
      <c r="E1090" s="36" t="s">
        <v>4882</v>
      </c>
      <c r="J1090" s="35"/>
    </row>
    <row r="1091" spans="1:10" ht="28.8" x14ac:dyDescent="0.3">
      <c r="A1091" s="27" t="s">
        <v>103</v>
      </c>
      <c r="B1091" s="34"/>
      <c r="E1091" s="36" t="s">
        <v>4883</v>
      </c>
      <c r="J1091" s="35"/>
    </row>
    <row r="1092" spans="1:10" ht="28.8" x14ac:dyDescent="0.3">
      <c r="A1092" s="27" t="s">
        <v>103</v>
      </c>
      <c r="B1092" s="34"/>
      <c r="E1092" s="36" t="s">
        <v>4884</v>
      </c>
      <c r="J1092" s="35"/>
    </row>
    <row r="1093" spans="1:10" ht="28.8" x14ac:dyDescent="0.3">
      <c r="A1093" s="27" t="s">
        <v>103</v>
      </c>
      <c r="B1093" s="34"/>
      <c r="E1093" s="36" t="s">
        <v>4885</v>
      </c>
      <c r="J1093" s="35"/>
    </row>
    <row r="1094" spans="1:10" ht="28.8" x14ac:dyDescent="0.3">
      <c r="A1094" s="27" t="s">
        <v>103</v>
      </c>
      <c r="B1094" s="34"/>
      <c r="E1094" s="36" t="s">
        <v>4886</v>
      </c>
      <c r="J1094" s="35"/>
    </row>
    <row r="1095" spans="1:10" ht="28.8" x14ac:dyDescent="0.3">
      <c r="A1095" s="27" t="s">
        <v>103</v>
      </c>
      <c r="B1095" s="34"/>
      <c r="E1095" s="36" t="s">
        <v>4887</v>
      </c>
      <c r="J1095" s="35"/>
    </row>
    <row r="1096" spans="1:10" ht="28.8" x14ac:dyDescent="0.3">
      <c r="A1096" s="27" t="s">
        <v>103</v>
      </c>
      <c r="B1096" s="34"/>
      <c r="E1096" s="36" t="s">
        <v>4888</v>
      </c>
      <c r="J1096" s="35"/>
    </row>
    <row r="1097" spans="1:10" ht="28.8" x14ac:dyDescent="0.3">
      <c r="A1097" s="27" t="s">
        <v>103</v>
      </c>
      <c r="B1097" s="34"/>
      <c r="E1097" s="36" t="s">
        <v>4889</v>
      </c>
      <c r="J1097" s="35"/>
    </row>
    <row r="1098" spans="1:10" ht="28.8" x14ac:dyDescent="0.3">
      <c r="A1098" s="27" t="s">
        <v>103</v>
      </c>
      <c r="B1098" s="34"/>
      <c r="E1098" s="36" t="s">
        <v>4890</v>
      </c>
      <c r="J1098" s="35"/>
    </row>
    <row r="1099" spans="1:10" ht="28.8" x14ac:dyDescent="0.3">
      <c r="A1099" s="27" t="s">
        <v>103</v>
      </c>
      <c r="B1099" s="34"/>
      <c r="E1099" s="36" t="s">
        <v>4891</v>
      </c>
      <c r="J1099" s="35"/>
    </row>
    <row r="1100" spans="1:10" ht="28.8" x14ac:dyDescent="0.3">
      <c r="A1100" s="27" t="s">
        <v>103</v>
      </c>
      <c r="B1100" s="34"/>
      <c r="E1100" s="36" t="s">
        <v>4892</v>
      </c>
      <c r="J1100" s="35"/>
    </row>
    <row r="1101" spans="1:10" ht="28.8" x14ac:dyDescent="0.3">
      <c r="A1101" s="27" t="s">
        <v>103</v>
      </c>
      <c r="B1101" s="34"/>
      <c r="E1101" s="36" t="s">
        <v>4893</v>
      </c>
      <c r="J1101" s="35"/>
    </row>
    <row r="1102" spans="1:10" ht="28.8" x14ac:dyDescent="0.3">
      <c r="A1102" s="27" t="s">
        <v>103</v>
      </c>
      <c r="B1102" s="34"/>
      <c r="E1102" s="36" t="s">
        <v>4894</v>
      </c>
      <c r="J1102" s="35"/>
    </row>
    <row r="1103" spans="1:10" ht="28.8" x14ac:dyDescent="0.3">
      <c r="A1103" s="27" t="s">
        <v>103</v>
      </c>
      <c r="B1103" s="34"/>
      <c r="E1103" s="36" t="s">
        <v>4895</v>
      </c>
      <c r="J1103" s="35"/>
    </row>
    <row r="1104" spans="1:10" ht="28.8" x14ac:dyDescent="0.3">
      <c r="A1104" s="27" t="s">
        <v>103</v>
      </c>
      <c r="B1104" s="34"/>
      <c r="E1104" s="36" t="s">
        <v>4896</v>
      </c>
      <c r="J1104" s="35"/>
    </row>
    <row r="1105" spans="1:10" ht="28.8" x14ac:dyDescent="0.3">
      <c r="A1105" s="27" t="s">
        <v>103</v>
      </c>
      <c r="B1105" s="34"/>
      <c r="E1105" s="36" t="s">
        <v>4897</v>
      </c>
      <c r="J1105" s="35"/>
    </row>
    <row r="1106" spans="1:10" ht="28.8" x14ac:dyDescent="0.3">
      <c r="A1106" s="27" t="s">
        <v>103</v>
      </c>
      <c r="B1106" s="34"/>
      <c r="E1106" s="36" t="s">
        <v>4898</v>
      </c>
      <c r="J1106" s="35"/>
    </row>
    <row r="1107" spans="1:10" ht="28.8" x14ac:dyDescent="0.3">
      <c r="A1107" s="27" t="s">
        <v>103</v>
      </c>
      <c r="B1107" s="34"/>
      <c r="E1107" s="36" t="s">
        <v>4899</v>
      </c>
      <c r="J1107" s="35"/>
    </row>
    <row r="1108" spans="1:10" ht="28.8" x14ac:dyDescent="0.3">
      <c r="A1108" s="27" t="s">
        <v>103</v>
      </c>
      <c r="B1108" s="34"/>
      <c r="E1108" s="36" t="s">
        <v>4900</v>
      </c>
      <c r="J1108" s="35"/>
    </row>
    <row r="1109" spans="1:10" ht="28.8" x14ac:dyDescent="0.3">
      <c r="A1109" s="27" t="s">
        <v>103</v>
      </c>
      <c r="B1109" s="34"/>
      <c r="E1109" s="36" t="s">
        <v>4901</v>
      </c>
      <c r="J1109" s="35"/>
    </row>
    <row r="1110" spans="1:10" ht="28.8" x14ac:dyDescent="0.3">
      <c r="A1110" s="27" t="s">
        <v>103</v>
      </c>
      <c r="B1110" s="34"/>
      <c r="E1110" s="36" t="s">
        <v>4902</v>
      </c>
      <c r="J1110" s="35"/>
    </row>
    <row r="1111" spans="1:10" ht="28.8" x14ac:dyDescent="0.3">
      <c r="A1111" s="27" t="s">
        <v>103</v>
      </c>
      <c r="B1111" s="34"/>
      <c r="E1111" s="36" t="s">
        <v>4903</v>
      </c>
      <c r="J1111" s="35"/>
    </row>
    <row r="1112" spans="1:10" ht="28.8" x14ac:dyDescent="0.3">
      <c r="A1112" s="27" t="s">
        <v>103</v>
      </c>
      <c r="B1112" s="34"/>
      <c r="E1112" s="36" t="s">
        <v>4904</v>
      </c>
      <c r="J1112" s="35"/>
    </row>
    <row r="1113" spans="1:10" ht="28.8" x14ac:dyDescent="0.3">
      <c r="A1113" s="27" t="s">
        <v>103</v>
      </c>
      <c r="B1113" s="34"/>
      <c r="E1113" s="36" t="s">
        <v>4905</v>
      </c>
      <c r="J1113" s="35"/>
    </row>
    <row r="1114" spans="1:10" ht="28.8" x14ac:dyDescent="0.3">
      <c r="A1114" s="27" t="s">
        <v>103</v>
      </c>
      <c r="B1114" s="34"/>
      <c r="E1114" s="36" t="s">
        <v>4906</v>
      </c>
      <c r="J1114" s="35"/>
    </row>
    <row r="1115" spans="1:10" ht="28.8" x14ac:dyDescent="0.3">
      <c r="A1115" s="27" t="s">
        <v>103</v>
      </c>
      <c r="B1115" s="34"/>
      <c r="E1115" s="36" t="s">
        <v>4907</v>
      </c>
      <c r="J1115" s="35"/>
    </row>
    <row r="1116" spans="1:10" ht="28.8" x14ac:dyDescent="0.3">
      <c r="A1116" s="27" t="s">
        <v>103</v>
      </c>
      <c r="B1116" s="34"/>
      <c r="E1116" s="36" t="s">
        <v>4908</v>
      </c>
      <c r="J1116" s="35"/>
    </row>
    <row r="1117" spans="1:10" ht="28.8" x14ac:dyDescent="0.3">
      <c r="A1117" s="27" t="s">
        <v>103</v>
      </c>
      <c r="B1117" s="34"/>
      <c r="E1117" s="36" t="s">
        <v>4909</v>
      </c>
      <c r="J1117" s="35"/>
    </row>
    <row r="1118" spans="1:10" ht="28.8" x14ac:dyDescent="0.3">
      <c r="A1118" s="27" t="s">
        <v>103</v>
      </c>
      <c r="B1118" s="34"/>
      <c r="E1118" s="36" t="s">
        <v>4910</v>
      </c>
      <c r="J1118" s="35"/>
    </row>
    <row r="1119" spans="1:10" ht="28.8" x14ac:dyDescent="0.3">
      <c r="A1119" s="27" t="s">
        <v>103</v>
      </c>
      <c r="B1119" s="34"/>
      <c r="E1119" s="36" t="s">
        <v>4911</v>
      </c>
      <c r="J1119" s="35"/>
    </row>
    <row r="1120" spans="1:10" ht="28.8" x14ac:dyDescent="0.3">
      <c r="A1120" s="27" t="s">
        <v>103</v>
      </c>
      <c r="B1120" s="34"/>
      <c r="E1120" s="36" t="s">
        <v>4912</v>
      </c>
      <c r="J1120" s="35"/>
    </row>
    <row r="1121" spans="1:10" ht="28.8" x14ac:dyDescent="0.3">
      <c r="A1121" s="27" t="s">
        <v>103</v>
      </c>
      <c r="B1121" s="34"/>
      <c r="E1121" s="36" t="s">
        <v>4913</v>
      </c>
      <c r="J1121" s="35"/>
    </row>
    <row r="1122" spans="1:10" ht="28.8" x14ac:dyDescent="0.3">
      <c r="A1122" s="27" t="s">
        <v>103</v>
      </c>
      <c r="B1122" s="34"/>
      <c r="E1122" s="36" t="s">
        <v>4914</v>
      </c>
      <c r="J1122" s="35"/>
    </row>
    <row r="1123" spans="1:10" ht="28.8" x14ac:dyDescent="0.3">
      <c r="A1123" s="27" t="s">
        <v>103</v>
      </c>
      <c r="B1123" s="34"/>
      <c r="E1123" s="36" t="s">
        <v>4915</v>
      </c>
      <c r="J1123" s="35"/>
    </row>
    <row r="1124" spans="1:10" ht="28.8" x14ac:dyDescent="0.3">
      <c r="A1124" s="27" t="s">
        <v>103</v>
      </c>
      <c r="B1124" s="34"/>
      <c r="E1124" s="36" t="s">
        <v>4916</v>
      </c>
      <c r="J1124" s="35"/>
    </row>
    <row r="1125" spans="1:10" ht="28.8" x14ac:dyDescent="0.3">
      <c r="A1125" s="27" t="s">
        <v>103</v>
      </c>
      <c r="B1125" s="34"/>
      <c r="E1125" s="36" t="s">
        <v>4917</v>
      </c>
      <c r="J1125" s="35"/>
    </row>
    <row r="1126" spans="1:10" ht="28.8" x14ac:dyDescent="0.3">
      <c r="A1126" s="27" t="s">
        <v>103</v>
      </c>
      <c r="B1126" s="34"/>
      <c r="E1126" s="36" t="s">
        <v>4918</v>
      </c>
      <c r="J1126" s="35"/>
    </row>
    <row r="1127" spans="1:10" ht="28.8" x14ac:dyDescent="0.3">
      <c r="A1127" s="27" t="s">
        <v>103</v>
      </c>
      <c r="B1127" s="34"/>
      <c r="E1127" s="36" t="s">
        <v>4919</v>
      </c>
      <c r="J1127" s="35"/>
    </row>
    <row r="1128" spans="1:10" ht="28.8" x14ac:dyDescent="0.3">
      <c r="A1128" s="27" t="s">
        <v>103</v>
      </c>
      <c r="B1128" s="34"/>
      <c r="E1128" s="36" t="s">
        <v>4920</v>
      </c>
      <c r="J1128" s="35"/>
    </row>
    <row r="1129" spans="1:10" ht="28.8" x14ac:dyDescent="0.3">
      <c r="A1129" s="27" t="s">
        <v>103</v>
      </c>
      <c r="B1129" s="34"/>
      <c r="E1129" s="36" t="s">
        <v>4921</v>
      </c>
      <c r="J1129" s="35"/>
    </row>
    <row r="1130" spans="1:10" ht="28.8" x14ac:dyDescent="0.3">
      <c r="A1130" s="27" t="s">
        <v>103</v>
      </c>
      <c r="B1130" s="34"/>
      <c r="E1130" s="36" t="s">
        <v>4922</v>
      </c>
      <c r="J1130" s="35"/>
    </row>
    <row r="1131" spans="1:10" ht="28.8" x14ac:dyDescent="0.3">
      <c r="A1131" s="27" t="s">
        <v>103</v>
      </c>
      <c r="B1131" s="34"/>
      <c r="E1131" s="36" t="s">
        <v>4923</v>
      </c>
      <c r="J1131" s="35"/>
    </row>
    <row r="1132" spans="1:10" ht="28.8" x14ac:dyDescent="0.3">
      <c r="A1132" s="27" t="s">
        <v>103</v>
      </c>
      <c r="B1132" s="34"/>
      <c r="E1132" s="36" t="s">
        <v>4924</v>
      </c>
      <c r="J1132" s="35"/>
    </row>
    <row r="1133" spans="1:10" ht="28.8" x14ac:dyDescent="0.3">
      <c r="A1133" s="27" t="s">
        <v>103</v>
      </c>
      <c r="B1133" s="34"/>
      <c r="E1133" s="36" t="s">
        <v>4925</v>
      </c>
      <c r="J1133" s="35"/>
    </row>
    <row r="1134" spans="1:10" ht="28.8" x14ac:dyDescent="0.3">
      <c r="A1134" s="27" t="s">
        <v>103</v>
      </c>
      <c r="B1134" s="34"/>
      <c r="E1134" s="36" t="s">
        <v>4926</v>
      </c>
      <c r="J1134" s="35"/>
    </row>
    <row r="1135" spans="1:10" ht="28.8" x14ac:dyDescent="0.3">
      <c r="A1135" s="27" t="s">
        <v>103</v>
      </c>
      <c r="B1135" s="34"/>
      <c r="E1135" s="36" t="s">
        <v>4927</v>
      </c>
      <c r="J1135" s="35"/>
    </row>
    <row r="1136" spans="1:10" ht="28.8" x14ac:dyDescent="0.3">
      <c r="A1136" s="27" t="s">
        <v>103</v>
      </c>
      <c r="B1136" s="34"/>
      <c r="E1136" s="36" t="s">
        <v>4928</v>
      </c>
      <c r="J1136" s="35"/>
    </row>
    <row r="1137" spans="1:10" ht="28.8" x14ac:dyDescent="0.3">
      <c r="A1137" s="27" t="s">
        <v>103</v>
      </c>
      <c r="B1137" s="34"/>
      <c r="E1137" s="36" t="s">
        <v>4929</v>
      </c>
      <c r="J1137" s="35"/>
    </row>
    <row r="1138" spans="1:10" ht="28.8" x14ac:dyDescent="0.3">
      <c r="A1138" s="27" t="s">
        <v>103</v>
      </c>
      <c r="B1138" s="34"/>
      <c r="E1138" s="36" t="s">
        <v>4930</v>
      </c>
      <c r="J1138" s="35"/>
    </row>
    <row r="1139" spans="1:10" ht="28.8" x14ac:dyDescent="0.3">
      <c r="A1139" s="27" t="s">
        <v>103</v>
      </c>
      <c r="B1139" s="34"/>
      <c r="E1139" s="36" t="s">
        <v>4931</v>
      </c>
      <c r="J1139" s="35"/>
    </row>
    <row r="1140" spans="1:10" ht="28.8" x14ac:dyDescent="0.3">
      <c r="A1140" s="27" t="s">
        <v>103</v>
      </c>
      <c r="B1140" s="34"/>
      <c r="E1140" s="36" t="s">
        <v>4932</v>
      </c>
      <c r="J1140" s="35"/>
    </row>
    <row r="1141" spans="1:10" ht="28.8" x14ac:dyDescent="0.3">
      <c r="A1141" s="27" t="s">
        <v>103</v>
      </c>
      <c r="B1141" s="34"/>
      <c r="E1141" s="36" t="s">
        <v>4933</v>
      </c>
      <c r="J1141" s="35"/>
    </row>
    <row r="1142" spans="1:10" ht="28.8" x14ac:dyDescent="0.3">
      <c r="A1142" s="27" t="s">
        <v>103</v>
      </c>
      <c r="B1142" s="34"/>
      <c r="E1142" s="36" t="s">
        <v>4934</v>
      </c>
      <c r="J1142" s="35"/>
    </row>
    <row r="1143" spans="1:10" ht="28.8" x14ac:dyDescent="0.3">
      <c r="A1143" s="27" t="s">
        <v>103</v>
      </c>
      <c r="B1143" s="34"/>
      <c r="E1143" s="36" t="s">
        <v>4935</v>
      </c>
      <c r="J1143" s="35"/>
    </row>
    <row r="1144" spans="1:10" ht="28.8" x14ac:dyDescent="0.3">
      <c r="A1144" s="27" t="s">
        <v>103</v>
      </c>
      <c r="B1144" s="34"/>
      <c r="E1144" s="36" t="s">
        <v>4936</v>
      </c>
      <c r="J1144" s="35"/>
    </row>
    <row r="1145" spans="1:10" ht="28.8" x14ac:dyDescent="0.3">
      <c r="A1145" s="27" t="s">
        <v>103</v>
      </c>
      <c r="B1145" s="34"/>
      <c r="E1145" s="36" t="s">
        <v>4937</v>
      </c>
      <c r="J1145" s="35"/>
    </row>
    <row r="1146" spans="1:10" ht="28.8" x14ac:dyDescent="0.3">
      <c r="A1146" s="27" t="s">
        <v>103</v>
      </c>
      <c r="B1146" s="34"/>
      <c r="E1146" s="36" t="s">
        <v>4938</v>
      </c>
      <c r="J1146" s="35"/>
    </row>
    <row r="1147" spans="1:10" ht="28.8" x14ac:dyDescent="0.3">
      <c r="A1147" s="27" t="s">
        <v>103</v>
      </c>
      <c r="B1147" s="34"/>
      <c r="E1147" s="36" t="s">
        <v>4939</v>
      </c>
      <c r="J1147" s="35"/>
    </row>
    <row r="1148" spans="1:10" ht="28.8" x14ac:dyDescent="0.3">
      <c r="A1148" s="27" t="s">
        <v>103</v>
      </c>
      <c r="B1148" s="34"/>
      <c r="E1148" s="36" t="s">
        <v>4940</v>
      </c>
      <c r="J1148" s="35"/>
    </row>
    <row r="1149" spans="1:10" ht="28.8" x14ac:dyDescent="0.3">
      <c r="A1149" s="27" t="s">
        <v>103</v>
      </c>
      <c r="B1149" s="34"/>
      <c r="E1149" s="36" t="s">
        <v>4941</v>
      </c>
      <c r="J1149" s="35"/>
    </row>
    <row r="1150" spans="1:10" ht="28.8" x14ac:dyDescent="0.3">
      <c r="A1150" s="27" t="s">
        <v>103</v>
      </c>
      <c r="B1150" s="34"/>
      <c r="E1150" s="36" t="s">
        <v>4942</v>
      </c>
      <c r="J1150" s="35"/>
    </row>
    <row r="1151" spans="1:10" ht="28.8" x14ac:dyDescent="0.3">
      <c r="A1151" s="27" t="s">
        <v>103</v>
      </c>
      <c r="B1151" s="34"/>
      <c r="E1151" s="36" t="s">
        <v>4943</v>
      </c>
      <c r="J1151" s="35"/>
    </row>
    <row r="1152" spans="1:10" ht="28.8" x14ac:dyDescent="0.3">
      <c r="A1152" s="27" t="s">
        <v>103</v>
      </c>
      <c r="B1152" s="34"/>
      <c r="E1152" s="36" t="s">
        <v>4944</v>
      </c>
      <c r="J1152" s="35"/>
    </row>
    <row r="1153" spans="1:10" ht="28.8" x14ac:dyDescent="0.3">
      <c r="A1153" s="27" t="s">
        <v>103</v>
      </c>
      <c r="B1153" s="34"/>
      <c r="E1153" s="36" t="s">
        <v>4945</v>
      </c>
      <c r="J1153" s="35"/>
    </row>
    <row r="1154" spans="1:10" ht="28.8" x14ac:dyDescent="0.3">
      <c r="A1154" s="27" t="s">
        <v>103</v>
      </c>
      <c r="B1154" s="34"/>
      <c r="E1154" s="36" t="s">
        <v>4946</v>
      </c>
      <c r="J1154" s="35"/>
    </row>
    <row r="1155" spans="1:10" ht="28.8" x14ac:dyDescent="0.3">
      <c r="A1155" s="27" t="s">
        <v>103</v>
      </c>
      <c r="B1155" s="34"/>
      <c r="E1155" s="36" t="s">
        <v>4947</v>
      </c>
      <c r="J1155" s="35"/>
    </row>
    <row r="1156" spans="1:10" ht="28.8" x14ac:dyDescent="0.3">
      <c r="A1156" s="27" t="s">
        <v>103</v>
      </c>
      <c r="B1156" s="34"/>
      <c r="E1156" s="36" t="s">
        <v>4948</v>
      </c>
      <c r="J1156" s="35"/>
    </row>
    <row r="1157" spans="1:10" ht="28.8" x14ac:dyDescent="0.3">
      <c r="A1157" s="27" t="s">
        <v>103</v>
      </c>
      <c r="B1157" s="34"/>
      <c r="E1157" s="36" t="s">
        <v>4949</v>
      </c>
      <c r="J1157" s="35"/>
    </row>
    <row r="1158" spans="1:10" ht="28.8" x14ac:dyDescent="0.3">
      <c r="A1158" s="27" t="s">
        <v>103</v>
      </c>
      <c r="B1158" s="34"/>
      <c r="E1158" s="36" t="s">
        <v>4950</v>
      </c>
      <c r="J1158" s="35"/>
    </row>
    <row r="1159" spans="1:10" ht="28.8" x14ac:dyDescent="0.3">
      <c r="A1159" s="27" t="s">
        <v>103</v>
      </c>
      <c r="B1159" s="34"/>
      <c r="E1159" s="36" t="s">
        <v>4951</v>
      </c>
      <c r="J1159" s="35"/>
    </row>
    <row r="1160" spans="1:10" ht="28.8" x14ac:dyDescent="0.3">
      <c r="A1160" s="27" t="s">
        <v>103</v>
      </c>
      <c r="B1160" s="34"/>
      <c r="E1160" s="36" t="s">
        <v>4952</v>
      </c>
      <c r="J1160" s="35"/>
    </row>
    <row r="1161" spans="1:10" ht="28.8" x14ac:dyDescent="0.3">
      <c r="A1161" s="27" t="s">
        <v>103</v>
      </c>
      <c r="B1161" s="34"/>
      <c r="E1161" s="36" t="s">
        <v>4953</v>
      </c>
      <c r="J1161" s="35"/>
    </row>
    <row r="1162" spans="1:10" ht="28.8" x14ac:dyDescent="0.3">
      <c r="A1162" s="27" t="s">
        <v>103</v>
      </c>
      <c r="B1162" s="34"/>
      <c r="E1162" s="36" t="s">
        <v>4954</v>
      </c>
      <c r="J1162" s="35"/>
    </row>
    <row r="1163" spans="1:10" ht="28.8" x14ac:dyDescent="0.3">
      <c r="A1163" s="27" t="s">
        <v>103</v>
      </c>
      <c r="B1163" s="34"/>
      <c r="E1163" s="36" t="s">
        <v>4955</v>
      </c>
      <c r="J1163" s="35"/>
    </row>
    <row r="1164" spans="1:10" ht="28.8" x14ac:dyDescent="0.3">
      <c r="A1164" s="27" t="s">
        <v>103</v>
      </c>
      <c r="B1164" s="34"/>
      <c r="E1164" s="36" t="s">
        <v>4956</v>
      </c>
      <c r="J1164" s="35"/>
    </row>
    <row r="1165" spans="1:10" ht="28.8" x14ac:dyDescent="0.3">
      <c r="A1165" s="27" t="s">
        <v>103</v>
      </c>
      <c r="B1165" s="34"/>
      <c r="E1165" s="36" t="s">
        <v>4957</v>
      </c>
      <c r="J1165" s="35"/>
    </row>
    <row r="1166" spans="1:10" ht="28.8" x14ac:dyDescent="0.3">
      <c r="A1166" s="27" t="s">
        <v>103</v>
      </c>
      <c r="B1166" s="34"/>
      <c r="E1166" s="36" t="s">
        <v>4958</v>
      </c>
      <c r="J1166" s="35"/>
    </row>
    <row r="1167" spans="1:10" ht="28.8" x14ac:dyDescent="0.3">
      <c r="A1167" s="27" t="s">
        <v>103</v>
      </c>
      <c r="B1167" s="34"/>
      <c r="E1167" s="36" t="s">
        <v>4959</v>
      </c>
      <c r="J1167" s="35"/>
    </row>
    <row r="1168" spans="1:10" ht="28.8" x14ac:dyDescent="0.3">
      <c r="A1168" s="27" t="s">
        <v>103</v>
      </c>
      <c r="B1168" s="34"/>
      <c r="E1168" s="36" t="s">
        <v>4960</v>
      </c>
      <c r="J1168" s="35"/>
    </row>
    <row r="1169" spans="1:10" ht="28.8" x14ac:dyDescent="0.3">
      <c r="A1169" s="27" t="s">
        <v>103</v>
      </c>
      <c r="B1169" s="34"/>
      <c r="E1169" s="36" t="s">
        <v>4961</v>
      </c>
      <c r="J1169" s="35"/>
    </row>
    <row r="1170" spans="1:10" ht="28.8" x14ac:dyDescent="0.3">
      <c r="A1170" s="27" t="s">
        <v>103</v>
      </c>
      <c r="B1170" s="34"/>
      <c r="E1170" s="36" t="s">
        <v>4962</v>
      </c>
      <c r="J1170" s="35"/>
    </row>
    <row r="1171" spans="1:10" ht="28.8" x14ac:dyDescent="0.3">
      <c r="A1171" s="27" t="s">
        <v>103</v>
      </c>
      <c r="B1171" s="34"/>
      <c r="E1171" s="36" t="s">
        <v>4963</v>
      </c>
      <c r="J1171" s="35"/>
    </row>
    <row r="1172" spans="1:10" ht="28.8" x14ac:dyDescent="0.3">
      <c r="A1172" s="27" t="s">
        <v>103</v>
      </c>
      <c r="B1172" s="34"/>
      <c r="E1172" s="36" t="s">
        <v>4964</v>
      </c>
      <c r="J1172" s="35"/>
    </row>
    <row r="1173" spans="1:10" ht="28.8" x14ac:dyDescent="0.3">
      <c r="A1173" s="27" t="s">
        <v>103</v>
      </c>
      <c r="B1173" s="34"/>
      <c r="E1173" s="36" t="s">
        <v>4965</v>
      </c>
      <c r="J1173" s="35"/>
    </row>
    <row r="1174" spans="1:10" ht="28.8" x14ac:dyDescent="0.3">
      <c r="A1174" s="27" t="s">
        <v>103</v>
      </c>
      <c r="B1174" s="34"/>
      <c r="E1174" s="36" t="s">
        <v>4966</v>
      </c>
      <c r="J1174" s="35"/>
    </row>
    <row r="1175" spans="1:10" ht="28.8" x14ac:dyDescent="0.3">
      <c r="A1175" s="27" t="s">
        <v>103</v>
      </c>
      <c r="B1175" s="34"/>
      <c r="E1175" s="36" t="s">
        <v>4967</v>
      </c>
      <c r="J1175" s="35"/>
    </row>
    <row r="1176" spans="1:10" ht="28.8" x14ac:dyDescent="0.3">
      <c r="A1176" s="27" t="s">
        <v>103</v>
      </c>
      <c r="B1176" s="34"/>
      <c r="E1176" s="36" t="s">
        <v>4968</v>
      </c>
      <c r="J1176" s="35"/>
    </row>
    <row r="1177" spans="1:10" ht="28.8" x14ac:dyDescent="0.3">
      <c r="A1177" s="27" t="s">
        <v>103</v>
      </c>
      <c r="B1177" s="34"/>
      <c r="E1177" s="36" t="s">
        <v>4969</v>
      </c>
      <c r="J1177" s="35"/>
    </row>
    <row r="1178" spans="1:10" ht="28.8" x14ac:dyDescent="0.3">
      <c r="A1178" s="27" t="s">
        <v>103</v>
      </c>
      <c r="B1178" s="34"/>
      <c r="E1178" s="36" t="s">
        <v>4970</v>
      </c>
      <c r="J1178" s="35"/>
    </row>
    <row r="1179" spans="1:10" ht="28.8" x14ac:dyDescent="0.3">
      <c r="A1179" s="27" t="s">
        <v>103</v>
      </c>
      <c r="B1179" s="34"/>
      <c r="E1179" s="36" t="s">
        <v>4971</v>
      </c>
      <c r="J1179" s="35"/>
    </row>
    <row r="1180" spans="1:10" ht="28.8" x14ac:dyDescent="0.3">
      <c r="A1180" s="27" t="s">
        <v>103</v>
      </c>
      <c r="B1180" s="34"/>
      <c r="E1180" s="36" t="s">
        <v>4972</v>
      </c>
      <c r="J1180" s="35"/>
    </row>
    <row r="1181" spans="1:10" ht="28.8" x14ac:dyDescent="0.3">
      <c r="A1181" s="27" t="s">
        <v>103</v>
      </c>
      <c r="B1181" s="34"/>
      <c r="E1181" s="36" t="s">
        <v>4973</v>
      </c>
      <c r="J1181" s="35"/>
    </row>
    <row r="1182" spans="1:10" ht="28.8" x14ac:dyDescent="0.3">
      <c r="A1182" s="27" t="s">
        <v>103</v>
      </c>
      <c r="B1182" s="34"/>
      <c r="E1182" s="36" t="s">
        <v>4974</v>
      </c>
      <c r="J1182" s="35"/>
    </row>
    <row r="1183" spans="1:10" ht="28.8" x14ac:dyDescent="0.3">
      <c r="A1183" s="27" t="s">
        <v>103</v>
      </c>
      <c r="B1183" s="34"/>
      <c r="E1183" s="36" t="s">
        <v>4975</v>
      </c>
      <c r="J1183" s="35"/>
    </row>
    <row r="1184" spans="1:10" ht="28.8" x14ac:dyDescent="0.3">
      <c r="A1184" s="27" t="s">
        <v>103</v>
      </c>
      <c r="B1184" s="34"/>
      <c r="E1184" s="36" t="s">
        <v>4976</v>
      </c>
      <c r="J1184" s="35"/>
    </row>
    <row r="1185" spans="1:10" ht="28.8" x14ac:dyDescent="0.3">
      <c r="A1185" s="27" t="s">
        <v>103</v>
      </c>
      <c r="B1185" s="34"/>
      <c r="E1185" s="36" t="s">
        <v>4977</v>
      </c>
      <c r="J1185" s="35"/>
    </row>
    <row r="1186" spans="1:10" ht="28.8" x14ac:dyDescent="0.3">
      <c r="A1186" s="27" t="s">
        <v>103</v>
      </c>
      <c r="B1186" s="34"/>
      <c r="E1186" s="36" t="s">
        <v>4978</v>
      </c>
      <c r="J1186" s="35"/>
    </row>
    <row r="1187" spans="1:10" ht="28.8" x14ac:dyDescent="0.3">
      <c r="A1187" s="27" t="s">
        <v>103</v>
      </c>
      <c r="B1187" s="34"/>
      <c r="E1187" s="36" t="s">
        <v>4979</v>
      </c>
      <c r="J1187" s="35"/>
    </row>
    <row r="1188" spans="1:10" ht="28.8" x14ac:dyDescent="0.3">
      <c r="A1188" s="27" t="s">
        <v>103</v>
      </c>
      <c r="B1188" s="34"/>
      <c r="E1188" s="36" t="s">
        <v>4980</v>
      </c>
      <c r="J1188" s="35"/>
    </row>
    <row r="1189" spans="1:10" ht="28.8" x14ac:dyDescent="0.3">
      <c r="A1189" s="27" t="s">
        <v>103</v>
      </c>
      <c r="B1189" s="34"/>
      <c r="E1189" s="36" t="s">
        <v>4981</v>
      </c>
      <c r="J1189" s="35"/>
    </row>
    <row r="1190" spans="1:10" ht="28.8" x14ac:dyDescent="0.3">
      <c r="A1190" s="27" t="s">
        <v>103</v>
      </c>
      <c r="B1190" s="34"/>
      <c r="E1190" s="36" t="s">
        <v>4982</v>
      </c>
      <c r="J1190" s="35"/>
    </row>
    <row r="1191" spans="1:10" ht="28.8" x14ac:dyDescent="0.3">
      <c r="A1191" s="27" t="s">
        <v>103</v>
      </c>
      <c r="B1191" s="34"/>
      <c r="E1191" s="36" t="s">
        <v>4983</v>
      </c>
      <c r="J1191" s="35"/>
    </row>
    <row r="1192" spans="1:10" ht="28.8" x14ac:dyDescent="0.3">
      <c r="A1192" s="27" t="s">
        <v>103</v>
      </c>
      <c r="B1192" s="34"/>
      <c r="E1192" s="36" t="s">
        <v>4984</v>
      </c>
      <c r="J1192" s="35"/>
    </row>
    <row r="1193" spans="1:10" ht="28.8" x14ac:dyDescent="0.3">
      <c r="A1193" s="27" t="s">
        <v>103</v>
      </c>
      <c r="B1193" s="34"/>
      <c r="E1193" s="36" t="s">
        <v>4985</v>
      </c>
      <c r="J1193" s="35"/>
    </row>
    <row r="1194" spans="1:10" ht="28.8" x14ac:dyDescent="0.3">
      <c r="A1194" s="27" t="s">
        <v>103</v>
      </c>
      <c r="B1194" s="34"/>
      <c r="E1194" s="36" t="s">
        <v>4986</v>
      </c>
      <c r="J1194" s="35"/>
    </row>
    <row r="1195" spans="1:10" ht="28.8" x14ac:dyDescent="0.3">
      <c r="A1195" s="27" t="s">
        <v>103</v>
      </c>
      <c r="B1195" s="34"/>
      <c r="E1195" s="36" t="s">
        <v>4987</v>
      </c>
      <c r="J1195" s="35"/>
    </row>
    <row r="1196" spans="1:10" ht="28.8" x14ac:dyDescent="0.3">
      <c r="A1196" s="27" t="s">
        <v>103</v>
      </c>
      <c r="B1196" s="34"/>
      <c r="E1196" s="36" t="s">
        <v>4988</v>
      </c>
      <c r="J1196" s="35"/>
    </row>
    <row r="1197" spans="1:10" ht="28.8" x14ac:dyDescent="0.3">
      <c r="A1197" s="27" t="s">
        <v>103</v>
      </c>
      <c r="B1197" s="34"/>
      <c r="E1197" s="36" t="s">
        <v>4989</v>
      </c>
      <c r="J1197" s="35"/>
    </row>
    <row r="1198" spans="1:10" ht="28.8" x14ac:dyDescent="0.3">
      <c r="A1198" s="27" t="s">
        <v>103</v>
      </c>
      <c r="B1198" s="34"/>
      <c r="E1198" s="36" t="s">
        <v>4990</v>
      </c>
      <c r="J1198" s="35"/>
    </row>
    <row r="1199" spans="1:10" ht="28.8" x14ac:dyDescent="0.3">
      <c r="A1199" s="27" t="s">
        <v>103</v>
      </c>
      <c r="B1199" s="34"/>
      <c r="E1199" s="36" t="s">
        <v>4991</v>
      </c>
      <c r="J1199" s="35"/>
    </row>
    <row r="1200" spans="1:10" ht="28.8" x14ac:dyDescent="0.3">
      <c r="A1200" s="27" t="s">
        <v>103</v>
      </c>
      <c r="B1200" s="34"/>
      <c r="E1200" s="36" t="s">
        <v>4992</v>
      </c>
      <c r="J1200" s="35"/>
    </row>
    <row r="1201" spans="1:16" x14ac:dyDescent="0.3">
      <c r="A1201" s="27" t="s">
        <v>103</v>
      </c>
      <c r="B1201" s="34"/>
      <c r="E1201" s="36" t="s">
        <v>4993</v>
      </c>
      <c r="J1201" s="35"/>
    </row>
    <row r="1202" spans="1:16" ht="100.8" x14ac:dyDescent="0.3">
      <c r="A1202" s="27" t="s">
        <v>105</v>
      </c>
      <c r="B1202" s="34"/>
      <c r="E1202" s="29" t="s">
        <v>4638</v>
      </c>
      <c r="J1202" s="35"/>
    </row>
    <row r="1203" spans="1:16" x14ac:dyDescent="0.3">
      <c r="A1203" s="27" t="s">
        <v>95</v>
      </c>
      <c r="B1203" s="27">
        <v>15</v>
      </c>
      <c r="C1203" s="28" t="s">
        <v>4825</v>
      </c>
      <c r="D1203" s="27" t="s">
        <v>266</v>
      </c>
      <c r="E1203" s="29" t="s">
        <v>4826</v>
      </c>
      <c r="F1203" s="30" t="s">
        <v>248</v>
      </c>
      <c r="G1203" s="31">
        <v>122.625</v>
      </c>
      <c r="H1203" s="32">
        <v>0</v>
      </c>
      <c r="I1203" s="32">
        <f>ROUND(122.625*H1203,P4)</f>
        <v>0</v>
      </c>
      <c r="J1203" s="30" t="s">
        <v>118</v>
      </c>
      <c r="O1203" s="33">
        <f>I1203*0.21</f>
        <v>0</v>
      </c>
      <c r="P1203">
        <v>3</v>
      </c>
    </row>
    <row r="1204" spans="1:16" ht="316.8" x14ac:dyDescent="0.3">
      <c r="A1204" s="27" t="s">
        <v>101</v>
      </c>
      <c r="B1204" s="34"/>
      <c r="E1204" s="29" t="s">
        <v>4827</v>
      </c>
      <c r="J1204" s="35"/>
    </row>
    <row r="1205" spans="1:16" ht="28.8" x14ac:dyDescent="0.3">
      <c r="A1205" s="27" t="s">
        <v>103</v>
      </c>
      <c r="B1205" s="34"/>
      <c r="E1205" s="36" t="s">
        <v>4994</v>
      </c>
      <c r="J1205" s="35"/>
    </row>
    <row r="1206" spans="1:16" ht="28.8" x14ac:dyDescent="0.3">
      <c r="A1206" s="27" t="s">
        <v>103</v>
      </c>
      <c r="B1206" s="34"/>
      <c r="E1206" s="36" t="s">
        <v>4995</v>
      </c>
      <c r="J1206" s="35"/>
    </row>
    <row r="1207" spans="1:16" ht="28.8" x14ac:dyDescent="0.3">
      <c r="A1207" s="27" t="s">
        <v>103</v>
      </c>
      <c r="B1207" s="34"/>
      <c r="E1207" s="36" t="s">
        <v>4996</v>
      </c>
      <c r="J1207" s="35"/>
    </row>
    <row r="1208" spans="1:16" ht="28.8" x14ac:dyDescent="0.3">
      <c r="A1208" s="27" t="s">
        <v>103</v>
      </c>
      <c r="B1208" s="34"/>
      <c r="E1208" s="36" t="s">
        <v>4997</v>
      </c>
      <c r="J1208" s="35"/>
    </row>
    <row r="1209" spans="1:16" ht="28.8" x14ac:dyDescent="0.3">
      <c r="A1209" s="27" t="s">
        <v>103</v>
      </c>
      <c r="B1209" s="34"/>
      <c r="E1209" s="36" t="s">
        <v>4998</v>
      </c>
      <c r="J1209" s="35"/>
    </row>
    <row r="1210" spans="1:16" ht="28.8" x14ac:dyDescent="0.3">
      <c r="A1210" s="27" t="s">
        <v>103</v>
      </c>
      <c r="B1210" s="34"/>
      <c r="E1210" s="36" t="s">
        <v>4999</v>
      </c>
      <c r="J1210" s="35"/>
    </row>
    <row r="1211" spans="1:16" ht="28.8" x14ac:dyDescent="0.3">
      <c r="A1211" s="27" t="s">
        <v>103</v>
      </c>
      <c r="B1211" s="34"/>
      <c r="E1211" s="36" t="s">
        <v>5000</v>
      </c>
      <c r="J1211" s="35"/>
    </row>
    <row r="1212" spans="1:16" ht="28.8" x14ac:dyDescent="0.3">
      <c r="A1212" s="27" t="s">
        <v>103</v>
      </c>
      <c r="B1212" s="34"/>
      <c r="E1212" s="36" t="s">
        <v>5001</v>
      </c>
      <c r="J1212" s="35"/>
    </row>
    <row r="1213" spans="1:16" ht="28.8" x14ac:dyDescent="0.3">
      <c r="A1213" s="27" t="s">
        <v>103</v>
      </c>
      <c r="B1213" s="34"/>
      <c r="E1213" s="36" t="s">
        <v>5002</v>
      </c>
      <c r="J1213" s="35"/>
    </row>
    <row r="1214" spans="1:16" ht="28.8" x14ac:dyDescent="0.3">
      <c r="A1214" s="27" t="s">
        <v>103</v>
      </c>
      <c r="B1214" s="34"/>
      <c r="E1214" s="36" t="s">
        <v>5003</v>
      </c>
      <c r="J1214" s="35"/>
    </row>
    <row r="1215" spans="1:16" ht="28.8" x14ac:dyDescent="0.3">
      <c r="A1215" s="27" t="s">
        <v>103</v>
      </c>
      <c r="B1215" s="34"/>
      <c r="E1215" s="36" t="s">
        <v>5004</v>
      </c>
      <c r="J1215" s="35"/>
    </row>
    <row r="1216" spans="1:16" ht="28.8" x14ac:dyDescent="0.3">
      <c r="A1216" s="27" t="s">
        <v>103</v>
      </c>
      <c r="B1216" s="34"/>
      <c r="E1216" s="36" t="s">
        <v>5005</v>
      </c>
      <c r="J1216" s="35"/>
    </row>
    <row r="1217" spans="1:10" ht="28.8" x14ac:dyDescent="0.3">
      <c r="A1217" s="27" t="s">
        <v>103</v>
      </c>
      <c r="B1217" s="34"/>
      <c r="E1217" s="36" t="s">
        <v>5006</v>
      </c>
      <c r="J1217" s="35"/>
    </row>
    <row r="1218" spans="1:10" ht="28.8" x14ac:dyDescent="0.3">
      <c r="A1218" s="27" t="s">
        <v>103</v>
      </c>
      <c r="B1218" s="34"/>
      <c r="E1218" s="36" t="s">
        <v>5007</v>
      </c>
      <c r="J1218" s="35"/>
    </row>
    <row r="1219" spans="1:10" ht="28.8" x14ac:dyDescent="0.3">
      <c r="A1219" s="27" t="s">
        <v>103</v>
      </c>
      <c r="B1219" s="34"/>
      <c r="E1219" s="36" t="s">
        <v>5008</v>
      </c>
      <c r="J1219" s="35"/>
    </row>
    <row r="1220" spans="1:10" ht="28.8" x14ac:dyDescent="0.3">
      <c r="A1220" s="27" t="s">
        <v>103</v>
      </c>
      <c r="B1220" s="34"/>
      <c r="E1220" s="36" t="s">
        <v>5009</v>
      </c>
      <c r="J1220" s="35"/>
    </row>
    <row r="1221" spans="1:10" ht="28.8" x14ac:dyDescent="0.3">
      <c r="A1221" s="27" t="s">
        <v>103</v>
      </c>
      <c r="B1221" s="34"/>
      <c r="E1221" s="36" t="s">
        <v>5010</v>
      </c>
      <c r="J1221" s="35"/>
    </row>
    <row r="1222" spans="1:10" ht="28.8" x14ac:dyDescent="0.3">
      <c r="A1222" s="27" t="s">
        <v>103</v>
      </c>
      <c r="B1222" s="34"/>
      <c r="E1222" s="36" t="s">
        <v>5011</v>
      </c>
      <c r="J1222" s="35"/>
    </row>
    <row r="1223" spans="1:10" ht="28.8" x14ac:dyDescent="0.3">
      <c r="A1223" s="27" t="s">
        <v>103</v>
      </c>
      <c r="B1223" s="34"/>
      <c r="E1223" s="36" t="s">
        <v>5012</v>
      </c>
      <c r="J1223" s="35"/>
    </row>
    <row r="1224" spans="1:10" ht="28.8" x14ac:dyDescent="0.3">
      <c r="A1224" s="27" t="s">
        <v>103</v>
      </c>
      <c r="B1224" s="34"/>
      <c r="E1224" s="36" t="s">
        <v>5013</v>
      </c>
      <c r="J1224" s="35"/>
    </row>
    <row r="1225" spans="1:10" ht="28.8" x14ac:dyDescent="0.3">
      <c r="A1225" s="27" t="s">
        <v>103</v>
      </c>
      <c r="B1225" s="34"/>
      <c r="E1225" s="36" t="s">
        <v>5014</v>
      </c>
      <c r="J1225" s="35"/>
    </row>
    <row r="1226" spans="1:10" ht="28.8" x14ac:dyDescent="0.3">
      <c r="A1226" s="27" t="s">
        <v>103</v>
      </c>
      <c r="B1226" s="34"/>
      <c r="E1226" s="36" t="s">
        <v>5015</v>
      </c>
      <c r="J1226" s="35"/>
    </row>
    <row r="1227" spans="1:10" ht="28.8" x14ac:dyDescent="0.3">
      <c r="A1227" s="27" t="s">
        <v>103</v>
      </c>
      <c r="B1227" s="34"/>
      <c r="E1227" s="36" t="s">
        <v>5016</v>
      </c>
      <c r="J1227" s="35"/>
    </row>
    <row r="1228" spans="1:10" ht="28.8" x14ac:dyDescent="0.3">
      <c r="A1228" s="27" t="s">
        <v>103</v>
      </c>
      <c r="B1228" s="34"/>
      <c r="E1228" s="36" t="s">
        <v>5017</v>
      </c>
      <c r="J1228" s="35"/>
    </row>
    <row r="1229" spans="1:10" ht="28.8" x14ac:dyDescent="0.3">
      <c r="A1229" s="27" t="s">
        <v>103</v>
      </c>
      <c r="B1229" s="34"/>
      <c r="E1229" s="36" t="s">
        <v>5018</v>
      </c>
      <c r="J1229" s="35"/>
    </row>
    <row r="1230" spans="1:10" ht="28.8" x14ac:dyDescent="0.3">
      <c r="A1230" s="27" t="s">
        <v>103</v>
      </c>
      <c r="B1230" s="34"/>
      <c r="E1230" s="36" t="s">
        <v>5019</v>
      </c>
      <c r="J1230" s="35"/>
    </row>
    <row r="1231" spans="1:10" ht="28.8" x14ac:dyDescent="0.3">
      <c r="A1231" s="27" t="s">
        <v>103</v>
      </c>
      <c r="B1231" s="34"/>
      <c r="E1231" s="36" t="s">
        <v>5020</v>
      </c>
      <c r="J1231" s="35"/>
    </row>
    <row r="1232" spans="1:10" ht="28.8" x14ac:dyDescent="0.3">
      <c r="A1232" s="27" t="s">
        <v>103</v>
      </c>
      <c r="B1232" s="34"/>
      <c r="E1232" s="36" t="s">
        <v>5021</v>
      </c>
      <c r="J1232" s="35"/>
    </row>
    <row r="1233" spans="1:10" ht="28.8" x14ac:dyDescent="0.3">
      <c r="A1233" s="27" t="s">
        <v>103</v>
      </c>
      <c r="B1233" s="34"/>
      <c r="E1233" s="36" t="s">
        <v>5022</v>
      </c>
      <c r="J1233" s="35"/>
    </row>
    <row r="1234" spans="1:10" ht="28.8" x14ac:dyDescent="0.3">
      <c r="A1234" s="27" t="s">
        <v>103</v>
      </c>
      <c r="B1234" s="34"/>
      <c r="E1234" s="36" t="s">
        <v>5023</v>
      </c>
      <c r="J1234" s="35"/>
    </row>
    <row r="1235" spans="1:10" ht="28.8" x14ac:dyDescent="0.3">
      <c r="A1235" s="27" t="s">
        <v>103</v>
      </c>
      <c r="B1235" s="34"/>
      <c r="E1235" s="36" t="s">
        <v>5024</v>
      </c>
      <c r="J1235" s="35"/>
    </row>
    <row r="1236" spans="1:10" ht="28.8" x14ac:dyDescent="0.3">
      <c r="A1236" s="27" t="s">
        <v>103</v>
      </c>
      <c r="B1236" s="34"/>
      <c r="E1236" s="36" t="s">
        <v>5025</v>
      </c>
      <c r="J1236" s="35"/>
    </row>
    <row r="1237" spans="1:10" ht="28.8" x14ac:dyDescent="0.3">
      <c r="A1237" s="27" t="s">
        <v>103</v>
      </c>
      <c r="B1237" s="34"/>
      <c r="E1237" s="36" t="s">
        <v>5026</v>
      </c>
      <c r="J1237" s="35"/>
    </row>
    <row r="1238" spans="1:10" ht="28.8" x14ac:dyDescent="0.3">
      <c r="A1238" s="27" t="s">
        <v>103</v>
      </c>
      <c r="B1238" s="34"/>
      <c r="E1238" s="36" t="s">
        <v>5027</v>
      </c>
      <c r="J1238" s="35"/>
    </row>
    <row r="1239" spans="1:10" ht="28.8" x14ac:dyDescent="0.3">
      <c r="A1239" s="27" t="s">
        <v>103</v>
      </c>
      <c r="B1239" s="34"/>
      <c r="E1239" s="36" t="s">
        <v>5028</v>
      </c>
      <c r="J1239" s="35"/>
    </row>
    <row r="1240" spans="1:10" ht="28.8" x14ac:dyDescent="0.3">
      <c r="A1240" s="27" t="s">
        <v>103</v>
      </c>
      <c r="B1240" s="34"/>
      <c r="E1240" s="36" t="s">
        <v>5029</v>
      </c>
      <c r="J1240" s="35"/>
    </row>
    <row r="1241" spans="1:10" ht="28.8" x14ac:dyDescent="0.3">
      <c r="A1241" s="27" t="s">
        <v>103</v>
      </c>
      <c r="B1241" s="34"/>
      <c r="E1241" s="36" t="s">
        <v>5030</v>
      </c>
      <c r="J1241" s="35"/>
    </row>
    <row r="1242" spans="1:10" ht="28.8" x14ac:dyDescent="0.3">
      <c r="A1242" s="27" t="s">
        <v>103</v>
      </c>
      <c r="B1242" s="34"/>
      <c r="E1242" s="36" t="s">
        <v>5031</v>
      </c>
      <c r="J1242" s="35"/>
    </row>
    <row r="1243" spans="1:10" ht="28.8" x14ac:dyDescent="0.3">
      <c r="A1243" s="27" t="s">
        <v>103</v>
      </c>
      <c r="B1243" s="34"/>
      <c r="E1243" s="36" t="s">
        <v>5032</v>
      </c>
      <c r="J1243" s="35"/>
    </row>
    <row r="1244" spans="1:10" ht="28.8" x14ac:dyDescent="0.3">
      <c r="A1244" s="27" t="s">
        <v>103</v>
      </c>
      <c r="B1244" s="34"/>
      <c r="E1244" s="36" t="s">
        <v>5033</v>
      </c>
      <c r="J1244" s="35"/>
    </row>
    <row r="1245" spans="1:10" ht="28.8" x14ac:dyDescent="0.3">
      <c r="A1245" s="27" t="s">
        <v>103</v>
      </c>
      <c r="B1245" s="34"/>
      <c r="E1245" s="36" t="s">
        <v>5034</v>
      </c>
      <c r="J1245" s="35"/>
    </row>
    <row r="1246" spans="1:10" ht="28.8" x14ac:dyDescent="0.3">
      <c r="A1246" s="27" t="s">
        <v>103</v>
      </c>
      <c r="B1246" s="34"/>
      <c r="E1246" s="36" t="s">
        <v>5035</v>
      </c>
      <c r="J1246" s="35"/>
    </row>
    <row r="1247" spans="1:10" ht="28.8" x14ac:dyDescent="0.3">
      <c r="A1247" s="27" t="s">
        <v>103</v>
      </c>
      <c r="B1247" s="34"/>
      <c r="E1247" s="36" t="s">
        <v>5036</v>
      </c>
      <c r="J1247" s="35"/>
    </row>
    <row r="1248" spans="1:10" ht="28.8" x14ac:dyDescent="0.3">
      <c r="A1248" s="27" t="s">
        <v>103</v>
      </c>
      <c r="B1248" s="34"/>
      <c r="E1248" s="36" t="s">
        <v>5037</v>
      </c>
      <c r="J1248" s="35"/>
    </row>
    <row r="1249" spans="1:10" ht="28.8" x14ac:dyDescent="0.3">
      <c r="A1249" s="27" t="s">
        <v>103</v>
      </c>
      <c r="B1249" s="34"/>
      <c r="E1249" s="36" t="s">
        <v>5038</v>
      </c>
      <c r="J1249" s="35"/>
    </row>
    <row r="1250" spans="1:10" ht="28.8" x14ac:dyDescent="0.3">
      <c r="A1250" s="27" t="s">
        <v>103</v>
      </c>
      <c r="B1250" s="34"/>
      <c r="E1250" s="36" t="s">
        <v>5039</v>
      </c>
      <c r="J1250" s="35"/>
    </row>
    <row r="1251" spans="1:10" ht="28.8" x14ac:dyDescent="0.3">
      <c r="A1251" s="27" t="s">
        <v>103</v>
      </c>
      <c r="B1251" s="34"/>
      <c r="E1251" s="36" t="s">
        <v>5040</v>
      </c>
      <c r="J1251" s="35"/>
    </row>
    <row r="1252" spans="1:10" ht="28.8" x14ac:dyDescent="0.3">
      <c r="A1252" s="27" t="s">
        <v>103</v>
      </c>
      <c r="B1252" s="34"/>
      <c r="E1252" s="36" t="s">
        <v>5041</v>
      </c>
      <c r="J1252" s="35"/>
    </row>
    <row r="1253" spans="1:10" ht="28.8" x14ac:dyDescent="0.3">
      <c r="A1253" s="27" t="s">
        <v>103</v>
      </c>
      <c r="B1253" s="34"/>
      <c r="E1253" s="36" t="s">
        <v>5042</v>
      </c>
      <c r="J1253" s="35"/>
    </row>
    <row r="1254" spans="1:10" ht="28.8" x14ac:dyDescent="0.3">
      <c r="A1254" s="27" t="s">
        <v>103</v>
      </c>
      <c r="B1254" s="34"/>
      <c r="E1254" s="36" t="s">
        <v>5043</v>
      </c>
      <c r="J1254" s="35"/>
    </row>
    <row r="1255" spans="1:10" x14ac:dyDescent="0.3">
      <c r="A1255" s="27" t="s">
        <v>103</v>
      </c>
      <c r="B1255" s="34"/>
      <c r="E1255" s="36" t="s">
        <v>5044</v>
      </c>
      <c r="J1255" s="35"/>
    </row>
    <row r="1256" spans="1:10" ht="100.8" x14ac:dyDescent="0.3">
      <c r="A1256" s="27" t="s">
        <v>105</v>
      </c>
      <c r="B1256" s="37"/>
      <c r="C1256" s="38"/>
      <c r="D1256" s="38"/>
      <c r="E1256" s="29" t="s">
        <v>4638</v>
      </c>
      <c r="F1256" s="38"/>
      <c r="G1256" s="38"/>
      <c r="H1256" s="38"/>
      <c r="I1256" s="38"/>
      <c r="J1256"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90"/>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54</v>
      </c>
      <c r="I3" s="16">
        <f>SUMIFS(I9:I190,A9:A190,"SD")</f>
        <v>0</v>
      </c>
      <c r="J3" s="12"/>
      <c r="O3">
        <v>0</v>
      </c>
      <c r="P3">
        <v>2</v>
      </c>
    </row>
    <row r="4" spans="1:16" x14ac:dyDescent="0.3">
      <c r="A4" s="2" t="s">
        <v>79</v>
      </c>
      <c r="B4" s="13" t="s">
        <v>492</v>
      </c>
      <c r="C4" s="43" t="s">
        <v>5045</v>
      </c>
      <c r="D4" s="44"/>
      <c r="E4" s="14" t="s">
        <v>5046</v>
      </c>
      <c r="F4" s="2"/>
      <c r="G4" s="2"/>
      <c r="H4" s="2"/>
      <c r="I4" s="2"/>
      <c r="J4" s="12"/>
      <c r="O4">
        <v>0.15</v>
      </c>
      <c r="P4">
        <v>2</v>
      </c>
    </row>
    <row r="5" spans="1:16" x14ac:dyDescent="0.3">
      <c r="A5" s="2" t="s">
        <v>495</v>
      </c>
      <c r="B5" s="13" t="s">
        <v>80</v>
      </c>
      <c r="C5" s="43" t="s">
        <v>54</v>
      </c>
      <c r="D5" s="44"/>
      <c r="E5" s="14" t="s">
        <v>55</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SUMIFS(I10:I92,A10:A92,"P")</f>
        <v>0</v>
      </c>
      <c r="J9" s="26"/>
    </row>
    <row r="10" spans="1:16" x14ac:dyDescent="0.3">
      <c r="A10" s="27" t="s">
        <v>95</v>
      </c>
      <c r="B10" s="27">
        <v>1</v>
      </c>
      <c r="C10" s="28" t="s">
        <v>2147</v>
      </c>
      <c r="D10" s="27" t="s">
        <v>129</v>
      </c>
      <c r="E10" s="29" t="s">
        <v>2148</v>
      </c>
      <c r="F10" s="30" t="s">
        <v>229</v>
      </c>
      <c r="G10" s="31">
        <v>1076.162</v>
      </c>
      <c r="H10" s="32">
        <v>0</v>
      </c>
      <c r="I10" s="32">
        <f>ROUND(1076.162*H10,P4)</f>
        <v>0</v>
      </c>
      <c r="J10" s="30" t="s">
        <v>118</v>
      </c>
      <c r="O10" s="33">
        <f>I10*0.21</f>
        <v>0</v>
      </c>
      <c r="P10">
        <v>3</v>
      </c>
    </row>
    <row r="11" spans="1:16" ht="115.2" x14ac:dyDescent="0.3">
      <c r="A11" s="27" t="s">
        <v>101</v>
      </c>
      <c r="B11" s="34"/>
      <c r="E11" s="29" t="s">
        <v>2149</v>
      </c>
      <c r="J11" s="35"/>
    </row>
    <row r="12" spans="1:16" ht="28.8" x14ac:dyDescent="0.3">
      <c r="A12" s="27" t="s">
        <v>103</v>
      </c>
      <c r="B12" s="34"/>
      <c r="E12" s="36" t="s">
        <v>5047</v>
      </c>
      <c r="J12" s="35"/>
    </row>
    <row r="13" spans="1:16" x14ac:dyDescent="0.3">
      <c r="A13" s="27" t="s">
        <v>103</v>
      </c>
      <c r="B13" s="34"/>
      <c r="E13" s="36" t="s">
        <v>5048</v>
      </c>
      <c r="J13" s="35"/>
    </row>
    <row r="14" spans="1:16" ht="388.8" x14ac:dyDescent="0.3">
      <c r="A14" s="27" t="s">
        <v>105</v>
      </c>
      <c r="B14" s="34"/>
      <c r="E14" s="29" t="s">
        <v>590</v>
      </c>
      <c r="J14" s="35"/>
    </row>
    <row r="15" spans="1:16" x14ac:dyDescent="0.3">
      <c r="A15" s="27" t="s">
        <v>95</v>
      </c>
      <c r="B15" s="27">
        <v>2</v>
      </c>
      <c r="C15" s="28" t="s">
        <v>5049</v>
      </c>
      <c r="D15" s="27" t="s">
        <v>129</v>
      </c>
      <c r="E15" s="29" t="s">
        <v>5050</v>
      </c>
      <c r="F15" s="30" t="s">
        <v>229</v>
      </c>
      <c r="G15" s="31">
        <v>142.81100000000001</v>
      </c>
      <c r="H15" s="32">
        <v>0</v>
      </c>
      <c r="I15" s="32">
        <f>ROUND(142.811*H15,P4)</f>
        <v>0</v>
      </c>
      <c r="J15" s="30" t="s">
        <v>118</v>
      </c>
      <c r="O15" s="33">
        <f>I15*0.21</f>
        <v>0</v>
      </c>
      <c r="P15">
        <v>3</v>
      </c>
    </row>
    <row r="16" spans="1:16" ht="115.2" x14ac:dyDescent="0.3">
      <c r="A16" s="27" t="s">
        <v>101</v>
      </c>
      <c r="B16" s="34"/>
      <c r="E16" s="29" t="s">
        <v>2149</v>
      </c>
      <c r="J16" s="35"/>
    </row>
    <row r="17" spans="1:16" ht="28.8" x14ac:dyDescent="0.3">
      <c r="A17" s="27" t="s">
        <v>103</v>
      </c>
      <c r="B17" s="34"/>
      <c r="E17" s="36" t="s">
        <v>5051</v>
      </c>
      <c r="J17" s="35"/>
    </row>
    <row r="18" spans="1:16" ht="28.8" x14ac:dyDescent="0.3">
      <c r="A18" s="27" t="s">
        <v>103</v>
      </c>
      <c r="B18" s="34"/>
      <c r="E18" s="36" t="s">
        <v>5052</v>
      </c>
      <c r="J18" s="35"/>
    </row>
    <row r="19" spans="1:16" ht="28.8" x14ac:dyDescent="0.3">
      <c r="A19" s="27" t="s">
        <v>103</v>
      </c>
      <c r="B19" s="34"/>
      <c r="E19" s="36" t="s">
        <v>5053</v>
      </c>
      <c r="J19" s="35"/>
    </row>
    <row r="20" spans="1:16" ht="28.8" x14ac:dyDescent="0.3">
      <c r="A20" s="27" t="s">
        <v>103</v>
      </c>
      <c r="B20" s="34"/>
      <c r="E20" s="36" t="s">
        <v>5054</v>
      </c>
      <c r="J20" s="35"/>
    </row>
    <row r="21" spans="1:16" ht="28.8" x14ac:dyDescent="0.3">
      <c r="A21" s="27" t="s">
        <v>103</v>
      </c>
      <c r="B21" s="34"/>
      <c r="E21" s="36" t="s">
        <v>5055</v>
      </c>
      <c r="J21" s="35"/>
    </row>
    <row r="22" spans="1:16" ht="28.8" x14ac:dyDescent="0.3">
      <c r="A22" s="27" t="s">
        <v>103</v>
      </c>
      <c r="B22" s="34"/>
      <c r="E22" s="36" t="s">
        <v>5056</v>
      </c>
      <c r="J22" s="35"/>
    </row>
    <row r="23" spans="1:16" ht="28.8" x14ac:dyDescent="0.3">
      <c r="A23" s="27" t="s">
        <v>103</v>
      </c>
      <c r="B23" s="34"/>
      <c r="E23" s="36" t="s">
        <v>5057</v>
      </c>
      <c r="J23" s="35"/>
    </row>
    <row r="24" spans="1:16" ht="28.8" x14ac:dyDescent="0.3">
      <c r="A24" s="27" t="s">
        <v>103</v>
      </c>
      <c r="B24" s="34"/>
      <c r="E24" s="36" t="s">
        <v>5058</v>
      </c>
      <c r="J24" s="35"/>
    </row>
    <row r="25" spans="1:16" ht="28.8" x14ac:dyDescent="0.3">
      <c r="A25" s="27" t="s">
        <v>103</v>
      </c>
      <c r="B25" s="34"/>
      <c r="E25" s="36" t="s">
        <v>5059</v>
      </c>
      <c r="J25" s="35"/>
    </row>
    <row r="26" spans="1:16" ht="28.8" x14ac:dyDescent="0.3">
      <c r="A26" s="27" t="s">
        <v>103</v>
      </c>
      <c r="B26" s="34"/>
      <c r="E26" s="36" t="s">
        <v>5060</v>
      </c>
      <c r="J26" s="35"/>
    </row>
    <row r="27" spans="1:16" ht="28.8" x14ac:dyDescent="0.3">
      <c r="A27" s="27" t="s">
        <v>103</v>
      </c>
      <c r="B27" s="34"/>
      <c r="E27" s="36" t="s">
        <v>5061</v>
      </c>
      <c r="J27" s="35"/>
    </row>
    <row r="28" spans="1:16" ht="28.8" x14ac:dyDescent="0.3">
      <c r="A28" s="27" t="s">
        <v>103</v>
      </c>
      <c r="B28" s="34"/>
      <c r="E28" s="36" t="s">
        <v>5062</v>
      </c>
      <c r="J28" s="35"/>
    </row>
    <row r="29" spans="1:16" ht="28.8" x14ac:dyDescent="0.3">
      <c r="A29" s="27" t="s">
        <v>103</v>
      </c>
      <c r="B29" s="34"/>
      <c r="E29" s="36" t="s">
        <v>5063</v>
      </c>
      <c r="J29" s="35"/>
    </row>
    <row r="30" spans="1:16" x14ac:dyDescent="0.3">
      <c r="A30" s="27" t="s">
        <v>103</v>
      </c>
      <c r="B30" s="34"/>
      <c r="E30" s="36" t="s">
        <v>5064</v>
      </c>
      <c r="J30" s="35"/>
    </row>
    <row r="31" spans="1:16" ht="388.8" x14ac:dyDescent="0.3">
      <c r="A31" s="27" t="s">
        <v>105</v>
      </c>
      <c r="B31" s="34"/>
      <c r="E31" s="29" t="s">
        <v>590</v>
      </c>
      <c r="J31" s="35"/>
    </row>
    <row r="32" spans="1:16" x14ac:dyDescent="0.3">
      <c r="A32" s="27" t="s">
        <v>95</v>
      </c>
      <c r="B32" s="27">
        <v>3</v>
      </c>
      <c r="C32" s="28" t="s">
        <v>594</v>
      </c>
      <c r="D32" s="27" t="s">
        <v>97</v>
      </c>
      <c r="E32" s="29" t="s">
        <v>595</v>
      </c>
      <c r="F32" s="30" t="s">
        <v>229</v>
      </c>
      <c r="G32" s="31">
        <v>222.14699999999999</v>
      </c>
      <c r="H32" s="32">
        <v>0</v>
      </c>
      <c r="I32" s="32">
        <f>ROUND(222.147*H32,P4)</f>
        <v>0</v>
      </c>
      <c r="J32" s="30" t="s">
        <v>118</v>
      </c>
      <c r="O32" s="33">
        <f>I32*0.21</f>
        <v>0</v>
      </c>
      <c r="P32">
        <v>3</v>
      </c>
    </row>
    <row r="33" spans="1:16" ht="158.4" x14ac:dyDescent="0.3">
      <c r="A33" s="27" t="s">
        <v>101</v>
      </c>
      <c r="B33" s="34"/>
      <c r="E33" s="29" t="s">
        <v>5065</v>
      </c>
      <c r="J33" s="35"/>
    </row>
    <row r="34" spans="1:16" ht="28.8" x14ac:dyDescent="0.3">
      <c r="A34" s="27" t="s">
        <v>103</v>
      </c>
      <c r="B34" s="34"/>
      <c r="E34" s="36" t="s">
        <v>5066</v>
      </c>
      <c r="J34" s="35"/>
    </row>
    <row r="35" spans="1:16" ht="28.8" x14ac:dyDescent="0.3">
      <c r="A35" s="27" t="s">
        <v>103</v>
      </c>
      <c r="B35" s="34"/>
      <c r="E35" s="36" t="s">
        <v>5067</v>
      </c>
      <c r="J35" s="35"/>
    </row>
    <row r="36" spans="1:16" ht="28.8" x14ac:dyDescent="0.3">
      <c r="A36" s="27" t="s">
        <v>103</v>
      </c>
      <c r="B36" s="34"/>
      <c r="E36" s="36" t="s">
        <v>5068</v>
      </c>
      <c r="J36" s="35"/>
    </row>
    <row r="37" spans="1:16" ht="28.8" x14ac:dyDescent="0.3">
      <c r="A37" s="27" t="s">
        <v>103</v>
      </c>
      <c r="B37" s="34"/>
      <c r="E37" s="36" t="s">
        <v>5069</v>
      </c>
      <c r="J37" s="35"/>
    </row>
    <row r="38" spans="1:16" ht="28.8" x14ac:dyDescent="0.3">
      <c r="A38" s="27" t="s">
        <v>103</v>
      </c>
      <c r="B38" s="34"/>
      <c r="E38" s="36" t="s">
        <v>5070</v>
      </c>
      <c r="J38" s="35"/>
    </row>
    <row r="39" spans="1:16" ht="28.8" x14ac:dyDescent="0.3">
      <c r="A39" s="27" t="s">
        <v>103</v>
      </c>
      <c r="B39" s="34"/>
      <c r="E39" s="36" t="s">
        <v>5071</v>
      </c>
      <c r="J39" s="35"/>
    </row>
    <row r="40" spans="1:16" ht="28.8" x14ac:dyDescent="0.3">
      <c r="A40" s="27" t="s">
        <v>103</v>
      </c>
      <c r="B40" s="34"/>
      <c r="E40" s="36" t="s">
        <v>5072</v>
      </c>
      <c r="J40" s="35"/>
    </row>
    <row r="41" spans="1:16" ht="28.8" x14ac:dyDescent="0.3">
      <c r="A41" s="27" t="s">
        <v>103</v>
      </c>
      <c r="B41" s="34"/>
      <c r="E41" s="36" t="s">
        <v>5073</v>
      </c>
      <c r="J41" s="35"/>
    </row>
    <row r="42" spans="1:16" x14ac:dyDescent="0.3">
      <c r="A42" s="27" t="s">
        <v>103</v>
      </c>
      <c r="B42" s="34"/>
      <c r="E42" s="36" t="s">
        <v>5074</v>
      </c>
      <c r="J42" s="35"/>
    </row>
    <row r="43" spans="1:16" ht="273.60000000000002" x14ac:dyDescent="0.3">
      <c r="A43" s="27" t="s">
        <v>105</v>
      </c>
      <c r="B43" s="34"/>
      <c r="E43" s="29" t="s">
        <v>609</v>
      </c>
      <c r="J43" s="35"/>
    </row>
    <row r="44" spans="1:16" x14ac:dyDescent="0.3">
      <c r="A44" s="27" t="s">
        <v>95</v>
      </c>
      <c r="B44" s="27">
        <v>4</v>
      </c>
      <c r="C44" s="28" t="s">
        <v>594</v>
      </c>
      <c r="D44" s="27" t="s">
        <v>107</v>
      </c>
      <c r="E44" s="29" t="s">
        <v>595</v>
      </c>
      <c r="F44" s="30" t="s">
        <v>229</v>
      </c>
      <c r="G44" s="31">
        <v>82.236000000000004</v>
      </c>
      <c r="H44" s="32">
        <v>0</v>
      </c>
      <c r="I44" s="32">
        <f>ROUND(82.236*H44,P4)</f>
        <v>0</v>
      </c>
      <c r="J44" s="30" t="s">
        <v>118</v>
      </c>
      <c r="O44" s="33">
        <f>I44*0.21</f>
        <v>0</v>
      </c>
      <c r="P44">
        <v>3</v>
      </c>
    </row>
    <row r="45" spans="1:16" ht="158.4" x14ac:dyDescent="0.3">
      <c r="A45" s="27" t="s">
        <v>101</v>
      </c>
      <c r="B45" s="34"/>
      <c r="E45" s="29" t="s">
        <v>5075</v>
      </c>
      <c r="J45" s="35"/>
    </row>
    <row r="46" spans="1:16" ht="28.8" x14ac:dyDescent="0.3">
      <c r="A46" s="27" t="s">
        <v>103</v>
      </c>
      <c r="B46" s="34"/>
      <c r="E46" s="36" t="s">
        <v>5076</v>
      </c>
      <c r="J46" s="35"/>
    </row>
    <row r="47" spans="1:16" ht="28.8" x14ac:dyDescent="0.3">
      <c r="A47" s="27" t="s">
        <v>103</v>
      </c>
      <c r="B47" s="34"/>
      <c r="E47" s="36" t="s">
        <v>5077</v>
      </c>
      <c r="J47" s="35"/>
    </row>
    <row r="48" spans="1:16" ht="28.8" x14ac:dyDescent="0.3">
      <c r="A48" s="27" t="s">
        <v>103</v>
      </c>
      <c r="B48" s="34"/>
      <c r="E48" s="36" t="s">
        <v>5078</v>
      </c>
      <c r="J48" s="35"/>
    </row>
    <row r="49" spans="1:16" ht="28.8" x14ac:dyDescent="0.3">
      <c r="A49" s="27" t="s">
        <v>103</v>
      </c>
      <c r="B49" s="34"/>
      <c r="E49" s="36" t="s">
        <v>5079</v>
      </c>
      <c r="J49" s="35"/>
    </row>
    <row r="50" spans="1:16" ht="28.8" x14ac:dyDescent="0.3">
      <c r="A50" s="27" t="s">
        <v>103</v>
      </c>
      <c r="B50" s="34"/>
      <c r="E50" s="36" t="s">
        <v>5080</v>
      </c>
      <c r="J50" s="35"/>
    </row>
    <row r="51" spans="1:16" ht="28.8" x14ac:dyDescent="0.3">
      <c r="A51" s="27" t="s">
        <v>103</v>
      </c>
      <c r="B51" s="34"/>
      <c r="E51" s="36" t="s">
        <v>5081</v>
      </c>
      <c r="J51" s="35"/>
    </row>
    <row r="52" spans="1:16" ht="28.8" x14ac:dyDescent="0.3">
      <c r="A52" s="27" t="s">
        <v>103</v>
      </c>
      <c r="B52" s="34"/>
      <c r="E52" s="36" t="s">
        <v>5082</v>
      </c>
      <c r="J52" s="35"/>
    </row>
    <row r="53" spans="1:16" ht="28.8" x14ac:dyDescent="0.3">
      <c r="A53" s="27" t="s">
        <v>103</v>
      </c>
      <c r="B53" s="34"/>
      <c r="E53" s="36" t="s">
        <v>5083</v>
      </c>
      <c r="J53" s="35"/>
    </row>
    <row r="54" spans="1:16" ht="28.8" x14ac:dyDescent="0.3">
      <c r="A54" s="27" t="s">
        <v>103</v>
      </c>
      <c r="B54" s="34"/>
      <c r="E54" s="36" t="s">
        <v>5084</v>
      </c>
      <c r="J54" s="35"/>
    </row>
    <row r="55" spans="1:16" ht="28.8" x14ac:dyDescent="0.3">
      <c r="A55" s="27" t="s">
        <v>103</v>
      </c>
      <c r="B55" s="34"/>
      <c r="E55" s="36" t="s">
        <v>5085</v>
      </c>
      <c r="J55" s="35"/>
    </row>
    <row r="56" spans="1:16" ht="28.8" x14ac:dyDescent="0.3">
      <c r="A56" s="27" t="s">
        <v>103</v>
      </c>
      <c r="B56" s="34"/>
      <c r="E56" s="36" t="s">
        <v>5086</v>
      </c>
      <c r="J56" s="35"/>
    </row>
    <row r="57" spans="1:16" ht="28.8" x14ac:dyDescent="0.3">
      <c r="A57" s="27" t="s">
        <v>103</v>
      </c>
      <c r="B57" s="34"/>
      <c r="E57" s="36" t="s">
        <v>5087</v>
      </c>
      <c r="J57" s="35"/>
    </row>
    <row r="58" spans="1:16" ht="28.8" x14ac:dyDescent="0.3">
      <c r="A58" s="27" t="s">
        <v>103</v>
      </c>
      <c r="B58" s="34"/>
      <c r="E58" s="36" t="s">
        <v>5088</v>
      </c>
      <c r="J58" s="35"/>
    </row>
    <row r="59" spans="1:16" ht="28.8" x14ac:dyDescent="0.3">
      <c r="A59" s="27" t="s">
        <v>103</v>
      </c>
      <c r="B59" s="34"/>
      <c r="E59" s="36" t="s">
        <v>5089</v>
      </c>
      <c r="J59" s="35"/>
    </row>
    <row r="60" spans="1:16" x14ac:dyDescent="0.3">
      <c r="A60" s="27" t="s">
        <v>103</v>
      </c>
      <c r="B60" s="34"/>
      <c r="E60" s="36" t="s">
        <v>5090</v>
      </c>
      <c r="J60" s="35"/>
    </row>
    <row r="61" spans="1:16" ht="273.60000000000002" x14ac:dyDescent="0.3">
      <c r="A61" s="27" t="s">
        <v>105</v>
      </c>
      <c r="B61" s="34"/>
      <c r="E61" s="29" t="s">
        <v>609</v>
      </c>
      <c r="J61" s="35"/>
    </row>
    <row r="62" spans="1:16" x14ac:dyDescent="0.3">
      <c r="A62" s="27" t="s">
        <v>95</v>
      </c>
      <c r="B62" s="27">
        <v>5</v>
      </c>
      <c r="C62" s="28" t="s">
        <v>2296</v>
      </c>
      <c r="D62" s="27" t="s">
        <v>97</v>
      </c>
      <c r="E62" s="29" t="s">
        <v>2297</v>
      </c>
      <c r="F62" s="30" t="s">
        <v>229</v>
      </c>
      <c r="G62" s="31">
        <v>189.42599999999999</v>
      </c>
      <c r="H62" s="32">
        <v>0</v>
      </c>
      <c r="I62" s="32">
        <f>ROUND(189.426*H62,P4)</f>
        <v>0</v>
      </c>
      <c r="J62" s="30" t="s">
        <v>118</v>
      </c>
      <c r="O62" s="33">
        <f>I62*0.21</f>
        <v>0</v>
      </c>
      <c r="P62">
        <v>3</v>
      </c>
    </row>
    <row r="63" spans="1:16" ht="158.4" x14ac:dyDescent="0.3">
      <c r="A63" s="27" t="s">
        <v>101</v>
      </c>
      <c r="B63" s="34"/>
      <c r="E63" s="29" t="s">
        <v>5091</v>
      </c>
      <c r="J63" s="35"/>
    </row>
    <row r="64" spans="1:16" ht="28.8" x14ac:dyDescent="0.3">
      <c r="A64" s="27" t="s">
        <v>103</v>
      </c>
      <c r="B64" s="34"/>
      <c r="E64" s="36" t="s">
        <v>5092</v>
      </c>
      <c r="J64" s="35"/>
    </row>
    <row r="65" spans="1:16" ht="28.8" x14ac:dyDescent="0.3">
      <c r="A65" s="27" t="s">
        <v>103</v>
      </c>
      <c r="B65" s="34"/>
      <c r="E65" s="36" t="s">
        <v>5093</v>
      </c>
      <c r="J65" s="35"/>
    </row>
    <row r="66" spans="1:16" ht="28.8" x14ac:dyDescent="0.3">
      <c r="A66" s="27" t="s">
        <v>103</v>
      </c>
      <c r="B66" s="34"/>
      <c r="E66" s="36" t="s">
        <v>5094</v>
      </c>
      <c r="J66" s="35"/>
    </row>
    <row r="67" spans="1:16" ht="28.8" x14ac:dyDescent="0.3">
      <c r="A67" s="27" t="s">
        <v>103</v>
      </c>
      <c r="B67" s="34"/>
      <c r="E67" s="36" t="s">
        <v>5095</v>
      </c>
      <c r="J67" s="35"/>
    </row>
    <row r="68" spans="1:16" ht="28.8" x14ac:dyDescent="0.3">
      <c r="A68" s="27" t="s">
        <v>103</v>
      </c>
      <c r="B68" s="34"/>
      <c r="E68" s="36" t="s">
        <v>5096</v>
      </c>
      <c r="J68" s="35"/>
    </row>
    <row r="69" spans="1:16" x14ac:dyDescent="0.3">
      <c r="A69" s="27" t="s">
        <v>103</v>
      </c>
      <c r="B69" s="34"/>
      <c r="E69" s="36" t="s">
        <v>5097</v>
      </c>
      <c r="J69" s="35"/>
    </row>
    <row r="70" spans="1:16" ht="302.39999999999998" x14ac:dyDescent="0.3">
      <c r="A70" s="27" t="s">
        <v>105</v>
      </c>
      <c r="B70" s="34"/>
      <c r="E70" s="29" t="s">
        <v>2312</v>
      </c>
      <c r="J70" s="35"/>
    </row>
    <row r="71" spans="1:16" x14ac:dyDescent="0.3">
      <c r="A71" s="27" t="s">
        <v>95</v>
      </c>
      <c r="B71" s="27">
        <v>6</v>
      </c>
      <c r="C71" s="28" t="s">
        <v>2313</v>
      </c>
      <c r="D71" s="27" t="s">
        <v>129</v>
      </c>
      <c r="E71" s="29" t="s">
        <v>2314</v>
      </c>
      <c r="F71" s="30" t="s">
        <v>229</v>
      </c>
      <c r="G71" s="31">
        <v>314.505</v>
      </c>
      <c r="H71" s="32">
        <v>0</v>
      </c>
      <c r="I71" s="32">
        <f>ROUND(314.505*H71,P4)</f>
        <v>0</v>
      </c>
      <c r="J71" s="30" t="s">
        <v>118</v>
      </c>
      <c r="O71" s="33">
        <f>I71*0.21</f>
        <v>0</v>
      </c>
      <c r="P71">
        <v>3</v>
      </c>
    </row>
    <row r="72" spans="1:16" ht="158.4" x14ac:dyDescent="0.3">
      <c r="A72" s="27" t="s">
        <v>101</v>
      </c>
      <c r="B72" s="34"/>
      <c r="E72" s="29" t="s">
        <v>5098</v>
      </c>
      <c r="J72" s="35"/>
    </row>
    <row r="73" spans="1:16" ht="28.8" x14ac:dyDescent="0.3">
      <c r="A73" s="27" t="s">
        <v>103</v>
      </c>
      <c r="B73" s="34"/>
      <c r="E73" s="36" t="s">
        <v>5099</v>
      </c>
      <c r="J73" s="35"/>
    </row>
    <row r="74" spans="1:16" ht="28.8" x14ac:dyDescent="0.3">
      <c r="A74" s="27" t="s">
        <v>103</v>
      </c>
      <c r="B74" s="34"/>
      <c r="E74" s="36" t="s">
        <v>5100</v>
      </c>
      <c r="J74" s="35"/>
    </row>
    <row r="75" spans="1:16" ht="28.8" x14ac:dyDescent="0.3">
      <c r="A75" s="27" t="s">
        <v>103</v>
      </c>
      <c r="B75" s="34"/>
      <c r="E75" s="36" t="s">
        <v>5101</v>
      </c>
      <c r="J75" s="35"/>
    </row>
    <row r="76" spans="1:16" x14ac:dyDescent="0.3">
      <c r="A76" s="27" t="s">
        <v>103</v>
      </c>
      <c r="B76" s="34"/>
      <c r="E76" s="36" t="s">
        <v>5102</v>
      </c>
      <c r="J76" s="35"/>
    </row>
    <row r="77" spans="1:16" ht="28.8" x14ac:dyDescent="0.3">
      <c r="A77" s="27" t="s">
        <v>103</v>
      </c>
      <c r="B77" s="34"/>
      <c r="E77" s="36" t="s">
        <v>5103</v>
      </c>
      <c r="J77" s="35"/>
    </row>
    <row r="78" spans="1:16" ht="28.8" x14ac:dyDescent="0.3">
      <c r="A78" s="27" t="s">
        <v>103</v>
      </c>
      <c r="B78" s="34"/>
      <c r="E78" s="36" t="s">
        <v>5104</v>
      </c>
      <c r="J78" s="35"/>
    </row>
    <row r="79" spans="1:16" ht="28.8" x14ac:dyDescent="0.3">
      <c r="A79" s="27" t="s">
        <v>103</v>
      </c>
      <c r="B79" s="34"/>
      <c r="E79" s="36" t="s">
        <v>5105</v>
      </c>
      <c r="J79" s="35"/>
    </row>
    <row r="80" spans="1:16" ht="28.8" x14ac:dyDescent="0.3">
      <c r="A80" s="27" t="s">
        <v>103</v>
      </c>
      <c r="B80" s="34"/>
      <c r="E80" s="36" t="s">
        <v>5106</v>
      </c>
      <c r="J80" s="35"/>
    </row>
    <row r="81" spans="1:16" ht="28.8" x14ac:dyDescent="0.3">
      <c r="A81" s="27" t="s">
        <v>103</v>
      </c>
      <c r="B81" s="34"/>
      <c r="E81" s="36" t="s">
        <v>5107</v>
      </c>
      <c r="J81" s="35"/>
    </row>
    <row r="82" spans="1:16" ht="28.8" x14ac:dyDescent="0.3">
      <c r="A82" s="27" t="s">
        <v>103</v>
      </c>
      <c r="B82" s="34"/>
      <c r="E82" s="36" t="s">
        <v>5108</v>
      </c>
      <c r="J82" s="35"/>
    </row>
    <row r="83" spans="1:16" ht="28.8" x14ac:dyDescent="0.3">
      <c r="A83" s="27" t="s">
        <v>103</v>
      </c>
      <c r="B83" s="34"/>
      <c r="E83" s="36" t="s">
        <v>5109</v>
      </c>
      <c r="J83" s="35"/>
    </row>
    <row r="84" spans="1:16" ht="28.8" x14ac:dyDescent="0.3">
      <c r="A84" s="27" t="s">
        <v>103</v>
      </c>
      <c r="B84" s="34"/>
      <c r="E84" s="36" t="s">
        <v>5110</v>
      </c>
      <c r="J84" s="35"/>
    </row>
    <row r="85" spans="1:16" ht="28.8" x14ac:dyDescent="0.3">
      <c r="A85" s="27" t="s">
        <v>103</v>
      </c>
      <c r="B85" s="34"/>
      <c r="E85" s="36" t="s">
        <v>5111</v>
      </c>
      <c r="J85" s="35"/>
    </row>
    <row r="86" spans="1:16" ht="28.8" x14ac:dyDescent="0.3">
      <c r="A86" s="27" t="s">
        <v>103</v>
      </c>
      <c r="B86" s="34"/>
      <c r="E86" s="36" t="s">
        <v>5112</v>
      </c>
      <c r="J86" s="35"/>
    </row>
    <row r="87" spans="1:16" ht="28.8" x14ac:dyDescent="0.3">
      <c r="A87" s="27" t="s">
        <v>103</v>
      </c>
      <c r="B87" s="34"/>
      <c r="E87" s="36" t="s">
        <v>5113</v>
      </c>
      <c r="J87" s="35"/>
    </row>
    <row r="88" spans="1:16" ht="28.8" x14ac:dyDescent="0.3">
      <c r="A88" s="27" t="s">
        <v>103</v>
      </c>
      <c r="B88" s="34"/>
      <c r="E88" s="36" t="s">
        <v>5114</v>
      </c>
      <c r="J88" s="35"/>
    </row>
    <row r="89" spans="1:16" ht="28.8" x14ac:dyDescent="0.3">
      <c r="A89" s="27" t="s">
        <v>103</v>
      </c>
      <c r="B89" s="34"/>
      <c r="E89" s="36" t="s">
        <v>5115</v>
      </c>
      <c r="J89" s="35"/>
    </row>
    <row r="90" spans="1:16" ht="28.8" x14ac:dyDescent="0.3">
      <c r="A90" s="27" t="s">
        <v>103</v>
      </c>
      <c r="B90" s="34"/>
      <c r="E90" s="36" t="s">
        <v>5116</v>
      </c>
      <c r="J90" s="35"/>
    </row>
    <row r="91" spans="1:16" x14ac:dyDescent="0.3">
      <c r="A91" s="27" t="s">
        <v>103</v>
      </c>
      <c r="B91" s="34"/>
      <c r="E91" s="36" t="s">
        <v>5117</v>
      </c>
      <c r="J91" s="35"/>
    </row>
    <row r="92" spans="1:16" ht="360" x14ac:dyDescent="0.3">
      <c r="A92" s="27" t="s">
        <v>105</v>
      </c>
      <c r="B92" s="34"/>
      <c r="E92" s="29" t="s">
        <v>2351</v>
      </c>
      <c r="J92" s="35"/>
    </row>
    <row r="93" spans="1:16" x14ac:dyDescent="0.3">
      <c r="A93" s="21" t="s">
        <v>92</v>
      </c>
      <c r="B93" s="22"/>
      <c r="C93" s="23" t="s">
        <v>121</v>
      </c>
      <c r="D93" s="24"/>
      <c r="E93" s="21" t="s">
        <v>669</v>
      </c>
      <c r="F93" s="24"/>
      <c r="G93" s="24"/>
      <c r="H93" s="24"/>
      <c r="I93" s="25">
        <f>SUMIFS(I94:I128,A94:A128,"P")</f>
        <v>0</v>
      </c>
      <c r="J93" s="26"/>
    </row>
    <row r="94" spans="1:16" x14ac:dyDescent="0.3">
      <c r="A94" s="27" t="s">
        <v>95</v>
      </c>
      <c r="B94" s="27">
        <v>7</v>
      </c>
      <c r="C94" s="28" t="s">
        <v>681</v>
      </c>
      <c r="D94" s="27" t="s">
        <v>97</v>
      </c>
      <c r="E94" s="29" t="s">
        <v>682</v>
      </c>
      <c r="F94" s="30" t="s">
        <v>229</v>
      </c>
      <c r="G94" s="31">
        <v>58.856000000000002</v>
      </c>
      <c r="H94" s="32">
        <v>0</v>
      </c>
      <c r="I94" s="32">
        <f>ROUND(58.856*H94,P4)</f>
        <v>0</v>
      </c>
      <c r="J94" s="30" t="s">
        <v>118</v>
      </c>
      <c r="O94" s="33">
        <f>I94*0.21</f>
        <v>0</v>
      </c>
      <c r="P94">
        <v>3</v>
      </c>
    </row>
    <row r="95" spans="1:16" ht="158.4" x14ac:dyDescent="0.3">
      <c r="A95" s="27" t="s">
        <v>101</v>
      </c>
      <c r="B95" s="34"/>
      <c r="E95" s="29" t="s">
        <v>5118</v>
      </c>
      <c r="J95" s="35"/>
    </row>
    <row r="96" spans="1:16" ht="28.8" x14ac:dyDescent="0.3">
      <c r="A96" s="27" t="s">
        <v>103</v>
      </c>
      <c r="B96" s="34"/>
      <c r="E96" s="36" t="s">
        <v>5119</v>
      </c>
      <c r="J96" s="35"/>
    </row>
    <row r="97" spans="1:16" ht="28.8" x14ac:dyDescent="0.3">
      <c r="A97" s="27" t="s">
        <v>103</v>
      </c>
      <c r="B97" s="34"/>
      <c r="E97" s="36" t="s">
        <v>5120</v>
      </c>
      <c r="J97" s="35"/>
    </row>
    <row r="98" spans="1:16" ht="28.8" x14ac:dyDescent="0.3">
      <c r="A98" s="27" t="s">
        <v>103</v>
      </c>
      <c r="B98" s="34"/>
      <c r="E98" s="36" t="s">
        <v>5121</v>
      </c>
      <c r="J98" s="35"/>
    </row>
    <row r="99" spans="1:16" ht="28.8" x14ac:dyDescent="0.3">
      <c r="A99" s="27" t="s">
        <v>103</v>
      </c>
      <c r="B99" s="34"/>
      <c r="E99" s="36" t="s">
        <v>5122</v>
      </c>
      <c r="J99" s="35"/>
    </row>
    <row r="100" spans="1:16" ht="28.8" x14ac:dyDescent="0.3">
      <c r="A100" s="27" t="s">
        <v>103</v>
      </c>
      <c r="B100" s="34"/>
      <c r="E100" s="36" t="s">
        <v>5123</v>
      </c>
      <c r="J100" s="35"/>
    </row>
    <row r="101" spans="1:16" ht="28.8" x14ac:dyDescent="0.3">
      <c r="A101" s="27" t="s">
        <v>103</v>
      </c>
      <c r="B101" s="34"/>
      <c r="E101" s="36" t="s">
        <v>5124</v>
      </c>
      <c r="J101" s="35"/>
    </row>
    <row r="102" spans="1:16" ht="28.8" x14ac:dyDescent="0.3">
      <c r="A102" s="27" t="s">
        <v>103</v>
      </c>
      <c r="B102" s="34"/>
      <c r="E102" s="36" t="s">
        <v>5125</v>
      </c>
      <c r="J102" s="35"/>
    </row>
    <row r="103" spans="1:16" ht="28.8" x14ac:dyDescent="0.3">
      <c r="A103" s="27" t="s">
        <v>103</v>
      </c>
      <c r="B103" s="34"/>
      <c r="E103" s="36" t="s">
        <v>5126</v>
      </c>
      <c r="J103" s="35"/>
    </row>
    <row r="104" spans="1:16" ht="28.8" x14ac:dyDescent="0.3">
      <c r="A104" s="27" t="s">
        <v>103</v>
      </c>
      <c r="B104" s="34"/>
      <c r="E104" s="36" t="s">
        <v>5127</v>
      </c>
      <c r="J104" s="35"/>
    </row>
    <row r="105" spans="1:16" ht="28.8" x14ac:dyDescent="0.3">
      <c r="A105" s="27" t="s">
        <v>103</v>
      </c>
      <c r="B105" s="34"/>
      <c r="E105" s="36" t="s">
        <v>5128</v>
      </c>
      <c r="J105" s="35"/>
    </row>
    <row r="106" spans="1:16" ht="28.8" x14ac:dyDescent="0.3">
      <c r="A106" s="27" t="s">
        <v>103</v>
      </c>
      <c r="B106" s="34"/>
      <c r="E106" s="36" t="s">
        <v>5129</v>
      </c>
      <c r="J106" s="35"/>
    </row>
    <row r="107" spans="1:16" ht="28.8" x14ac:dyDescent="0.3">
      <c r="A107" s="27" t="s">
        <v>103</v>
      </c>
      <c r="B107" s="34"/>
      <c r="E107" s="36" t="s">
        <v>5130</v>
      </c>
      <c r="J107" s="35"/>
    </row>
    <row r="108" spans="1:16" ht="28.8" x14ac:dyDescent="0.3">
      <c r="A108" s="27" t="s">
        <v>103</v>
      </c>
      <c r="B108" s="34"/>
      <c r="E108" s="36" t="s">
        <v>5131</v>
      </c>
      <c r="J108" s="35"/>
    </row>
    <row r="109" spans="1:16" x14ac:dyDescent="0.3">
      <c r="A109" s="27" t="s">
        <v>103</v>
      </c>
      <c r="B109" s="34"/>
      <c r="E109" s="36" t="s">
        <v>5132</v>
      </c>
      <c r="J109" s="35"/>
    </row>
    <row r="110" spans="1:16" ht="57.6" x14ac:dyDescent="0.3">
      <c r="A110" s="27" t="s">
        <v>105</v>
      </c>
      <c r="B110" s="34"/>
      <c r="E110" s="29" t="s">
        <v>696</v>
      </c>
      <c r="J110" s="35"/>
    </row>
    <row r="111" spans="1:16" x14ac:dyDescent="0.3">
      <c r="A111" s="27" t="s">
        <v>95</v>
      </c>
      <c r="B111" s="27">
        <v>8</v>
      </c>
      <c r="C111" s="28" t="s">
        <v>681</v>
      </c>
      <c r="D111" s="27" t="s">
        <v>107</v>
      </c>
      <c r="E111" s="29" t="s">
        <v>682</v>
      </c>
      <c r="F111" s="30" t="s">
        <v>229</v>
      </c>
      <c r="G111" s="31">
        <v>11.116</v>
      </c>
      <c r="H111" s="32">
        <v>0</v>
      </c>
      <c r="I111" s="32">
        <f>ROUND(11.116*H111,P4)</f>
        <v>0</v>
      </c>
      <c r="J111" s="30" t="s">
        <v>118</v>
      </c>
      <c r="O111" s="33">
        <f>I111*0.21</f>
        <v>0</v>
      </c>
      <c r="P111">
        <v>3</v>
      </c>
    </row>
    <row r="112" spans="1:16" ht="158.4" x14ac:dyDescent="0.3">
      <c r="A112" s="27" t="s">
        <v>101</v>
      </c>
      <c r="B112" s="34"/>
      <c r="E112" s="29" t="s">
        <v>5133</v>
      </c>
      <c r="J112" s="35"/>
    </row>
    <row r="113" spans="1:10" ht="28.8" x14ac:dyDescent="0.3">
      <c r="A113" s="27" t="s">
        <v>103</v>
      </c>
      <c r="B113" s="34"/>
      <c r="E113" s="36" t="s">
        <v>5134</v>
      </c>
      <c r="J113" s="35"/>
    </row>
    <row r="114" spans="1:10" ht="28.8" x14ac:dyDescent="0.3">
      <c r="A114" s="27" t="s">
        <v>103</v>
      </c>
      <c r="B114" s="34"/>
      <c r="E114" s="36" t="s">
        <v>5135</v>
      </c>
      <c r="J114" s="35"/>
    </row>
    <row r="115" spans="1:10" ht="28.8" x14ac:dyDescent="0.3">
      <c r="A115" s="27" t="s">
        <v>103</v>
      </c>
      <c r="B115" s="34"/>
      <c r="E115" s="36" t="s">
        <v>5136</v>
      </c>
      <c r="J115" s="35"/>
    </row>
    <row r="116" spans="1:10" ht="28.8" x14ac:dyDescent="0.3">
      <c r="A116" s="27" t="s">
        <v>103</v>
      </c>
      <c r="B116" s="34"/>
      <c r="E116" s="36" t="s">
        <v>5137</v>
      </c>
      <c r="J116" s="35"/>
    </row>
    <row r="117" spans="1:10" ht="28.8" x14ac:dyDescent="0.3">
      <c r="A117" s="27" t="s">
        <v>103</v>
      </c>
      <c r="B117" s="34"/>
      <c r="E117" s="36" t="s">
        <v>5138</v>
      </c>
      <c r="J117" s="35"/>
    </row>
    <row r="118" spans="1:10" ht="28.8" x14ac:dyDescent="0.3">
      <c r="A118" s="27" t="s">
        <v>103</v>
      </c>
      <c r="B118" s="34"/>
      <c r="E118" s="36" t="s">
        <v>5139</v>
      </c>
      <c r="J118" s="35"/>
    </row>
    <row r="119" spans="1:10" ht="28.8" x14ac:dyDescent="0.3">
      <c r="A119" s="27" t="s">
        <v>103</v>
      </c>
      <c r="B119" s="34"/>
      <c r="E119" s="36" t="s">
        <v>5140</v>
      </c>
      <c r="J119" s="35"/>
    </row>
    <row r="120" spans="1:10" ht="28.8" x14ac:dyDescent="0.3">
      <c r="A120" s="27" t="s">
        <v>103</v>
      </c>
      <c r="B120" s="34"/>
      <c r="E120" s="36" t="s">
        <v>5141</v>
      </c>
      <c r="J120" s="35"/>
    </row>
    <row r="121" spans="1:10" ht="28.8" x14ac:dyDescent="0.3">
      <c r="A121" s="27" t="s">
        <v>103</v>
      </c>
      <c r="B121" s="34"/>
      <c r="E121" s="36" t="s">
        <v>5142</v>
      </c>
      <c r="J121" s="35"/>
    </row>
    <row r="122" spans="1:10" x14ac:dyDescent="0.3">
      <c r="A122" s="27" t="s">
        <v>103</v>
      </c>
      <c r="B122" s="34"/>
      <c r="E122" s="36" t="s">
        <v>5143</v>
      </c>
      <c r="J122" s="35"/>
    </row>
    <row r="123" spans="1:10" ht="28.8" x14ac:dyDescent="0.3">
      <c r="A123" s="27" t="s">
        <v>103</v>
      </c>
      <c r="B123" s="34"/>
      <c r="E123" s="36" t="s">
        <v>5144</v>
      </c>
      <c r="J123" s="35"/>
    </row>
    <row r="124" spans="1:10" ht="28.8" x14ac:dyDescent="0.3">
      <c r="A124" s="27" t="s">
        <v>103</v>
      </c>
      <c r="B124" s="34"/>
      <c r="E124" s="36" t="s">
        <v>5145</v>
      </c>
      <c r="J124" s="35"/>
    </row>
    <row r="125" spans="1:10" ht="28.8" x14ac:dyDescent="0.3">
      <c r="A125" s="27" t="s">
        <v>103</v>
      </c>
      <c r="B125" s="34"/>
      <c r="E125" s="36" t="s">
        <v>5146</v>
      </c>
      <c r="J125" s="35"/>
    </row>
    <row r="126" spans="1:10" ht="28.8" x14ac:dyDescent="0.3">
      <c r="A126" s="27" t="s">
        <v>103</v>
      </c>
      <c r="B126" s="34"/>
      <c r="E126" s="36" t="s">
        <v>5147</v>
      </c>
      <c r="J126" s="35"/>
    </row>
    <row r="127" spans="1:10" x14ac:dyDescent="0.3">
      <c r="A127" s="27" t="s">
        <v>103</v>
      </c>
      <c r="B127" s="34"/>
      <c r="E127" s="36" t="s">
        <v>5148</v>
      </c>
      <c r="J127" s="35"/>
    </row>
    <row r="128" spans="1:10" ht="57.6" x14ac:dyDescent="0.3">
      <c r="A128" s="27" t="s">
        <v>105</v>
      </c>
      <c r="B128" s="34"/>
      <c r="E128" s="29" t="s">
        <v>696</v>
      </c>
      <c r="J128" s="35"/>
    </row>
    <row r="129" spans="1:16" x14ac:dyDescent="0.3">
      <c r="A129" s="21" t="s">
        <v>92</v>
      </c>
      <c r="B129" s="22"/>
      <c r="C129" s="23" t="s">
        <v>1179</v>
      </c>
      <c r="D129" s="24"/>
      <c r="E129" s="21" t="s">
        <v>1180</v>
      </c>
      <c r="F129" s="24"/>
      <c r="G129" s="24"/>
      <c r="H129" s="24"/>
      <c r="I129" s="25">
        <f>SUMIFS(I130:I190,A130:A190,"P")</f>
        <v>0</v>
      </c>
      <c r="J129" s="26"/>
    </row>
    <row r="130" spans="1:16" x14ac:dyDescent="0.3">
      <c r="A130" s="27" t="s">
        <v>95</v>
      </c>
      <c r="B130" s="27">
        <v>9</v>
      </c>
      <c r="C130" s="28" t="s">
        <v>5149</v>
      </c>
      <c r="D130" s="27" t="s">
        <v>129</v>
      </c>
      <c r="E130" s="29" t="s">
        <v>5150</v>
      </c>
      <c r="F130" s="30" t="s">
        <v>237</v>
      </c>
      <c r="G130" s="31">
        <v>454.95</v>
      </c>
      <c r="H130" s="32">
        <v>0</v>
      </c>
      <c r="I130" s="32">
        <f>ROUND(454.95*H130,P4)</f>
        <v>0</v>
      </c>
      <c r="J130" s="30" t="s">
        <v>118</v>
      </c>
      <c r="O130" s="33">
        <f>I130*0.21</f>
        <v>0</v>
      </c>
      <c r="P130">
        <v>3</v>
      </c>
    </row>
    <row r="131" spans="1:16" ht="302.39999999999998" x14ac:dyDescent="0.3">
      <c r="A131" s="27" t="s">
        <v>101</v>
      </c>
      <c r="B131" s="34"/>
      <c r="E131" s="29" t="s">
        <v>5151</v>
      </c>
      <c r="J131" s="35"/>
    </row>
    <row r="132" spans="1:16" ht="28.8" x14ac:dyDescent="0.3">
      <c r="A132" s="27" t="s">
        <v>103</v>
      </c>
      <c r="B132" s="34"/>
      <c r="E132" s="36" t="s">
        <v>5152</v>
      </c>
      <c r="J132" s="35"/>
    </row>
    <row r="133" spans="1:16" ht="28.8" x14ac:dyDescent="0.3">
      <c r="A133" s="27" t="s">
        <v>103</v>
      </c>
      <c r="B133" s="34"/>
      <c r="E133" s="36" t="s">
        <v>5153</v>
      </c>
      <c r="J133" s="35"/>
    </row>
    <row r="134" spans="1:16" ht="28.8" x14ac:dyDescent="0.3">
      <c r="A134" s="27" t="s">
        <v>103</v>
      </c>
      <c r="B134" s="34"/>
      <c r="E134" s="36" t="s">
        <v>5154</v>
      </c>
      <c r="J134" s="35"/>
    </row>
    <row r="135" spans="1:16" ht="28.8" x14ac:dyDescent="0.3">
      <c r="A135" s="27" t="s">
        <v>103</v>
      </c>
      <c r="B135" s="34"/>
      <c r="E135" s="36" t="s">
        <v>5155</v>
      </c>
      <c r="J135" s="35"/>
    </row>
    <row r="136" spans="1:16" ht="28.8" x14ac:dyDescent="0.3">
      <c r="A136" s="27" t="s">
        <v>103</v>
      </c>
      <c r="B136" s="34"/>
      <c r="E136" s="36" t="s">
        <v>5156</v>
      </c>
      <c r="J136" s="35"/>
    </row>
    <row r="137" spans="1:16" x14ac:dyDescent="0.3">
      <c r="A137" s="27" t="s">
        <v>103</v>
      </c>
      <c r="B137" s="34"/>
      <c r="E137" s="36" t="s">
        <v>5157</v>
      </c>
      <c r="J137" s="35"/>
    </row>
    <row r="138" spans="1:16" ht="28.8" x14ac:dyDescent="0.3">
      <c r="A138" s="27" t="s">
        <v>103</v>
      </c>
      <c r="B138" s="34"/>
      <c r="E138" s="36" t="s">
        <v>5158</v>
      </c>
      <c r="J138" s="35"/>
    </row>
    <row r="139" spans="1:16" ht="28.8" x14ac:dyDescent="0.3">
      <c r="A139" s="27" t="s">
        <v>103</v>
      </c>
      <c r="B139" s="34"/>
      <c r="E139" s="36" t="s">
        <v>5159</v>
      </c>
      <c r="J139" s="35"/>
    </row>
    <row r="140" spans="1:16" ht="28.8" x14ac:dyDescent="0.3">
      <c r="A140" s="27" t="s">
        <v>103</v>
      </c>
      <c r="B140" s="34"/>
      <c r="E140" s="36" t="s">
        <v>5160</v>
      </c>
      <c r="J140" s="35"/>
    </row>
    <row r="141" spans="1:16" x14ac:dyDescent="0.3">
      <c r="A141" s="27" t="s">
        <v>103</v>
      </c>
      <c r="B141" s="34"/>
      <c r="E141" s="36" t="s">
        <v>5161</v>
      </c>
      <c r="J141" s="35"/>
    </row>
    <row r="142" spans="1:16" ht="28.8" x14ac:dyDescent="0.3">
      <c r="A142" s="27" t="s">
        <v>103</v>
      </c>
      <c r="B142" s="34"/>
      <c r="E142" s="36" t="s">
        <v>5162</v>
      </c>
      <c r="J142" s="35"/>
    </row>
    <row r="143" spans="1:16" ht="28.8" x14ac:dyDescent="0.3">
      <c r="A143" s="27" t="s">
        <v>103</v>
      </c>
      <c r="B143" s="34"/>
      <c r="E143" s="36" t="s">
        <v>5163</v>
      </c>
      <c r="J143" s="35"/>
    </row>
    <row r="144" spans="1:16" ht="28.8" x14ac:dyDescent="0.3">
      <c r="A144" s="27" t="s">
        <v>103</v>
      </c>
      <c r="B144" s="34"/>
      <c r="E144" s="36" t="s">
        <v>5164</v>
      </c>
      <c r="J144" s="35"/>
    </row>
    <row r="145" spans="1:16" x14ac:dyDescent="0.3">
      <c r="A145" s="27" t="s">
        <v>103</v>
      </c>
      <c r="B145" s="34"/>
      <c r="E145" s="36" t="s">
        <v>5165</v>
      </c>
      <c r="J145" s="35"/>
    </row>
    <row r="146" spans="1:16" ht="316.8" x14ac:dyDescent="0.3">
      <c r="A146" s="27" t="s">
        <v>105</v>
      </c>
      <c r="B146" s="34"/>
      <c r="E146" s="29" t="s">
        <v>2568</v>
      </c>
      <c r="J146" s="35"/>
    </row>
    <row r="147" spans="1:16" x14ac:dyDescent="0.3">
      <c r="A147" s="27" t="s">
        <v>95</v>
      </c>
      <c r="B147" s="27">
        <v>10</v>
      </c>
      <c r="C147" s="28" t="s">
        <v>5166</v>
      </c>
      <c r="D147" s="27" t="s">
        <v>129</v>
      </c>
      <c r="E147" s="29" t="s">
        <v>5167</v>
      </c>
      <c r="F147" s="30" t="s">
        <v>117</v>
      </c>
      <c r="G147" s="31">
        <v>14</v>
      </c>
      <c r="H147" s="32">
        <v>0</v>
      </c>
      <c r="I147" s="32">
        <f>ROUND(14*H147,P4)</f>
        <v>0</v>
      </c>
      <c r="J147" s="30" t="s">
        <v>118</v>
      </c>
      <c r="O147" s="33">
        <f>I147*0.21</f>
        <v>0</v>
      </c>
      <c r="P147">
        <v>3</v>
      </c>
    </row>
    <row r="148" spans="1:16" ht="216" x14ac:dyDescent="0.3">
      <c r="A148" s="27" t="s">
        <v>101</v>
      </c>
      <c r="B148" s="34"/>
      <c r="E148" s="29" t="s">
        <v>5168</v>
      </c>
      <c r="J148" s="35"/>
    </row>
    <row r="149" spans="1:16" x14ac:dyDescent="0.3">
      <c r="A149" s="27" t="s">
        <v>103</v>
      </c>
      <c r="B149" s="34"/>
      <c r="E149" s="36" t="s">
        <v>5169</v>
      </c>
      <c r="J149" s="35"/>
    </row>
    <row r="150" spans="1:16" x14ac:dyDescent="0.3">
      <c r="A150" s="27" t="s">
        <v>103</v>
      </c>
      <c r="B150" s="34"/>
      <c r="E150" s="36" t="s">
        <v>5170</v>
      </c>
      <c r="J150" s="35"/>
    </row>
    <row r="151" spans="1:16" x14ac:dyDescent="0.3">
      <c r="A151" s="27" t="s">
        <v>103</v>
      </c>
      <c r="B151" s="34"/>
      <c r="E151" s="36" t="s">
        <v>5171</v>
      </c>
      <c r="J151" s="35"/>
    </row>
    <row r="152" spans="1:16" x14ac:dyDescent="0.3">
      <c r="A152" s="27" t="s">
        <v>103</v>
      </c>
      <c r="B152" s="34"/>
      <c r="E152" s="36" t="s">
        <v>5172</v>
      </c>
      <c r="J152" s="35"/>
    </row>
    <row r="153" spans="1:16" x14ac:dyDescent="0.3">
      <c r="A153" s="27" t="s">
        <v>103</v>
      </c>
      <c r="B153" s="34"/>
      <c r="E153" s="36" t="s">
        <v>5173</v>
      </c>
      <c r="J153" s="35"/>
    </row>
    <row r="154" spans="1:16" x14ac:dyDescent="0.3">
      <c r="A154" s="27" t="s">
        <v>103</v>
      </c>
      <c r="B154" s="34"/>
      <c r="E154" s="36" t="s">
        <v>5174</v>
      </c>
      <c r="J154" s="35"/>
    </row>
    <row r="155" spans="1:16" x14ac:dyDescent="0.3">
      <c r="A155" s="27" t="s">
        <v>103</v>
      </c>
      <c r="B155" s="34"/>
      <c r="E155" s="36" t="s">
        <v>5175</v>
      </c>
      <c r="J155" s="35"/>
    </row>
    <row r="156" spans="1:16" x14ac:dyDescent="0.3">
      <c r="A156" s="27" t="s">
        <v>103</v>
      </c>
      <c r="B156" s="34"/>
      <c r="E156" s="36" t="s">
        <v>5176</v>
      </c>
      <c r="J156" s="35"/>
    </row>
    <row r="157" spans="1:16" x14ac:dyDescent="0.3">
      <c r="A157" s="27" t="s">
        <v>103</v>
      </c>
      <c r="B157" s="34"/>
      <c r="E157" s="36" t="s">
        <v>5177</v>
      </c>
      <c r="J157" s="35"/>
    </row>
    <row r="158" spans="1:16" x14ac:dyDescent="0.3">
      <c r="A158" s="27" t="s">
        <v>103</v>
      </c>
      <c r="B158" s="34"/>
      <c r="E158" s="36" t="s">
        <v>5178</v>
      </c>
      <c r="J158" s="35"/>
    </row>
    <row r="159" spans="1:16" x14ac:dyDescent="0.3">
      <c r="A159" s="27" t="s">
        <v>103</v>
      </c>
      <c r="B159" s="34"/>
      <c r="E159" s="36" t="s">
        <v>5179</v>
      </c>
      <c r="J159" s="35"/>
    </row>
    <row r="160" spans="1:16" x14ac:dyDescent="0.3">
      <c r="A160" s="27" t="s">
        <v>103</v>
      </c>
      <c r="B160" s="34"/>
      <c r="E160" s="36" t="s">
        <v>5180</v>
      </c>
      <c r="J160" s="35"/>
    </row>
    <row r="161" spans="1:16" x14ac:dyDescent="0.3">
      <c r="A161" s="27" t="s">
        <v>103</v>
      </c>
      <c r="B161" s="34"/>
      <c r="E161" s="36" t="s">
        <v>5181</v>
      </c>
      <c r="J161" s="35"/>
    </row>
    <row r="162" spans="1:16" x14ac:dyDescent="0.3">
      <c r="A162" s="27" t="s">
        <v>103</v>
      </c>
      <c r="B162" s="34"/>
      <c r="E162" s="36" t="s">
        <v>5182</v>
      </c>
      <c r="J162" s="35"/>
    </row>
    <row r="163" spans="1:16" x14ac:dyDescent="0.3">
      <c r="A163" s="27" t="s">
        <v>103</v>
      </c>
      <c r="B163" s="34"/>
      <c r="E163" s="36" t="s">
        <v>5183</v>
      </c>
      <c r="J163" s="35"/>
    </row>
    <row r="164" spans="1:16" ht="331.2" x14ac:dyDescent="0.3">
      <c r="A164" s="27" t="s">
        <v>105</v>
      </c>
      <c r="B164" s="34"/>
      <c r="E164" s="29" t="s">
        <v>5184</v>
      </c>
      <c r="J164" s="35"/>
    </row>
    <row r="165" spans="1:16" x14ac:dyDescent="0.3">
      <c r="A165" s="27" t="s">
        <v>95</v>
      </c>
      <c r="B165" s="27">
        <v>11</v>
      </c>
      <c r="C165" s="28" t="s">
        <v>2632</v>
      </c>
      <c r="D165" s="27" t="s">
        <v>129</v>
      </c>
      <c r="E165" s="29" t="s">
        <v>2633</v>
      </c>
      <c r="F165" s="30" t="s">
        <v>237</v>
      </c>
      <c r="G165" s="31">
        <v>450.15</v>
      </c>
      <c r="H165" s="32">
        <v>0</v>
      </c>
      <c r="I165" s="32">
        <f>ROUND(450.15*H165,P4)</f>
        <v>0</v>
      </c>
      <c r="J165" s="30" t="s">
        <v>118</v>
      </c>
      <c r="O165" s="33">
        <f>I165*0.21</f>
        <v>0</v>
      </c>
      <c r="P165">
        <v>3</v>
      </c>
    </row>
    <row r="166" spans="1:16" ht="288" x14ac:dyDescent="0.3">
      <c r="A166" s="27" t="s">
        <v>101</v>
      </c>
      <c r="B166" s="34"/>
      <c r="E166" s="29" t="s">
        <v>5185</v>
      </c>
      <c r="J166" s="35"/>
    </row>
    <row r="167" spans="1:16" ht="28.8" x14ac:dyDescent="0.3">
      <c r="A167" s="27" t="s">
        <v>103</v>
      </c>
      <c r="B167" s="34"/>
      <c r="E167" s="36" t="s">
        <v>5186</v>
      </c>
      <c r="J167" s="35"/>
    </row>
    <row r="168" spans="1:16" x14ac:dyDescent="0.3">
      <c r="A168" s="27" t="s">
        <v>103</v>
      </c>
      <c r="B168" s="34"/>
      <c r="E168" s="36" t="s">
        <v>5187</v>
      </c>
      <c r="J168" s="35"/>
    </row>
    <row r="169" spans="1:16" ht="43.2" x14ac:dyDescent="0.3">
      <c r="A169" s="27" t="s">
        <v>105</v>
      </c>
      <c r="B169" s="34"/>
      <c r="E169" s="29" t="s">
        <v>2664</v>
      </c>
      <c r="J169" s="35"/>
    </row>
    <row r="170" spans="1:16" x14ac:dyDescent="0.3">
      <c r="A170" s="27" t="s">
        <v>95</v>
      </c>
      <c r="B170" s="27">
        <v>12</v>
      </c>
      <c r="C170" s="28" t="s">
        <v>5188</v>
      </c>
      <c r="D170" s="27" t="s">
        <v>129</v>
      </c>
      <c r="E170" s="29" t="s">
        <v>5189</v>
      </c>
      <c r="F170" s="30" t="s">
        <v>237</v>
      </c>
      <c r="G170" s="31">
        <v>454.95</v>
      </c>
      <c r="H170" s="32">
        <v>0</v>
      </c>
      <c r="I170" s="32">
        <f>ROUND(454.95*H170,P4)</f>
        <v>0</v>
      </c>
      <c r="J170" s="30" t="s">
        <v>118</v>
      </c>
      <c r="O170" s="33">
        <f>I170*0.21</f>
        <v>0</v>
      </c>
      <c r="P170">
        <v>3</v>
      </c>
    </row>
    <row r="171" spans="1:16" ht="302.39999999999998" x14ac:dyDescent="0.3">
      <c r="A171" s="27" t="s">
        <v>101</v>
      </c>
      <c r="B171" s="34"/>
      <c r="E171" s="29" t="s">
        <v>5151</v>
      </c>
      <c r="J171" s="35"/>
    </row>
    <row r="172" spans="1:16" ht="28.8" x14ac:dyDescent="0.3">
      <c r="A172" s="27" t="s">
        <v>103</v>
      </c>
      <c r="B172" s="34"/>
      <c r="E172" s="36" t="s">
        <v>5152</v>
      </c>
      <c r="J172" s="35"/>
    </row>
    <row r="173" spans="1:16" ht="28.8" x14ac:dyDescent="0.3">
      <c r="A173" s="27" t="s">
        <v>103</v>
      </c>
      <c r="B173" s="34"/>
      <c r="E173" s="36" t="s">
        <v>5153</v>
      </c>
      <c r="J173" s="35"/>
    </row>
    <row r="174" spans="1:16" ht="28.8" x14ac:dyDescent="0.3">
      <c r="A174" s="27" t="s">
        <v>103</v>
      </c>
      <c r="B174" s="34"/>
      <c r="E174" s="36" t="s">
        <v>5154</v>
      </c>
      <c r="J174" s="35"/>
    </row>
    <row r="175" spans="1:16" ht="28.8" x14ac:dyDescent="0.3">
      <c r="A175" s="27" t="s">
        <v>103</v>
      </c>
      <c r="B175" s="34"/>
      <c r="E175" s="36" t="s">
        <v>5155</v>
      </c>
      <c r="J175" s="35"/>
    </row>
    <row r="176" spans="1:16" ht="28.8" x14ac:dyDescent="0.3">
      <c r="A176" s="27" t="s">
        <v>103</v>
      </c>
      <c r="B176" s="34"/>
      <c r="E176" s="36" t="s">
        <v>5156</v>
      </c>
      <c r="J176" s="35"/>
    </row>
    <row r="177" spans="1:16" x14ac:dyDescent="0.3">
      <c r="A177" s="27" t="s">
        <v>103</v>
      </c>
      <c r="B177" s="34"/>
      <c r="E177" s="36" t="s">
        <v>5157</v>
      </c>
      <c r="J177" s="35"/>
    </row>
    <row r="178" spans="1:16" ht="28.8" x14ac:dyDescent="0.3">
      <c r="A178" s="27" t="s">
        <v>103</v>
      </c>
      <c r="B178" s="34"/>
      <c r="E178" s="36" t="s">
        <v>5158</v>
      </c>
      <c r="J178" s="35"/>
    </row>
    <row r="179" spans="1:16" ht="28.8" x14ac:dyDescent="0.3">
      <c r="A179" s="27" t="s">
        <v>103</v>
      </c>
      <c r="B179" s="34"/>
      <c r="E179" s="36" t="s">
        <v>5159</v>
      </c>
      <c r="J179" s="35"/>
    </row>
    <row r="180" spans="1:16" ht="28.8" x14ac:dyDescent="0.3">
      <c r="A180" s="27" t="s">
        <v>103</v>
      </c>
      <c r="B180" s="34"/>
      <c r="E180" s="36" t="s">
        <v>5160</v>
      </c>
      <c r="J180" s="35"/>
    </row>
    <row r="181" spans="1:16" x14ac:dyDescent="0.3">
      <c r="A181" s="27" t="s">
        <v>103</v>
      </c>
      <c r="B181" s="34"/>
      <c r="E181" s="36" t="s">
        <v>5161</v>
      </c>
      <c r="J181" s="35"/>
    </row>
    <row r="182" spans="1:16" ht="28.8" x14ac:dyDescent="0.3">
      <c r="A182" s="27" t="s">
        <v>103</v>
      </c>
      <c r="B182" s="34"/>
      <c r="E182" s="36" t="s">
        <v>5162</v>
      </c>
      <c r="J182" s="35"/>
    </row>
    <row r="183" spans="1:16" ht="28.8" x14ac:dyDescent="0.3">
      <c r="A183" s="27" t="s">
        <v>103</v>
      </c>
      <c r="B183" s="34"/>
      <c r="E183" s="36" t="s">
        <v>5163</v>
      </c>
      <c r="J183" s="35"/>
    </row>
    <row r="184" spans="1:16" ht="28.8" x14ac:dyDescent="0.3">
      <c r="A184" s="27" t="s">
        <v>103</v>
      </c>
      <c r="B184" s="34"/>
      <c r="E184" s="36" t="s">
        <v>5164</v>
      </c>
      <c r="J184" s="35"/>
    </row>
    <row r="185" spans="1:16" x14ac:dyDescent="0.3">
      <c r="A185" s="27" t="s">
        <v>103</v>
      </c>
      <c r="B185" s="34"/>
      <c r="E185" s="36" t="s">
        <v>5165</v>
      </c>
      <c r="J185" s="35"/>
    </row>
    <row r="186" spans="1:16" ht="72" x14ac:dyDescent="0.3">
      <c r="A186" s="27" t="s">
        <v>105</v>
      </c>
      <c r="B186" s="34"/>
      <c r="E186" s="29" t="s">
        <v>5190</v>
      </c>
      <c r="J186" s="35"/>
    </row>
    <row r="187" spans="1:16" x14ac:dyDescent="0.3">
      <c r="A187" s="27" t="s">
        <v>95</v>
      </c>
      <c r="B187" s="27">
        <v>13</v>
      </c>
      <c r="C187" s="28" t="s">
        <v>5191</v>
      </c>
      <c r="D187" s="27" t="s">
        <v>129</v>
      </c>
      <c r="E187" s="29" t="s">
        <v>5192</v>
      </c>
      <c r="F187" s="30" t="s">
        <v>117</v>
      </c>
      <c r="G187" s="31">
        <v>1</v>
      </c>
      <c r="H187" s="32">
        <v>0</v>
      </c>
      <c r="I187" s="32">
        <f>ROUND(1*H187,P4)</f>
        <v>0</v>
      </c>
      <c r="J187" s="30" t="s">
        <v>118</v>
      </c>
      <c r="O187" s="33">
        <f>I187*0.21</f>
        <v>0</v>
      </c>
      <c r="P187">
        <v>3</v>
      </c>
    </row>
    <row r="188" spans="1:16" x14ac:dyDescent="0.3">
      <c r="A188" s="27" t="s">
        <v>101</v>
      </c>
      <c r="B188" s="34"/>
      <c r="E188" s="29" t="s">
        <v>5193</v>
      </c>
      <c r="J188" s="35"/>
    </row>
    <row r="189" spans="1:16" x14ac:dyDescent="0.3">
      <c r="A189" s="27" t="s">
        <v>103</v>
      </c>
      <c r="B189" s="34"/>
      <c r="E189" s="36" t="s">
        <v>5194</v>
      </c>
      <c r="J189" s="35"/>
    </row>
    <row r="190" spans="1:16" ht="28.8" x14ac:dyDescent="0.3">
      <c r="A190" s="27" t="s">
        <v>105</v>
      </c>
      <c r="B190" s="37"/>
      <c r="C190" s="38"/>
      <c r="D190" s="38"/>
      <c r="E190" s="29" t="s">
        <v>5195</v>
      </c>
      <c r="F190" s="38"/>
      <c r="G190" s="38"/>
      <c r="H190" s="38"/>
      <c r="I190" s="38"/>
      <c r="J190"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0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56</v>
      </c>
      <c r="I3" s="16">
        <f>SUMIFS(I9:I104,A9:A104,"SD")</f>
        <v>0</v>
      </c>
      <c r="J3" s="12"/>
      <c r="O3">
        <v>0</v>
      </c>
      <c r="P3">
        <v>2</v>
      </c>
    </row>
    <row r="4" spans="1:16" x14ac:dyDescent="0.3">
      <c r="A4" s="2" t="s">
        <v>79</v>
      </c>
      <c r="B4" s="13" t="s">
        <v>492</v>
      </c>
      <c r="C4" s="43" t="s">
        <v>5045</v>
      </c>
      <c r="D4" s="44"/>
      <c r="E4" s="14" t="s">
        <v>5046</v>
      </c>
      <c r="F4" s="2"/>
      <c r="G4" s="2"/>
      <c r="H4" s="2"/>
      <c r="I4" s="2"/>
      <c r="J4" s="12"/>
      <c r="O4">
        <v>0.15</v>
      </c>
      <c r="P4">
        <v>2</v>
      </c>
    </row>
    <row r="5" spans="1:16" x14ac:dyDescent="0.3">
      <c r="A5" s="2" t="s">
        <v>495</v>
      </c>
      <c r="B5" s="13" t="s">
        <v>80</v>
      </c>
      <c r="C5" s="43" t="s">
        <v>56</v>
      </c>
      <c r="D5" s="44"/>
      <c r="E5" s="14" t="s">
        <v>57</v>
      </c>
      <c r="F5" s="2"/>
      <c r="G5" s="2"/>
      <c r="H5" s="2"/>
      <c r="I5" s="2"/>
      <c r="J5" s="12"/>
      <c r="O5">
        <v>0.21</v>
      </c>
    </row>
    <row r="6" spans="1:16" x14ac:dyDescent="0.3">
      <c r="A6" s="45" t="s">
        <v>81</v>
      </c>
      <c r="B6" s="46" t="s">
        <v>82</v>
      </c>
      <c r="C6" s="47" t="s">
        <v>83</v>
      </c>
      <c r="D6" s="47" t="s">
        <v>84</v>
      </c>
      <c r="E6" s="47" t="s">
        <v>85</v>
      </c>
      <c r="F6" s="47" t="s">
        <v>86</v>
      </c>
      <c r="G6" s="47" t="s">
        <v>87</v>
      </c>
      <c r="H6" s="47" t="s">
        <v>88</v>
      </c>
      <c r="I6" s="47"/>
      <c r="J6" s="48" t="s">
        <v>89</v>
      </c>
    </row>
    <row r="7" spans="1:16" x14ac:dyDescent="0.3">
      <c r="A7" s="45"/>
      <c r="B7" s="46"/>
      <c r="C7" s="47"/>
      <c r="D7" s="47"/>
      <c r="E7" s="47"/>
      <c r="F7" s="47"/>
      <c r="G7" s="47"/>
      <c r="H7" s="6" t="s">
        <v>90</v>
      </c>
      <c r="I7" s="6" t="s">
        <v>91</v>
      </c>
      <c r="J7" s="48"/>
    </row>
    <row r="8" spans="1:16" x14ac:dyDescent="0.3">
      <c r="A8" s="19">
        <v>0</v>
      </c>
      <c r="B8" s="17">
        <v>1</v>
      </c>
      <c r="C8" s="20">
        <v>2</v>
      </c>
      <c r="D8" s="6">
        <v>3</v>
      </c>
      <c r="E8" s="20">
        <v>4</v>
      </c>
      <c r="F8" s="6">
        <v>5</v>
      </c>
      <c r="G8" s="6">
        <v>6</v>
      </c>
      <c r="H8" s="6">
        <v>7</v>
      </c>
      <c r="I8" s="20">
        <v>8</v>
      </c>
      <c r="J8" s="18">
        <v>9</v>
      </c>
    </row>
    <row r="9" spans="1:16" x14ac:dyDescent="0.3">
      <c r="A9" s="21" t="s">
        <v>92</v>
      </c>
      <c r="B9" s="22"/>
      <c r="C9" s="23" t="s">
        <v>97</v>
      </c>
      <c r="D9" s="24"/>
      <c r="E9" s="21" t="s">
        <v>204</v>
      </c>
      <c r="F9" s="24"/>
      <c r="G9" s="24"/>
      <c r="H9" s="24"/>
      <c r="I9" s="25">
        <f>SUMIFS(I10:I52,A10:A52,"P")</f>
        <v>0</v>
      </c>
      <c r="J9" s="26"/>
    </row>
    <row r="10" spans="1:16" x14ac:dyDescent="0.3">
      <c r="A10" s="27" t="s">
        <v>95</v>
      </c>
      <c r="B10" s="27">
        <v>1</v>
      </c>
      <c r="C10" s="28" t="s">
        <v>2147</v>
      </c>
      <c r="D10" s="27" t="s">
        <v>129</v>
      </c>
      <c r="E10" s="29" t="s">
        <v>2148</v>
      </c>
      <c r="F10" s="30" t="s">
        <v>229</v>
      </c>
      <c r="G10" s="31">
        <v>290.625</v>
      </c>
      <c r="H10" s="32">
        <v>0</v>
      </c>
      <c r="I10" s="32">
        <f>ROUND(290.625*H10,P4)</f>
        <v>0</v>
      </c>
      <c r="J10" s="30" t="s">
        <v>118</v>
      </c>
      <c r="O10" s="33">
        <f>I10*0.21</f>
        <v>0</v>
      </c>
      <c r="P10">
        <v>3</v>
      </c>
    </row>
    <row r="11" spans="1:16" ht="115.2" x14ac:dyDescent="0.3">
      <c r="A11" s="27" t="s">
        <v>101</v>
      </c>
      <c r="B11" s="34"/>
      <c r="E11" s="29" t="s">
        <v>2149</v>
      </c>
      <c r="J11" s="35"/>
    </row>
    <row r="12" spans="1:16" ht="28.8" x14ac:dyDescent="0.3">
      <c r="A12" s="27" t="s">
        <v>103</v>
      </c>
      <c r="B12" s="34"/>
      <c r="E12" s="36" t="s">
        <v>5196</v>
      </c>
      <c r="J12" s="35"/>
    </row>
    <row r="13" spans="1:16" x14ac:dyDescent="0.3">
      <c r="A13" s="27" t="s">
        <v>103</v>
      </c>
      <c r="B13" s="34"/>
      <c r="E13" s="36" t="s">
        <v>5197</v>
      </c>
      <c r="J13" s="35"/>
    </row>
    <row r="14" spans="1:16" ht="388.8" x14ac:dyDescent="0.3">
      <c r="A14" s="27" t="s">
        <v>105</v>
      </c>
      <c r="B14" s="34"/>
      <c r="E14" s="29" t="s">
        <v>590</v>
      </c>
      <c r="J14" s="35"/>
    </row>
    <row r="15" spans="1:16" x14ac:dyDescent="0.3">
      <c r="A15" s="27" t="s">
        <v>95</v>
      </c>
      <c r="B15" s="27">
        <v>2</v>
      </c>
      <c r="C15" s="28" t="s">
        <v>5049</v>
      </c>
      <c r="D15" s="27" t="s">
        <v>129</v>
      </c>
      <c r="E15" s="29" t="s">
        <v>5050</v>
      </c>
      <c r="F15" s="30" t="s">
        <v>229</v>
      </c>
      <c r="G15" s="31">
        <v>51.524999999999999</v>
      </c>
      <c r="H15" s="32">
        <v>0</v>
      </c>
      <c r="I15" s="32">
        <f>ROUND(51.525*H15,P4)</f>
        <v>0</v>
      </c>
      <c r="J15" s="30" t="s">
        <v>118</v>
      </c>
      <c r="O15" s="33">
        <f>I15*0.21</f>
        <v>0</v>
      </c>
      <c r="P15">
        <v>3</v>
      </c>
    </row>
    <row r="16" spans="1:16" ht="115.2" x14ac:dyDescent="0.3">
      <c r="A16" s="27" t="s">
        <v>101</v>
      </c>
      <c r="B16" s="34"/>
      <c r="E16" s="29" t="s">
        <v>2149</v>
      </c>
      <c r="J16" s="35"/>
    </row>
    <row r="17" spans="1:16" ht="28.8" x14ac:dyDescent="0.3">
      <c r="A17" s="27" t="s">
        <v>103</v>
      </c>
      <c r="B17" s="34"/>
      <c r="E17" s="36" t="s">
        <v>5198</v>
      </c>
      <c r="J17" s="35"/>
    </row>
    <row r="18" spans="1:16" ht="28.8" x14ac:dyDescent="0.3">
      <c r="A18" s="27" t="s">
        <v>103</v>
      </c>
      <c r="B18" s="34"/>
      <c r="E18" s="36" t="s">
        <v>5199</v>
      </c>
      <c r="J18" s="35"/>
    </row>
    <row r="19" spans="1:16" ht="28.8" x14ac:dyDescent="0.3">
      <c r="A19" s="27" t="s">
        <v>103</v>
      </c>
      <c r="B19" s="34"/>
      <c r="E19" s="36" t="s">
        <v>5200</v>
      </c>
      <c r="J19" s="35"/>
    </row>
    <row r="20" spans="1:16" ht="28.8" x14ac:dyDescent="0.3">
      <c r="A20" s="27" t="s">
        <v>103</v>
      </c>
      <c r="B20" s="34"/>
      <c r="E20" s="36" t="s">
        <v>5201</v>
      </c>
      <c r="J20" s="35"/>
    </row>
    <row r="21" spans="1:16" ht="28.8" x14ac:dyDescent="0.3">
      <c r="A21" s="27" t="s">
        <v>103</v>
      </c>
      <c r="B21" s="34"/>
      <c r="E21" s="36" t="s">
        <v>5202</v>
      </c>
      <c r="J21" s="35"/>
    </row>
    <row r="22" spans="1:16" x14ac:dyDescent="0.3">
      <c r="A22" s="27" t="s">
        <v>103</v>
      </c>
      <c r="B22" s="34"/>
      <c r="E22" s="36" t="s">
        <v>5203</v>
      </c>
      <c r="J22" s="35"/>
    </row>
    <row r="23" spans="1:16" ht="388.8" x14ac:dyDescent="0.3">
      <c r="A23" s="27" t="s">
        <v>105</v>
      </c>
      <c r="B23" s="34"/>
      <c r="E23" s="29" t="s">
        <v>590</v>
      </c>
      <c r="J23" s="35"/>
    </row>
    <row r="24" spans="1:16" x14ac:dyDescent="0.3">
      <c r="A24" s="27" t="s">
        <v>95</v>
      </c>
      <c r="B24" s="27">
        <v>3</v>
      </c>
      <c r="C24" s="28" t="s">
        <v>594</v>
      </c>
      <c r="D24" s="27" t="s">
        <v>107</v>
      </c>
      <c r="E24" s="29" t="s">
        <v>595</v>
      </c>
      <c r="F24" s="30" t="s">
        <v>229</v>
      </c>
      <c r="G24" s="31">
        <v>26.710999999999999</v>
      </c>
      <c r="H24" s="32">
        <v>0</v>
      </c>
      <c r="I24" s="32">
        <f>ROUND(26.711*H24,P4)</f>
        <v>0</v>
      </c>
      <c r="J24" s="30" t="s">
        <v>118</v>
      </c>
      <c r="O24" s="33">
        <f>I24*0.21</f>
        <v>0</v>
      </c>
      <c r="P24">
        <v>3</v>
      </c>
    </row>
    <row r="25" spans="1:16" ht="158.4" x14ac:dyDescent="0.3">
      <c r="A25" s="27" t="s">
        <v>101</v>
      </c>
      <c r="B25" s="34"/>
      <c r="E25" s="29" t="s">
        <v>5075</v>
      </c>
      <c r="J25" s="35"/>
    </row>
    <row r="26" spans="1:16" ht="28.8" x14ac:dyDescent="0.3">
      <c r="A26" s="27" t="s">
        <v>103</v>
      </c>
      <c r="B26" s="34"/>
      <c r="E26" s="36" t="s">
        <v>5204</v>
      </c>
      <c r="J26" s="35"/>
    </row>
    <row r="27" spans="1:16" ht="28.8" x14ac:dyDescent="0.3">
      <c r="A27" s="27" t="s">
        <v>103</v>
      </c>
      <c r="B27" s="34"/>
      <c r="E27" s="36" t="s">
        <v>5205</v>
      </c>
      <c r="J27" s="35"/>
    </row>
    <row r="28" spans="1:16" ht="28.8" x14ac:dyDescent="0.3">
      <c r="A28" s="27" t="s">
        <v>103</v>
      </c>
      <c r="B28" s="34"/>
      <c r="E28" s="36" t="s">
        <v>5206</v>
      </c>
      <c r="J28" s="35"/>
    </row>
    <row r="29" spans="1:16" ht="28.8" x14ac:dyDescent="0.3">
      <c r="A29" s="27" t="s">
        <v>103</v>
      </c>
      <c r="B29" s="34"/>
      <c r="E29" s="36" t="s">
        <v>5207</v>
      </c>
      <c r="J29" s="35"/>
    </row>
    <row r="30" spans="1:16" ht="28.8" x14ac:dyDescent="0.3">
      <c r="A30" s="27" t="s">
        <v>103</v>
      </c>
      <c r="B30" s="34"/>
      <c r="E30" s="36" t="s">
        <v>5208</v>
      </c>
      <c r="J30" s="35"/>
    </row>
    <row r="31" spans="1:16" x14ac:dyDescent="0.3">
      <c r="A31" s="27" t="s">
        <v>103</v>
      </c>
      <c r="B31" s="34"/>
      <c r="E31" s="36" t="s">
        <v>5209</v>
      </c>
      <c r="J31" s="35"/>
    </row>
    <row r="32" spans="1:16" ht="273.60000000000002" x14ac:dyDescent="0.3">
      <c r="A32" s="27" t="s">
        <v>105</v>
      </c>
      <c r="B32" s="34"/>
      <c r="E32" s="29" t="s">
        <v>609</v>
      </c>
      <c r="J32" s="35"/>
    </row>
    <row r="33" spans="1:16" x14ac:dyDescent="0.3">
      <c r="A33" s="27" t="s">
        <v>95</v>
      </c>
      <c r="B33" s="27">
        <v>4</v>
      </c>
      <c r="C33" s="28" t="s">
        <v>2296</v>
      </c>
      <c r="D33" s="27" t="s">
        <v>97</v>
      </c>
      <c r="E33" s="29" t="s">
        <v>2297</v>
      </c>
      <c r="F33" s="30" t="s">
        <v>229</v>
      </c>
      <c r="G33" s="31">
        <v>92.528999999999996</v>
      </c>
      <c r="H33" s="32">
        <v>0</v>
      </c>
      <c r="I33" s="32">
        <f>ROUND(92.529*H33,P4)</f>
        <v>0</v>
      </c>
      <c r="J33" s="30" t="s">
        <v>118</v>
      </c>
      <c r="O33" s="33">
        <f>I33*0.21</f>
        <v>0</v>
      </c>
      <c r="P33">
        <v>3</v>
      </c>
    </row>
    <row r="34" spans="1:16" ht="158.4" x14ac:dyDescent="0.3">
      <c r="A34" s="27" t="s">
        <v>101</v>
      </c>
      <c r="B34" s="34"/>
      <c r="E34" s="29" t="s">
        <v>3402</v>
      </c>
      <c r="J34" s="35"/>
    </row>
    <row r="35" spans="1:16" ht="28.8" x14ac:dyDescent="0.3">
      <c r="A35" s="27" t="s">
        <v>103</v>
      </c>
      <c r="B35" s="34"/>
      <c r="E35" s="36" t="s">
        <v>5210</v>
      </c>
      <c r="J35" s="35"/>
    </row>
    <row r="36" spans="1:16" ht="28.8" x14ac:dyDescent="0.3">
      <c r="A36" s="27" t="s">
        <v>103</v>
      </c>
      <c r="B36" s="34"/>
      <c r="E36" s="36" t="s">
        <v>5211</v>
      </c>
      <c r="J36" s="35"/>
    </row>
    <row r="37" spans="1:16" ht="28.8" x14ac:dyDescent="0.3">
      <c r="A37" s="27" t="s">
        <v>103</v>
      </c>
      <c r="B37" s="34"/>
      <c r="E37" s="36" t="s">
        <v>5212</v>
      </c>
      <c r="J37" s="35"/>
    </row>
    <row r="38" spans="1:16" ht="28.8" x14ac:dyDescent="0.3">
      <c r="A38" s="27" t="s">
        <v>103</v>
      </c>
      <c r="B38" s="34"/>
      <c r="E38" s="36" t="s">
        <v>5213</v>
      </c>
      <c r="J38" s="35"/>
    </row>
    <row r="39" spans="1:16" ht="28.8" x14ac:dyDescent="0.3">
      <c r="A39" s="27" t="s">
        <v>103</v>
      </c>
      <c r="B39" s="34"/>
      <c r="E39" s="36" t="s">
        <v>5214</v>
      </c>
      <c r="J39" s="35"/>
    </row>
    <row r="40" spans="1:16" x14ac:dyDescent="0.3">
      <c r="A40" s="27" t="s">
        <v>103</v>
      </c>
      <c r="B40" s="34"/>
      <c r="E40" s="36" t="s">
        <v>5215</v>
      </c>
      <c r="J40" s="35"/>
    </row>
    <row r="41" spans="1:16" ht="302.39999999999998" x14ac:dyDescent="0.3">
      <c r="A41" s="27" t="s">
        <v>105</v>
      </c>
      <c r="B41" s="34"/>
      <c r="E41" s="29" t="s">
        <v>2312</v>
      </c>
      <c r="J41" s="35"/>
    </row>
    <row r="42" spans="1:16" x14ac:dyDescent="0.3">
      <c r="A42" s="27" t="s">
        <v>95</v>
      </c>
      <c r="B42" s="27">
        <v>5</v>
      </c>
      <c r="C42" s="28" t="s">
        <v>2313</v>
      </c>
      <c r="D42" s="27" t="s">
        <v>129</v>
      </c>
      <c r="E42" s="29" t="s">
        <v>2314</v>
      </c>
      <c r="F42" s="30" t="s">
        <v>229</v>
      </c>
      <c r="G42" s="31">
        <v>89.772000000000006</v>
      </c>
      <c r="H42" s="32">
        <v>0</v>
      </c>
      <c r="I42" s="32">
        <f>ROUND(89.772*H42,P4)</f>
        <v>0</v>
      </c>
      <c r="J42" s="30" t="s">
        <v>118</v>
      </c>
      <c r="O42" s="33">
        <f>I42*0.21</f>
        <v>0</v>
      </c>
      <c r="P42">
        <v>3</v>
      </c>
    </row>
    <row r="43" spans="1:16" ht="158.4" x14ac:dyDescent="0.3">
      <c r="A43" s="27" t="s">
        <v>101</v>
      </c>
      <c r="B43" s="34"/>
      <c r="E43" s="29" t="s">
        <v>5098</v>
      </c>
      <c r="J43" s="35"/>
    </row>
    <row r="44" spans="1:16" ht="28.8" x14ac:dyDescent="0.3">
      <c r="A44" s="27" t="s">
        <v>103</v>
      </c>
      <c r="B44" s="34"/>
      <c r="E44" s="36" t="s">
        <v>5216</v>
      </c>
      <c r="J44" s="35"/>
    </row>
    <row r="45" spans="1:16" ht="28.8" x14ac:dyDescent="0.3">
      <c r="A45" s="27" t="s">
        <v>103</v>
      </c>
      <c r="B45" s="34"/>
      <c r="E45" s="36" t="s">
        <v>5217</v>
      </c>
      <c r="J45" s="35"/>
    </row>
    <row r="46" spans="1:16" ht="28.8" x14ac:dyDescent="0.3">
      <c r="A46" s="27" t="s">
        <v>103</v>
      </c>
      <c r="B46" s="34"/>
      <c r="E46" s="36" t="s">
        <v>5218</v>
      </c>
      <c r="J46" s="35"/>
    </row>
    <row r="47" spans="1:16" ht="28.8" x14ac:dyDescent="0.3">
      <c r="A47" s="27" t="s">
        <v>103</v>
      </c>
      <c r="B47" s="34"/>
      <c r="E47" s="36" t="s">
        <v>5219</v>
      </c>
      <c r="J47" s="35"/>
    </row>
    <row r="48" spans="1:16" ht="28.8" x14ac:dyDescent="0.3">
      <c r="A48" s="27" t="s">
        <v>103</v>
      </c>
      <c r="B48" s="34"/>
      <c r="E48" s="36" t="s">
        <v>5220</v>
      </c>
      <c r="J48" s="35"/>
    </row>
    <row r="49" spans="1:16" ht="28.8" x14ac:dyDescent="0.3">
      <c r="A49" s="27" t="s">
        <v>103</v>
      </c>
      <c r="B49" s="34"/>
      <c r="E49" s="36" t="s">
        <v>5221</v>
      </c>
      <c r="J49" s="35"/>
    </row>
    <row r="50" spans="1:16" ht="28.8" x14ac:dyDescent="0.3">
      <c r="A50" s="27" t="s">
        <v>103</v>
      </c>
      <c r="B50" s="34"/>
      <c r="E50" s="36" t="s">
        <v>5222</v>
      </c>
      <c r="J50" s="35"/>
    </row>
    <row r="51" spans="1:16" x14ac:dyDescent="0.3">
      <c r="A51" s="27" t="s">
        <v>103</v>
      </c>
      <c r="B51" s="34"/>
      <c r="E51" s="36" t="s">
        <v>5223</v>
      </c>
      <c r="J51" s="35"/>
    </row>
    <row r="52" spans="1:16" ht="360" x14ac:dyDescent="0.3">
      <c r="A52" s="27" t="s">
        <v>105</v>
      </c>
      <c r="B52" s="34"/>
      <c r="E52" s="29" t="s">
        <v>2351</v>
      </c>
      <c r="J52" s="35"/>
    </row>
    <row r="53" spans="1:16" x14ac:dyDescent="0.3">
      <c r="A53" s="21" t="s">
        <v>92</v>
      </c>
      <c r="B53" s="22"/>
      <c r="C53" s="23" t="s">
        <v>121</v>
      </c>
      <c r="D53" s="24"/>
      <c r="E53" s="21" t="s">
        <v>669</v>
      </c>
      <c r="F53" s="24"/>
      <c r="G53" s="24"/>
      <c r="H53" s="24"/>
      <c r="I53" s="25">
        <f>SUMIFS(I54:I71,A54:A71,"P")</f>
        <v>0</v>
      </c>
      <c r="J53" s="26"/>
    </row>
    <row r="54" spans="1:16" x14ac:dyDescent="0.3">
      <c r="A54" s="27" t="s">
        <v>95</v>
      </c>
      <c r="B54" s="27">
        <v>6</v>
      </c>
      <c r="C54" s="28" t="s">
        <v>681</v>
      </c>
      <c r="D54" s="27" t="s">
        <v>97</v>
      </c>
      <c r="E54" s="29" t="s">
        <v>682</v>
      </c>
      <c r="F54" s="30" t="s">
        <v>229</v>
      </c>
      <c r="G54" s="31">
        <v>16.132000000000001</v>
      </c>
      <c r="H54" s="32">
        <v>0</v>
      </c>
      <c r="I54" s="32">
        <f>ROUND(16.132*H54,P4)</f>
        <v>0</v>
      </c>
      <c r="J54" s="30" t="s">
        <v>118</v>
      </c>
      <c r="O54" s="33">
        <f>I54*0.21</f>
        <v>0</v>
      </c>
      <c r="P54">
        <v>3</v>
      </c>
    </row>
    <row r="55" spans="1:16" ht="158.4" x14ac:dyDescent="0.3">
      <c r="A55" s="27" t="s">
        <v>101</v>
      </c>
      <c r="B55" s="34"/>
      <c r="E55" s="29" t="s">
        <v>5118</v>
      </c>
      <c r="J55" s="35"/>
    </row>
    <row r="56" spans="1:16" ht="28.8" x14ac:dyDescent="0.3">
      <c r="A56" s="27" t="s">
        <v>103</v>
      </c>
      <c r="B56" s="34"/>
      <c r="E56" s="36" t="s">
        <v>5224</v>
      </c>
      <c r="J56" s="35"/>
    </row>
    <row r="57" spans="1:16" ht="28.8" x14ac:dyDescent="0.3">
      <c r="A57" s="27" t="s">
        <v>103</v>
      </c>
      <c r="B57" s="34"/>
      <c r="E57" s="36" t="s">
        <v>5225</v>
      </c>
      <c r="J57" s="35"/>
    </row>
    <row r="58" spans="1:16" ht="28.8" x14ac:dyDescent="0.3">
      <c r="A58" s="27" t="s">
        <v>103</v>
      </c>
      <c r="B58" s="34"/>
      <c r="E58" s="36" t="s">
        <v>5226</v>
      </c>
      <c r="J58" s="35"/>
    </row>
    <row r="59" spans="1:16" ht="28.8" x14ac:dyDescent="0.3">
      <c r="A59" s="27" t="s">
        <v>103</v>
      </c>
      <c r="B59" s="34"/>
      <c r="E59" s="36" t="s">
        <v>5227</v>
      </c>
      <c r="J59" s="35"/>
    </row>
    <row r="60" spans="1:16" ht="28.8" x14ac:dyDescent="0.3">
      <c r="A60" s="27" t="s">
        <v>103</v>
      </c>
      <c r="B60" s="34"/>
      <c r="E60" s="36" t="s">
        <v>5228</v>
      </c>
      <c r="J60" s="35"/>
    </row>
    <row r="61" spans="1:16" x14ac:dyDescent="0.3">
      <c r="A61" s="27" t="s">
        <v>103</v>
      </c>
      <c r="B61" s="34"/>
      <c r="E61" s="36" t="s">
        <v>5229</v>
      </c>
      <c r="J61" s="35"/>
    </row>
    <row r="62" spans="1:16" ht="57.6" x14ac:dyDescent="0.3">
      <c r="A62" s="27" t="s">
        <v>105</v>
      </c>
      <c r="B62" s="34"/>
      <c r="E62" s="29" t="s">
        <v>696</v>
      </c>
      <c r="J62" s="35"/>
    </row>
    <row r="63" spans="1:16" x14ac:dyDescent="0.3">
      <c r="A63" s="27" t="s">
        <v>95</v>
      </c>
      <c r="B63" s="27">
        <v>7</v>
      </c>
      <c r="C63" s="28" t="s">
        <v>681</v>
      </c>
      <c r="D63" s="27" t="s">
        <v>107</v>
      </c>
      <c r="E63" s="29" t="s">
        <v>682</v>
      </c>
      <c r="F63" s="30" t="s">
        <v>229</v>
      </c>
      <c r="G63" s="31">
        <v>3.97</v>
      </c>
      <c r="H63" s="32">
        <v>0</v>
      </c>
      <c r="I63" s="32">
        <f>ROUND(3.97*H63,P4)</f>
        <v>0</v>
      </c>
      <c r="J63" s="30" t="s">
        <v>118</v>
      </c>
      <c r="O63" s="33">
        <f>I63*0.21</f>
        <v>0</v>
      </c>
      <c r="P63">
        <v>3</v>
      </c>
    </row>
    <row r="64" spans="1:16" ht="158.4" x14ac:dyDescent="0.3">
      <c r="A64" s="27" t="s">
        <v>101</v>
      </c>
      <c r="B64" s="34"/>
      <c r="E64" s="29" t="s">
        <v>5230</v>
      </c>
      <c r="J64" s="35"/>
    </row>
    <row r="65" spans="1:16" ht="28.8" x14ac:dyDescent="0.3">
      <c r="A65" s="27" t="s">
        <v>103</v>
      </c>
      <c r="B65" s="34"/>
      <c r="E65" s="36" t="s">
        <v>5231</v>
      </c>
      <c r="J65" s="35"/>
    </row>
    <row r="66" spans="1:16" ht="28.8" x14ac:dyDescent="0.3">
      <c r="A66" s="27" t="s">
        <v>103</v>
      </c>
      <c r="B66" s="34"/>
      <c r="E66" s="36" t="s">
        <v>5232</v>
      </c>
      <c r="J66" s="35"/>
    </row>
    <row r="67" spans="1:16" ht="28.8" x14ac:dyDescent="0.3">
      <c r="A67" s="27" t="s">
        <v>103</v>
      </c>
      <c r="B67" s="34"/>
      <c r="E67" s="36" t="s">
        <v>5233</v>
      </c>
      <c r="J67" s="35"/>
    </row>
    <row r="68" spans="1:16" ht="28.8" x14ac:dyDescent="0.3">
      <c r="A68" s="27" t="s">
        <v>103</v>
      </c>
      <c r="B68" s="34"/>
      <c r="E68" s="36" t="s">
        <v>5234</v>
      </c>
      <c r="J68" s="35"/>
    </row>
    <row r="69" spans="1:16" ht="28.8" x14ac:dyDescent="0.3">
      <c r="A69" s="27" t="s">
        <v>103</v>
      </c>
      <c r="B69" s="34"/>
      <c r="E69" s="36" t="s">
        <v>5235</v>
      </c>
      <c r="J69" s="35"/>
    </row>
    <row r="70" spans="1:16" x14ac:dyDescent="0.3">
      <c r="A70" s="27" t="s">
        <v>103</v>
      </c>
      <c r="B70" s="34"/>
      <c r="E70" s="36" t="s">
        <v>5236</v>
      </c>
      <c r="J70" s="35"/>
    </row>
    <row r="71" spans="1:16" ht="57.6" x14ac:dyDescent="0.3">
      <c r="A71" s="27" t="s">
        <v>105</v>
      </c>
      <c r="B71" s="34"/>
      <c r="E71" s="29" t="s">
        <v>696</v>
      </c>
      <c r="J71" s="35"/>
    </row>
    <row r="72" spans="1:16" x14ac:dyDescent="0.3">
      <c r="A72" s="21" t="s">
        <v>92</v>
      </c>
      <c r="B72" s="22"/>
      <c r="C72" s="23" t="s">
        <v>1179</v>
      </c>
      <c r="D72" s="24"/>
      <c r="E72" s="21" t="s">
        <v>1180</v>
      </c>
      <c r="F72" s="24"/>
      <c r="G72" s="24"/>
      <c r="H72" s="24"/>
      <c r="I72" s="25">
        <f>SUMIFS(I73:I104,A73:A104,"P")</f>
        <v>0</v>
      </c>
      <c r="J72" s="26"/>
    </row>
    <row r="73" spans="1:16" x14ac:dyDescent="0.3">
      <c r="A73" s="27" t="s">
        <v>95</v>
      </c>
      <c r="B73" s="27">
        <v>8</v>
      </c>
      <c r="C73" s="28" t="s">
        <v>5149</v>
      </c>
      <c r="D73" s="27" t="s">
        <v>129</v>
      </c>
      <c r="E73" s="29" t="s">
        <v>5150</v>
      </c>
      <c r="F73" s="30" t="s">
        <v>237</v>
      </c>
      <c r="G73" s="31">
        <v>131.41999999999999</v>
      </c>
      <c r="H73" s="32">
        <v>0</v>
      </c>
      <c r="I73" s="32">
        <f>ROUND(131.42*H73,P4)</f>
        <v>0</v>
      </c>
      <c r="J73" s="30" t="s">
        <v>118</v>
      </c>
      <c r="O73" s="33">
        <f>I73*0.21</f>
        <v>0</v>
      </c>
      <c r="P73">
        <v>3</v>
      </c>
    </row>
    <row r="74" spans="1:16" ht="302.39999999999998" x14ac:dyDescent="0.3">
      <c r="A74" s="27" t="s">
        <v>101</v>
      </c>
      <c r="B74" s="34"/>
      <c r="E74" s="29" t="s">
        <v>5151</v>
      </c>
      <c r="J74" s="35"/>
    </row>
    <row r="75" spans="1:16" ht="28.8" x14ac:dyDescent="0.3">
      <c r="A75" s="27" t="s">
        <v>103</v>
      </c>
      <c r="B75" s="34"/>
      <c r="E75" s="36" t="s">
        <v>5237</v>
      </c>
      <c r="J75" s="35"/>
    </row>
    <row r="76" spans="1:16" ht="28.8" x14ac:dyDescent="0.3">
      <c r="A76" s="27" t="s">
        <v>103</v>
      </c>
      <c r="B76" s="34"/>
      <c r="E76" s="36" t="s">
        <v>5238</v>
      </c>
      <c r="J76" s="35"/>
    </row>
    <row r="77" spans="1:16" ht="28.8" x14ac:dyDescent="0.3">
      <c r="A77" s="27" t="s">
        <v>103</v>
      </c>
      <c r="B77" s="34"/>
      <c r="E77" s="36" t="s">
        <v>5239</v>
      </c>
      <c r="J77" s="35"/>
    </row>
    <row r="78" spans="1:16" ht="28.8" x14ac:dyDescent="0.3">
      <c r="A78" s="27" t="s">
        <v>103</v>
      </c>
      <c r="B78" s="34"/>
      <c r="E78" s="36" t="s">
        <v>5240</v>
      </c>
      <c r="J78" s="35"/>
    </row>
    <row r="79" spans="1:16" ht="28.8" x14ac:dyDescent="0.3">
      <c r="A79" s="27" t="s">
        <v>103</v>
      </c>
      <c r="B79" s="34"/>
      <c r="E79" s="36" t="s">
        <v>5241</v>
      </c>
      <c r="J79" s="35"/>
    </row>
    <row r="80" spans="1:16" x14ac:dyDescent="0.3">
      <c r="A80" s="27" t="s">
        <v>103</v>
      </c>
      <c r="B80" s="34"/>
      <c r="E80" s="36" t="s">
        <v>5242</v>
      </c>
      <c r="J80" s="35"/>
    </row>
    <row r="81" spans="1:16" ht="316.8" x14ac:dyDescent="0.3">
      <c r="A81" s="27" t="s">
        <v>105</v>
      </c>
      <c r="B81" s="34"/>
      <c r="E81" s="29" t="s">
        <v>2568</v>
      </c>
      <c r="J81" s="35"/>
    </row>
    <row r="82" spans="1:16" x14ac:dyDescent="0.3">
      <c r="A82" s="27" t="s">
        <v>95</v>
      </c>
      <c r="B82" s="27">
        <v>9</v>
      </c>
      <c r="C82" s="28" t="s">
        <v>5166</v>
      </c>
      <c r="D82" s="27" t="s">
        <v>129</v>
      </c>
      <c r="E82" s="29" t="s">
        <v>5167</v>
      </c>
      <c r="F82" s="30" t="s">
        <v>117</v>
      </c>
      <c r="G82" s="31">
        <v>5</v>
      </c>
      <c r="H82" s="32">
        <v>0</v>
      </c>
      <c r="I82" s="32">
        <f>ROUND(5*H82,P4)</f>
        <v>0</v>
      </c>
      <c r="J82" s="30" t="s">
        <v>118</v>
      </c>
      <c r="O82" s="33">
        <f>I82*0.21</f>
        <v>0</v>
      </c>
      <c r="P82">
        <v>3</v>
      </c>
    </row>
    <row r="83" spans="1:16" ht="216" x14ac:dyDescent="0.3">
      <c r="A83" s="27" t="s">
        <v>101</v>
      </c>
      <c r="B83" s="34"/>
      <c r="E83" s="29" t="s">
        <v>5243</v>
      </c>
      <c r="J83" s="35"/>
    </row>
    <row r="84" spans="1:16" x14ac:dyDescent="0.3">
      <c r="A84" s="27" t="s">
        <v>103</v>
      </c>
      <c r="B84" s="34"/>
      <c r="E84" s="36" t="s">
        <v>5244</v>
      </c>
      <c r="J84" s="35"/>
    </row>
    <row r="85" spans="1:16" x14ac:dyDescent="0.3">
      <c r="A85" s="27" t="s">
        <v>103</v>
      </c>
      <c r="B85" s="34"/>
      <c r="E85" s="36" t="s">
        <v>5245</v>
      </c>
      <c r="J85" s="35"/>
    </row>
    <row r="86" spans="1:16" x14ac:dyDescent="0.3">
      <c r="A86" s="27" t="s">
        <v>103</v>
      </c>
      <c r="B86" s="34"/>
      <c r="E86" s="36" t="s">
        <v>5246</v>
      </c>
      <c r="J86" s="35"/>
    </row>
    <row r="87" spans="1:16" x14ac:dyDescent="0.3">
      <c r="A87" s="27" t="s">
        <v>103</v>
      </c>
      <c r="B87" s="34"/>
      <c r="E87" s="36" t="s">
        <v>5247</v>
      </c>
      <c r="J87" s="35"/>
    </row>
    <row r="88" spans="1:16" x14ac:dyDescent="0.3">
      <c r="A88" s="27" t="s">
        <v>103</v>
      </c>
      <c r="B88" s="34"/>
      <c r="E88" s="36" t="s">
        <v>5248</v>
      </c>
      <c r="J88" s="35"/>
    </row>
    <row r="89" spans="1:16" x14ac:dyDescent="0.3">
      <c r="A89" s="27" t="s">
        <v>103</v>
      </c>
      <c r="B89" s="34"/>
      <c r="E89" s="36" t="s">
        <v>2616</v>
      </c>
      <c r="J89" s="35"/>
    </row>
    <row r="90" spans="1:16" ht="331.2" x14ac:dyDescent="0.3">
      <c r="A90" s="27" t="s">
        <v>105</v>
      </c>
      <c r="B90" s="34"/>
      <c r="E90" s="29" t="s">
        <v>5184</v>
      </c>
      <c r="J90" s="35"/>
    </row>
    <row r="91" spans="1:16" x14ac:dyDescent="0.3">
      <c r="A91" s="27" t="s">
        <v>95</v>
      </c>
      <c r="B91" s="27">
        <v>10</v>
      </c>
      <c r="C91" s="28" t="s">
        <v>2632</v>
      </c>
      <c r="D91" s="27" t="s">
        <v>129</v>
      </c>
      <c r="E91" s="29" t="s">
        <v>2633</v>
      </c>
      <c r="F91" s="30" t="s">
        <v>237</v>
      </c>
      <c r="G91" s="31">
        <v>129.75</v>
      </c>
      <c r="H91" s="32">
        <v>0</v>
      </c>
      <c r="I91" s="32">
        <f>ROUND(129.75*H91,P4)</f>
        <v>0</v>
      </c>
      <c r="J91" s="30" t="s">
        <v>118</v>
      </c>
      <c r="O91" s="33">
        <f>I91*0.21</f>
        <v>0</v>
      </c>
      <c r="P91">
        <v>3</v>
      </c>
    </row>
    <row r="92" spans="1:16" ht="288" x14ac:dyDescent="0.3">
      <c r="A92" s="27" t="s">
        <v>101</v>
      </c>
      <c r="B92" s="34"/>
      <c r="E92" s="29" t="s">
        <v>5185</v>
      </c>
      <c r="J92" s="35"/>
    </row>
    <row r="93" spans="1:16" ht="28.8" x14ac:dyDescent="0.3">
      <c r="A93" s="27" t="s">
        <v>103</v>
      </c>
      <c r="B93" s="34"/>
      <c r="E93" s="36" t="s">
        <v>5249</v>
      </c>
      <c r="J93" s="35"/>
    </row>
    <row r="94" spans="1:16" x14ac:dyDescent="0.3">
      <c r="A94" s="27" t="s">
        <v>103</v>
      </c>
      <c r="B94" s="34"/>
      <c r="E94" s="36" t="s">
        <v>5250</v>
      </c>
      <c r="J94" s="35"/>
    </row>
    <row r="95" spans="1:16" ht="43.2" x14ac:dyDescent="0.3">
      <c r="A95" s="27" t="s">
        <v>105</v>
      </c>
      <c r="B95" s="34"/>
      <c r="E95" s="29" t="s">
        <v>2664</v>
      </c>
      <c r="J95" s="35"/>
    </row>
    <row r="96" spans="1:16" x14ac:dyDescent="0.3">
      <c r="A96" s="27" t="s">
        <v>95</v>
      </c>
      <c r="B96" s="27">
        <v>11</v>
      </c>
      <c r="C96" s="28" t="s">
        <v>5188</v>
      </c>
      <c r="D96" s="27" t="s">
        <v>129</v>
      </c>
      <c r="E96" s="29" t="s">
        <v>5189</v>
      </c>
      <c r="F96" s="30" t="s">
        <v>237</v>
      </c>
      <c r="G96" s="31">
        <v>131.41999999999999</v>
      </c>
      <c r="H96" s="32">
        <v>0</v>
      </c>
      <c r="I96" s="32">
        <f>ROUND(131.42*H96,P4)</f>
        <v>0</v>
      </c>
      <c r="J96" s="30" t="s">
        <v>118</v>
      </c>
      <c r="O96" s="33">
        <f>I96*0.21</f>
        <v>0</v>
      </c>
      <c r="P96">
        <v>3</v>
      </c>
    </row>
    <row r="97" spans="1:10" ht="302.39999999999998" x14ac:dyDescent="0.3">
      <c r="A97" s="27" t="s">
        <v>101</v>
      </c>
      <c r="B97" s="34"/>
      <c r="E97" s="29" t="s">
        <v>5151</v>
      </c>
      <c r="J97" s="35"/>
    </row>
    <row r="98" spans="1:10" ht="28.8" x14ac:dyDescent="0.3">
      <c r="A98" s="27" t="s">
        <v>103</v>
      </c>
      <c r="B98" s="34"/>
      <c r="E98" s="36" t="s">
        <v>5237</v>
      </c>
      <c r="J98" s="35"/>
    </row>
    <row r="99" spans="1:10" ht="28.8" x14ac:dyDescent="0.3">
      <c r="A99" s="27" t="s">
        <v>103</v>
      </c>
      <c r="B99" s="34"/>
      <c r="E99" s="36" t="s">
        <v>5238</v>
      </c>
      <c r="J99" s="35"/>
    </row>
    <row r="100" spans="1:10" ht="28.8" x14ac:dyDescent="0.3">
      <c r="A100" s="27" t="s">
        <v>103</v>
      </c>
      <c r="B100" s="34"/>
      <c r="E100" s="36" t="s">
        <v>5239</v>
      </c>
      <c r="J100" s="35"/>
    </row>
    <row r="101" spans="1:10" ht="28.8" x14ac:dyDescent="0.3">
      <c r="A101" s="27" t="s">
        <v>103</v>
      </c>
      <c r="B101" s="34"/>
      <c r="E101" s="36" t="s">
        <v>5240</v>
      </c>
      <c r="J101" s="35"/>
    </row>
    <row r="102" spans="1:10" ht="28.8" x14ac:dyDescent="0.3">
      <c r="A102" s="27" t="s">
        <v>103</v>
      </c>
      <c r="B102" s="34"/>
      <c r="E102" s="36" t="s">
        <v>5241</v>
      </c>
      <c r="J102" s="35"/>
    </row>
    <row r="103" spans="1:10" x14ac:dyDescent="0.3">
      <c r="A103" s="27" t="s">
        <v>103</v>
      </c>
      <c r="B103" s="34"/>
      <c r="E103" s="36" t="s">
        <v>5242</v>
      </c>
      <c r="J103" s="35"/>
    </row>
    <row r="104" spans="1:10" ht="72" x14ac:dyDescent="0.3">
      <c r="A104" s="27" t="s">
        <v>105</v>
      </c>
      <c r="B104" s="37"/>
      <c r="C104" s="38"/>
      <c r="D104" s="38"/>
      <c r="E104" s="29" t="s">
        <v>5190</v>
      </c>
      <c r="F104" s="38"/>
      <c r="G104" s="38"/>
      <c r="H104" s="38"/>
      <c r="I104" s="38"/>
      <c r="J104" s="39"/>
    </row>
  </sheetData>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52"/>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58</v>
      </c>
      <c r="I3" s="16">
        <f>SUMIFS(I8:I52,A8:A52,"SD")</f>
        <v>0</v>
      </c>
      <c r="J3" s="12"/>
      <c r="O3">
        <v>0</v>
      </c>
      <c r="P3">
        <v>2</v>
      </c>
    </row>
    <row r="4" spans="1:16" x14ac:dyDescent="0.3">
      <c r="A4" s="2" t="s">
        <v>79</v>
      </c>
      <c r="B4" s="13" t="s">
        <v>80</v>
      </c>
      <c r="C4" s="43" t="s">
        <v>58</v>
      </c>
      <c r="D4" s="44"/>
      <c r="E4" s="14" t="s">
        <v>59</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SUMIFS(I9:I28,A9:A28,"P")</f>
        <v>0</v>
      </c>
      <c r="J8" s="26"/>
    </row>
    <row r="9" spans="1:16" x14ac:dyDescent="0.3">
      <c r="A9" s="27" t="s">
        <v>95</v>
      </c>
      <c r="B9" s="27">
        <v>1</v>
      </c>
      <c r="C9" s="28" t="s">
        <v>2147</v>
      </c>
      <c r="D9" s="27" t="s">
        <v>129</v>
      </c>
      <c r="E9" s="29" t="s">
        <v>2148</v>
      </c>
      <c r="F9" s="30" t="s">
        <v>229</v>
      </c>
      <c r="G9" s="31">
        <v>30.064</v>
      </c>
      <c r="H9" s="32">
        <v>0</v>
      </c>
      <c r="I9" s="32">
        <f>ROUND(30.064*H9,P4)</f>
        <v>0</v>
      </c>
      <c r="J9" s="30" t="s">
        <v>118</v>
      </c>
      <c r="O9" s="33">
        <f>I9*0.21</f>
        <v>0</v>
      </c>
      <c r="P9">
        <v>3</v>
      </c>
    </row>
    <row r="10" spans="1:16" ht="115.2" x14ac:dyDescent="0.3">
      <c r="A10" s="27" t="s">
        <v>101</v>
      </c>
      <c r="B10" s="34"/>
      <c r="E10" s="29" t="s">
        <v>5251</v>
      </c>
      <c r="J10" s="35"/>
    </row>
    <row r="11" spans="1:16" ht="28.8" x14ac:dyDescent="0.3">
      <c r="A11" s="27" t="s">
        <v>103</v>
      </c>
      <c r="B11" s="34"/>
      <c r="E11" s="36" t="s">
        <v>5252</v>
      </c>
      <c r="J11" s="35"/>
    </row>
    <row r="12" spans="1:16" ht="28.8" x14ac:dyDescent="0.3">
      <c r="A12" s="27" t="s">
        <v>103</v>
      </c>
      <c r="B12" s="34"/>
      <c r="E12" s="36" t="s">
        <v>5253</v>
      </c>
      <c r="J12" s="35"/>
    </row>
    <row r="13" spans="1:16" x14ac:dyDescent="0.3">
      <c r="A13" s="27" t="s">
        <v>103</v>
      </c>
      <c r="B13" s="34"/>
      <c r="E13" s="36" t="s">
        <v>5254</v>
      </c>
      <c r="J13" s="35"/>
    </row>
    <row r="14" spans="1:16" ht="388.8" x14ac:dyDescent="0.3">
      <c r="A14" s="27" t="s">
        <v>105</v>
      </c>
      <c r="B14" s="34"/>
      <c r="E14" s="29" t="s">
        <v>590</v>
      </c>
      <c r="J14" s="35"/>
    </row>
    <row r="15" spans="1:16" x14ac:dyDescent="0.3">
      <c r="A15" s="27" t="s">
        <v>95</v>
      </c>
      <c r="B15" s="27">
        <v>2</v>
      </c>
      <c r="C15" s="28" t="s">
        <v>594</v>
      </c>
      <c r="D15" s="27" t="s">
        <v>129</v>
      </c>
      <c r="E15" s="29" t="s">
        <v>595</v>
      </c>
      <c r="F15" s="30" t="s">
        <v>229</v>
      </c>
      <c r="G15" s="31">
        <v>21.393000000000001</v>
      </c>
      <c r="H15" s="32">
        <v>0</v>
      </c>
      <c r="I15" s="32">
        <f>ROUND(21.393*H15,P4)</f>
        <v>0</v>
      </c>
      <c r="J15" s="30" t="s">
        <v>118</v>
      </c>
      <c r="O15" s="33">
        <f>I15*0.21</f>
        <v>0</v>
      </c>
      <c r="P15">
        <v>3</v>
      </c>
    </row>
    <row r="16" spans="1:16" ht="172.8" x14ac:dyDescent="0.3">
      <c r="A16" s="27" t="s">
        <v>101</v>
      </c>
      <c r="B16" s="34"/>
      <c r="E16" s="29" t="s">
        <v>5255</v>
      </c>
      <c r="J16" s="35"/>
    </row>
    <row r="17" spans="1:16" ht="28.8" x14ac:dyDescent="0.3">
      <c r="A17" s="27" t="s">
        <v>103</v>
      </c>
      <c r="B17" s="34"/>
      <c r="E17" s="36" t="s">
        <v>5256</v>
      </c>
      <c r="J17" s="35"/>
    </row>
    <row r="18" spans="1:16" ht="28.8" x14ac:dyDescent="0.3">
      <c r="A18" s="27" t="s">
        <v>103</v>
      </c>
      <c r="B18" s="34"/>
      <c r="E18" s="36" t="s">
        <v>5257</v>
      </c>
      <c r="J18" s="35"/>
    </row>
    <row r="19" spans="1:16" ht="28.8" x14ac:dyDescent="0.3">
      <c r="A19" s="27" t="s">
        <v>103</v>
      </c>
      <c r="B19" s="34"/>
      <c r="E19" s="36" t="s">
        <v>5258</v>
      </c>
      <c r="J19" s="35"/>
    </row>
    <row r="20" spans="1:16" x14ac:dyDescent="0.3">
      <c r="A20" s="27" t="s">
        <v>103</v>
      </c>
      <c r="B20" s="34"/>
      <c r="E20" s="36" t="s">
        <v>5259</v>
      </c>
      <c r="J20" s="35"/>
    </row>
    <row r="21" spans="1:16" ht="273.60000000000002" x14ac:dyDescent="0.3">
      <c r="A21" s="27" t="s">
        <v>105</v>
      </c>
      <c r="B21" s="34"/>
      <c r="E21" s="29" t="s">
        <v>609</v>
      </c>
      <c r="J21" s="35"/>
    </row>
    <row r="22" spans="1:16" x14ac:dyDescent="0.3">
      <c r="A22" s="27" t="s">
        <v>95</v>
      </c>
      <c r="B22" s="27">
        <v>3</v>
      </c>
      <c r="C22" s="28" t="s">
        <v>2313</v>
      </c>
      <c r="D22" s="27" t="s">
        <v>129</v>
      </c>
      <c r="E22" s="29" t="s">
        <v>2314</v>
      </c>
      <c r="F22" s="30" t="s">
        <v>229</v>
      </c>
      <c r="G22" s="31">
        <v>5.0810000000000004</v>
      </c>
      <c r="H22" s="32">
        <v>0</v>
      </c>
      <c r="I22" s="32">
        <f>ROUND(5.081*H22,P4)</f>
        <v>0</v>
      </c>
      <c r="J22" s="30" t="s">
        <v>118</v>
      </c>
      <c r="O22" s="33">
        <f>I22*0.21</f>
        <v>0</v>
      </c>
      <c r="P22">
        <v>3</v>
      </c>
    </row>
    <row r="23" spans="1:16" ht="172.8" x14ac:dyDescent="0.3">
      <c r="A23" s="27" t="s">
        <v>101</v>
      </c>
      <c r="B23" s="34"/>
      <c r="E23" s="29" t="s">
        <v>5260</v>
      </c>
      <c r="J23" s="35"/>
    </row>
    <row r="24" spans="1:16" ht="28.8" x14ac:dyDescent="0.3">
      <c r="A24" s="27" t="s">
        <v>103</v>
      </c>
      <c r="B24" s="34"/>
      <c r="E24" s="36" t="s">
        <v>5261</v>
      </c>
      <c r="J24" s="35"/>
    </row>
    <row r="25" spans="1:16" ht="28.8" x14ac:dyDescent="0.3">
      <c r="A25" s="27" t="s">
        <v>103</v>
      </c>
      <c r="B25" s="34"/>
      <c r="E25" s="36" t="s">
        <v>5262</v>
      </c>
      <c r="J25" s="35"/>
    </row>
    <row r="26" spans="1:16" ht="28.8" x14ac:dyDescent="0.3">
      <c r="A26" s="27" t="s">
        <v>103</v>
      </c>
      <c r="B26" s="34"/>
      <c r="E26" s="36" t="s">
        <v>5263</v>
      </c>
      <c r="J26" s="35"/>
    </row>
    <row r="27" spans="1:16" x14ac:dyDescent="0.3">
      <c r="A27" s="27" t="s">
        <v>103</v>
      </c>
      <c r="B27" s="34"/>
      <c r="E27" s="36" t="s">
        <v>5264</v>
      </c>
      <c r="J27" s="35"/>
    </row>
    <row r="28" spans="1:16" ht="360" x14ac:dyDescent="0.3">
      <c r="A28" s="27" t="s">
        <v>105</v>
      </c>
      <c r="B28" s="34"/>
      <c r="E28" s="29" t="s">
        <v>2351</v>
      </c>
      <c r="J28" s="35"/>
    </row>
    <row r="29" spans="1:16" x14ac:dyDescent="0.3">
      <c r="A29" s="21" t="s">
        <v>92</v>
      </c>
      <c r="B29" s="22"/>
      <c r="C29" s="23" t="s">
        <v>233</v>
      </c>
      <c r="D29" s="24"/>
      <c r="E29" s="21" t="s">
        <v>234</v>
      </c>
      <c r="F29" s="24"/>
      <c r="G29" s="24"/>
      <c r="H29" s="24"/>
      <c r="I29" s="25">
        <f>SUMIFS(I30:I41,A30:A41,"P")</f>
        <v>0</v>
      </c>
      <c r="J29" s="26"/>
    </row>
    <row r="30" spans="1:16" ht="28.8" x14ac:dyDescent="0.3">
      <c r="A30" s="27" t="s">
        <v>95</v>
      </c>
      <c r="B30" s="27">
        <v>4</v>
      </c>
      <c r="C30" s="28" t="s">
        <v>5265</v>
      </c>
      <c r="D30" s="27" t="s">
        <v>129</v>
      </c>
      <c r="E30" s="29" t="s">
        <v>5266</v>
      </c>
      <c r="F30" s="30" t="s">
        <v>237</v>
      </c>
      <c r="G30" s="31">
        <v>53.54</v>
      </c>
      <c r="H30" s="32">
        <v>0</v>
      </c>
      <c r="I30" s="32">
        <f>ROUND(53.54*H30,P4)</f>
        <v>0</v>
      </c>
      <c r="J30" s="30" t="s">
        <v>118</v>
      </c>
      <c r="O30" s="33">
        <f>I30*0.21</f>
        <v>0</v>
      </c>
      <c r="P30">
        <v>3</v>
      </c>
    </row>
    <row r="31" spans="1:16" ht="331.2" x14ac:dyDescent="0.3">
      <c r="A31" s="27" t="s">
        <v>101</v>
      </c>
      <c r="B31" s="34"/>
      <c r="E31" s="29" t="s">
        <v>5267</v>
      </c>
      <c r="J31" s="35"/>
    </row>
    <row r="32" spans="1:16" ht="28.8" x14ac:dyDescent="0.3">
      <c r="A32" s="27" t="s">
        <v>103</v>
      </c>
      <c r="B32" s="34"/>
      <c r="E32" s="36" t="s">
        <v>5268</v>
      </c>
      <c r="J32" s="35"/>
    </row>
    <row r="33" spans="1:16" ht="28.8" x14ac:dyDescent="0.3">
      <c r="A33" s="27" t="s">
        <v>103</v>
      </c>
      <c r="B33" s="34"/>
      <c r="E33" s="36" t="s">
        <v>5269</v>
      </c>
      <c r="J33" s="35"/>
    </row>
    <row r="34" spans="1:16" ht="28.8" x14ac:dyDescent="0.3">
      <c r="A34" s="27" t="s">
        <v>103</v>
      </c>
      <c r="B34" s="34"/>
      <c r="E34" s="36" t="s">
        <v>5270</v>
      </c>
      <c r="J34" s="35"/>
    </row>
    <row r="35" spans="1:16" x14ac:dyDescent="0.3">
      <c r="A35" s="27" t="s">
        <v>103</v>
      </c>
      <c r="B35" s="34"/>
      <c r="E35" s="36" t="s">
        <v>5271</v>
      </c>
      <c r="J35" s="35"/>
    </row>
    <row r="36" spans="1:16" ht="100.8" x14ac:dyDescent="0.3">
      <c r="A36" s="27" t="s">
        <v>105</v>
      </c>
      <c r="B36" s="34"/>
      <c r="E36" s="29" t="s">
        <v>5272</v>
      </c>
      <c r="J36" s="35"/>
    </row>
    <row r="37" spans="1:16" ht="28.8" x14ac:dyDescent="0.3">
      <c r="A37" s="27" t="s">
        <v>95</v>
      </c>
      <c r="B37" s="27">
        <v>5</v>
      </c>
      <c r="C37" s="28" t="s">
        <v>5273</v>
      </c>
      <c r="D37" s="27" t="s">
        <v>129</v>
      </c>
      <c r="E37" s="29" t="s">
        <v>5274</v>
      </c>
      <c r="F37" s="30" t="s">
        <v>117</v>
      </c>
      <c r="G37" s="31">
        <v>2</v>
      </c>
      <c r="H37" s="32">
        <v>0</v>
      </c>
      <c r="I37" s="32">
        <f>ROUND(2*H37,P4)</f>
        <v>0</v>
      </c>
      <c r="J37" s="30" t="s">
        <v>118</v>
      </c>
      <c r="O37" s="33">
        <f>I37*0.21</f>
        <v>0</v>
      </c>
      <c r="P37">
        <v>3</v>
      </c>
    </row>
    <row r="38" spans="1:16" ht="331.2" x14ac:dyDescent="0.3">
      <c r="A38" s="27" t="s">
        <v>101</v>
      </c>
      <c r="B38" s="34"/>
      <c r="E38" s="29" t="s">
        <v>5267</v>
      </c>
      <c r="J38" s="35"/>
    </row>
    <row r="39" spans="1:16" x14ac:dyDescent="0.3">
      <c r="A39" s="27" t="s">
        <v>103</v>
      </c>
      <c r="B39" s="34"/>
      <c r="E39" s="36" t="s">
        <v>5275</v>
      </c>
      <c r="J39" s="35"/>
    </row>
    <row r="40" spans="1:16" x14ac:dyDescent="0.3">
      <c r="A40" s="27" t="s">
        <v>103</v>
      </c>
      <c r="B40" s="34"/>
      <c r="E40" s="36" t="s">
        <v>3883</v>
      </c>
      <c r="J40" s="35"/>
    </row>
    <row r="41" spans="1:16" ht="115.2" x14ac:dyDescent="0.3">
      <c r="A41" s="27" t="s">
        <v>105</v>
      </c>
      <c r="B41" s="34"/>
      <c r="E41" s="29" t="s">
        <v>5276</v>
      </c>
      <c r="J41" s="35"/>
    </row>
    <row r="42" spans="1:16" x14ac:dyDescent="0.3">
      <c r="A42" s="21" t="s">
        <v>92</v>
      </c>
      <c r="B42" s="22"/>
      <c r="C42" s="23" t="s">
        <v>1179</v>
      </c>
      <c r="D42" s="24"/>
      <c r="E42" s="21" t="s">
        <v>1180</v>
      </c>
      <c r="F42" s="24"/>
      <c r="G42" s="24"/>
      <c r="H42" s="24"/>
      <c r="I42" s="25">
        <f>SUMIFS(I43:I52,A43:A52,"P")</f>
        <v>0</v>
      </c>
      <c r="J42" s="26"/>
    </row>
    <row r="43" spans="1:16" x14ac:dyDescent="0.3">
      <c r="A43" s="27" t="s">
        <v>95</v>
      </c>
      <c r="B43" s="27">
        <v>6</v>
      </c>
      <c r="C43" s="28" t="s">
        <v>3499</v>
      </c>
      <c r="D43" s="27" t="s">
        <v>129</v>
      </c>
      <c r="E43" s="29" t="s">
        <v>3500</v>
      </c>
      <c r="F43" s="30" t="s">
        <v>237</v>
      </c>
      <c r="G43" s="31">
        <v>17.350000000000001</v>
      </c>
      <c r="H43" s="32">
        <v>0</v>
      </c>
      <c r="I43" s="32">
        <f>ROUND(17.35*H43,P4)</f>
        <v>0</v>
      </c>
      <c r="J43" s="30" t="s">
        <v>118</v>
      </c>
      <c r="O43" s="33">
        <f>I43*0.21</f>
        <v>0</v>
      </c>
      <c r="P43">
        <v>3</v>
      </c>
    </row>
    <row r="44" spans="1:16" ht="302.39999999999998" x14ac:dyDescent="0.3">
      <c r="A44" s="27" t="s">
        <v>101</v>
      </c>
      <c r="B44" s="34"/>
      <c r="E44" s="29" t="s">
        <v>5277</v>
      </c>
      <c r="J44" s="35"/>
    </row>
    <row r="45" spans="1:16" ht="28.8" x14ac:dyDescent="0.3">
      <c r="A45" s="27" t="s">
        <v>103</v>
      </c>
      <c r="B45" s="34"/>
      <c r="E45" s="36" t="s">
        <v>5278</v>
      </c>
      <c r="J45" s="35"/>
    </row>
    <row r="46" spans="1:16" x14ac:dyDescent="0.3">
      <c r="A46" s="27" t="s">
        <v>103</v>
      </c>
      <c r="B46" s="34"/>
      <c r="E46" s="36" t="s">
        <v>5279</v>
      </c>
      <c r="J46" s="35"/>
    </row>
    <row r="47" spans="1:16" ht="288" x14ac:dyDescent="0.3">
      <c r="A47" s="27" t="s">
        <v>105</v>
      </c>
      <c r="B47" s="34"/>
      <c r="E47" s="29" t="s">
        <v>2687</v>
      </c>
      <c r="J47" s="35"/>
    </row>
    <row r="48" spans="1:16" x14ac:dyDescent="0.3">
      <c r="A48" s="27" t="s">
        <v>95</v>
      </c>
      <c r="B48" s="27">
        <v>7</v>
      </c>
      <c r="C48" s="28" t="s">
        <v>2632</v>
      </c>
      <c r="D48" s="27" t="s">
        <v>129</v>
      </c>
      <c r="E48" s="29" t="s">
        <v>2633</v>
      </c>
      <c r="F48" s="30" t="s">
        <v>237</v>
      </c>
      <c r="G48" s="31">
        <v>53.54</v>
      </c>
      <c r="H48" s="32">
        <v>0</v>
      </c>
      <c r="I48" s="32">
        <f>ROUND(53.54*H48,P4)</f>
        <v>0</v>
      </c>
      <c r="J48" s="30" t="s">
        <v>118</v>
      </c>
      <c r="O48" s="33">
        <f>I48*0.21</f>
        <v>0</v>
      </c>
      <c r="P48">
        <v>3</v>
      </c>
    </row>
    <row r="49" spans="1:10" ht="302.39999999999998" x14ac:dyDescent="0.3">
      <c r="A49" s="27" t="s">
        <v>101</v>
      </c>
      <c r="B49" s="34"/>
      <c r="E49" s="29" t="s">
        <v>5280</v>
      </c>
      <c r="J49" s="35"/>
    </row>
    <row r="50" spans="1:10" ht="28.8" x14ac:dyDescent="0.3">
      <c r="A50" s="27" t="s">
        <v>103</v>
      </c>
      <c r="B50" s="34"/>
      <c r="E50" s="36" t="s">
        <v>5281</v>
      </c>
      <c r="J50" s="35"/>
    </row>
    <row r="51" spans="1:10" x14ac:dyDescent="0.3">
      <c r="A51" s="27" t="s">
        <v>103</v>
      </c>
      <c r="B51" s="34"/>
      <c r="E51" s="36" t="s">
        <v>5282</v>
      </c>
      <c r="J51" s="35"/>
    </row>
    <row r="52" spans="1:10" ht="43.2" x14ac:dyDescent="0.3">
      <c r="A52" s="27" t="s">
        <v>105</v>
      </c>
      <c r="B52" s="37"/>
      <c r="C52" s="38"/>
      <c r="D52" s="38"/>
      <c r="E52" s="29" t="s">
        <v>2664</v>
      </c>
      <c r="F52" s="38"/>
      <c r="G52" s="38"/>
      <c r="H52" s="38"/>
      <c r="I52" s="38"/>
      <c r="J52"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238"/>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60</v>
      </c>
      <c r="I3" s="16">
        <f>SUMIFS(I8:I238,A8:A238,"SD")</f>
        <v>0</v>
      </c>
      <c r="J3" s="12"/>
      <c r="O3">
        <v>0</v>
      </c>
      <c r="P3">
        <v>2</v>
      </c>
    </row>
    <row r="4" spans="1:16" x14ac:dyDescent="0.3">
      <c r="A4" s="2" t="s">
        <v>79</v>
      </c>
      <c r="B4" s="13" t="s">
        <v>80</v>
      </c>
      <c r="C4" s="43" t="s">
        <v>60</v>
      </c>
      <c r="D4" s="44"/>
      <c r="E4" s="14" t="s">
        <v>61</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SUMIFS(I9:I88,A9:A88,"P")</f>
        <v>0</v>
      </c>
      <c r="J8" s="26"/>
    </row>
    <row r="9" spans="1:16" x14ac:dyDescent="0.3">
      <c r="A9" s="27" t="s">
        <v>95</v>
      </c>
      <c r="B9" s="27">
        <v>1</v>
      </c>
      <c r="C9" s="28" t="s">
        <v>426</v>
      </c>
      <c r="D9" s="27" t="s">
        <v>129</v>
      </c>
      <c r="E9" s="29" t="s">
        <v>427</v>
      </c>
      <c r="F9" s="30" t="s">
        <v>229</v>
      </c>
      <c r="G9" s="31">
        <v>8.407</v>
      </c>
      <c r="H9" s="32">
        <v>0</v>
      </c>
      <c r="I9" s="32">
        <f>ROUND(8.407*H9,P4)</f>
        <v>0</v>
      </c>
      <c r="J9" s="30" t="s">
        <v>118</v>
      </c>
      <c r="O9" s="33">
        <f>I9*0.21</f>
        <v>0</v>
      </c>
      <c r="P9">
        <v>3</v>
      </c>
    </row>
    <row r="10" spans="1:16" ht="172.8" x14ac:dyDescent="0.3">
      <c r="A10" s="27" t="s">
        <v>101</v>
      </c>
      <c r="B10" s="34"/>
      <c r="E10" s="29" t="s">
        <v>5283</v>
      </c>
      <c r="J10" s="35"/>
    </row>
    <row r="11" spans="1:16" ht="28.8" x14ac:dyDescent="0.3">
      <c r="A11" s="27" t="s">
        <v>103</v>
      </c>
      <c r="B11" s="34"/>
      <c r="E11" s="36" t="s">
        <v>5284</v>
      </c>
      <c r="J11" s="35"/>
    </row>
    <row r="12" spans="1:16" ht="28.8" x14ac:dyDescent="0.3">
      <c r="A12" s="27" t="s">
        <v>103</v>
      </c>
      <c r="B12" s="34"/>
      <c r="E12" s="36" t="s">
        <v>5285</v>
      </c>
      <c r="J12" s="35"/>
    </row>
    <row r="13" spans="1:16" x14ac:dyDescent="0.3">
      <c r="A13" s="27" t="s">
        <v>103</v>
      </c>
      <c r="B13" s="34"/>
      <c r="E13" s="36" t="s">
        <v>5286</v>
      </c>
      <c r="J13" s="35"/>
    </row>
    <row r="14" spans="1:16" ht="374.4" x14ac:dyDescent="0.3">
      <c r="A14" s="27" t="s">
        <v>105</v>
      </c>
      <c r="B14" s="34"/>
      <c r="E14" s="29" t="s">
        <v>434</v>
      </c>
      <c r="J14" s="35"/>
    </row>
    <row r="15" spans="1:16" x14ac:dyDescent="0.3">
      <c r="A15" s="27" t="s">
        <v>95</v>
      </c>
      <c r="B15" s="27">
        <v>2</v>
      </c>
      <c r="C15" s="28" t="s">
        <v>575</v>
      </c>
      <c r="D15" s="27" t="s">
        <v>129</v>
      </c>
      <c r="E15" s="29" t="s">
        <v>576</v>
      </c>
      <c r="F15" s="30" t="s">
        <v>229</v>
      </c>
      <c r="G15" s="31">
        <v>6.0449999999999999</v>
      </c>
      <c r="H15" s="32">
        <v>0</v>
      </c>
      <c r="I15" s="32">
        <f>ROUND(6.045*H15,P4)</f>
        <v>0</v>
      </c>
      <c r="J15" s="30" t="s">
        <v>118</v>
      </c>
      <c r="O15" s="33">
        <f>I15*0.21</f>
        <v>0</v>
      </c>
      <c r="P15">
        <v>3</v>
      </c>
    </row>
    <row r="16" spans="1:16" ht="115.2" x14ac:dyDescent="0.3">
      <c r="A16" s="27" t="s">
        <v>101</v>
      </c>
      <c r="B16" s="34"/>
      <c r="E16" s="29" t="s">
        <v>3376</v>
      </c>
      <c r="J16" s="35"/>
    </row>
    <row r="17" spans="1:16" ht="28.8" x14ac:dyDescent="0.3">
      <c r="A17" s="27" t="s">
        <v>103</v>
      </c>
      <c r="B17" s="34"/>
      <c r="E17" s="36" t="s">
        <v>5287</v>
      </c>
      <c r="J17" s="35"/>
    </row>
    <row r="18" spans="1:16" x14ac:dyDescent="0.3">
      <c r="A18" s="27" t="s">
        <v>103</v>
      </c>
      <c r="B18" s="34"/>
      <c r="E18" s="36" t="s">
        <v>5288</v>
      </c>
      <c r="J18" s="35"/>
    </row>
    <row r="19" spans="1:16" ht="388.8" x14ac:dyDescent="0.3">
      <c r="A19" s="27" t="s">
        <v>105</v>
      </c>
      <c r="B19" s="34"/>
      <c r="E19" s="29" t="s">
        <v>590</v>
      </c>
      <c r="J19" s="35"/>
    </row>
    <row r="20" spans="1:16" x14ac:dyDescent="0.3">
      <c r="A20" s="27" t="s">
        <v>95</v>
      </c>
      <c r="B20" s="27">
        <v>3</v>
      </c>
      <c r="C20" s="28" t="s">
        <v>5289</v>
      </c>
      <c r="D20" s="27" t="s">
        <v>129</v>
      </c>
      <c r="E20" s="29" t="s">
        <v>5290</v>
      </c>
      <c r="F20" s="30" t="s">
        <v>229</v>
      </c>
      <c r="G20" s="31">
        <v>1431.1759999999999</v>
      </c>
      <c r="H20" s="32">
        <v>0</v>
      </c>
      <c r="I20" s="32">
        <f>ROUND(1431.176*H20,P4)</f>
        <v>0</v>
      </c>
      <c r="J20" s="30" t="s">
        <v>118</v>
      </c>
      <c r="O20" s="33">
        <f>I20*0.21</f>
        <v>0</v>
      </c>
      <c r="P20">
        <v>3</v>
      </c>
    </row>
    <row r="21" spans="1:16" ht="115.2" x14ac:dyDescent="0.3">
      <c r="A21" s="27" t="s">
        <v>101</v>
      </c>
      <c r="B21" s="34"/>
      <c r="E21" s="29" t="s">
        <v>5291</v>
      </c>
      <c r="J21" s="35"/>
    </row>
    <row r="22" spans="1:16" ht="28.8" x14ac:dyDescent="0.3">
      <c r="A22" s="27" t="s">
        <v>103</v>
      </c>
      <c r="B22" s="34"/>
      <c r="E22" s="36" t="s">
        <v>5292</v>
      </c>
      <c r="J22" s="35"/>
    </row>
    <row r="23" spans="1:16" ht="28.8" x14ac:dyDescent="0.3">
      <c r="A23" s="27" t="s">
        <v>103</v>
      </c>
      <c r="B23" s="34"/>
      <c r="E23" s="36" t="s">
        <v>5293</v>
      </c>
      <c r="J23" s="35"/>
    </row>
    <row r="24" spans="1:16" ht="28.8" x14ac:dyDescent="0.3">
      <c r="A24" s="27" t="s">
        <v>103</v>
      </c>
      <c r="B24" s="34"/>
      <c r="E24" s="36" t="s">
        <v>5294</v>
      </c>
      <c r="J24" s="35"/>
    </row>
    <row r="25" spans="1:16" x14ac:dyDescent="0.3">
      <c r="A25" s="27" t="s">
        <v>103</v>
      </c>
      <c r="B25" s="34"/>
      <c r="E25" s="36" t="s">
        <v>5295</v>
      </c>
      <c r="J25" s="35"/>
    </row>
    <row r="26" spans="1:16" ht="388.8" x14ac:dyDescent="0.3">
      <c r="A26" s="27" t="s">
        <v>105</v>
      </c>
      <c r="B26" s="34"/>
      <c r="E26" s="29" t="s">
        <v>5296</v>
      </c>
      <c r="J26" s="35"/>
    </row>
    <row r="27" spans="1:16" x14ac:dyDescent="0.3">
      <c r="A27" s="27" t="s">
        <v>95</v>
      </c>
      <c r="B27" s="27">
        <v>4</v>
      </c>
      <c r="C27" s="28" t="s">
        <v>476</v>
      </c>
      <c r="D27" s="27" t="s">
        <v>129</v>
      </c>
      <c r="E27" s="29" t="s">
        <v>477</v>
      </c>
      <c r="F27" s="30" t="s">
        <v>229</v>
      </c>
      <c r="G27" s="31">
        <v>1437.221</v>
      </c>
      <c r="H27" s="32">
        <v>0</v>
      </c>
      <c r="I27" s="32">
        <f>ROUND(1437.221*H27,P4)</f>
        <v>0</v>
      </c>
      <c r="J27" s="30" t="s">
        <v>118</v>
      </c>
      <c r="O27" s="33">
        <f>I27*0.21</f>
        <v>0</v>
      </c>
      <c r="P27">
        <v>3</v>
      </c>
    </row>
    <row r="28" spans="1:16" ht="115.2" x14ac:dyDescent="0.3">
      <c r="A28" s="27" t="s">
        <v>101</v>
      </c>
      <c r="B28" s="34"/>
      <c r="E28" s="29" t="s">
        <v>5291</v>
      </c>
      <c r="J28" s="35"/>
    </row>
    <row r="29" spans="1:16" ht="28.8" x14ac:dyDescent="0.3">
      <c r="A29" s="27" t="s">
        <v>103</v>
      </c>
      <c r="B29" s="34"/>
      <c r="E29" s="36" t="s">
        <v>5292</v>
      </c>
      <c r="J29" s="35"/>
    </row>
    <row r="30" spans="1:16" ht="28.8" x14ac:dyDescent="0.3">
      <c r="A30" s="27" t="s">
        <v>103</v>
      </c>
      <c r="B30" s="34"/>
      <c r="E30" s="36" t="s">
        <v>5293</v>
      </c>
      <c r="J30" s="35"/>
    </row>
    <row r="31" spans="1:16" ht="28.8" x14ac:dyDescent="0.3">
      <c r="A31" s="27" t="s">
        <v>103</v>
      </c>
      <c r="B31" s="34"/>
      <c r="E31" s="36" t="s">
        <v>5297</v>
      </c>
      <c r="J31" s="35"/>
    </row>
    <row r="32" spans="1:16" ht="28.8" x14ac:dyDescent="0.3">
      <c r="A32" s="27" t="s">
        <v>103</v>
      </c>
      <c r="B32" s="34"/>
      <c r="E32" s="36" t="s">
        <v>5298</v>
      </c>
      <c r="J32" s="35"/>
    </row>
    <row r="33" spans="1:16" x14ac:dyDescent="0.3">
      <c r="A33" s="27" t="s">
        <v>103</v>
      </c>
      <c r="B33" s="34"/>
      <c r="E33" s="36" t="s">
        <v>5299</v>
      </c>
      <c r="J33" s="35"/>
    </row>
    <row r="34" spans="1:16" ht="216" x14ac:dyDescent="0.3">
      <c r="A34" s="27" t="s">
        <v>105</v>
      </c>
      <c r="B34" s="34"/>
      <c r="E34" s="29" t="s">
        <v>481</v>
      </c>
      <c r="J34" s="35"/>
    </row>
    <row r="35" spans="1:16" x14ac:dyDescent="0.3">
      <c r="A35" s="27" t="s">
        <v>95</v>
      </c>
      <c r="B35" s="27">
        <v>5</v>
      </c>
      <c r="C35" s="28" t="s">
        <v>5300</v>
      </c>
      <c r="D35" s="27" t="s">
        <v>97</v>
      </c>
      <c r="E35" s="29" t="s">
        <v>5301</v>
      </c>
      <c r="F35" s="30" t="s">
        <v>229</v>
      </c>
      <c r="G35" s="31">
        <v>1236.23</v>
      </c>
      <c r="H35" s="32">
        <v>0</v>
      </c>
      <c r="I35" s="32">
        <f>ROUND(1236.23*H35,P4)</f>
        <v>0</v>
      </c>
      <c r="J35" s="30" t="s">
        <v>118</v>
      </c>
      <c r="O35" s="33">
        <f>I35*0.21</f>
        <v>0</v>
      </c>
      <c r="P35">
        <v>3</v>
      </c>
    </row>
    <row r="36" spans="1:16" ht="158.4" x14ac:dyDescent="0.3">
      <c r="A36" s="27" t="s">
        <v>101</v>
      </c>
      <c r="B36" s="34"/>
      <c r="E36" s="29" t="s">
        <v>5302</v>
      </c>
      <c r="J36" s="35"/>
    </row>
    <row r="37" spans="1:16" ht="28.8" x14ac:dyDescent="0.3">
      <c r="A37" s="27" t="s">
        <v>103</v>
      </c>
      <c r="B37" s="34"/>
      <c r="E37" s="36" t="s">
        <v>5303</v>
      </c>
      <c r="J37" s="35"/>
    </row>
    <row r="38" spans="1:16" ht="28.8" x14ac:dyDescent="0.3">
      <c r="A38" s="27" t="s">
        <v>103</v>
      </c>
      <c r="B38" s="34"/>
      <c r="E38" s="36" t="s">
        <v>5304</v>
      </c>
      <c r="J38" s="35"/>
    </row>
    <row r="39" spans="1:16" ht="28.8" x14ac:dyDescent="0.3">
      <c r="A39" s="27" t="s">
        <v>103</v>
      </c>
      <c r="B39" s="34"/>
      <c r="E39" s="36" t="s">
        <v>5305</v>
      </c>
      <c r="J39" s="35"/>
    </row>
    <row r="40" spans="1:16" ht="28.8" x14ac:dyDescent="0.3">
      <c r="A40" s="27" t="s">
        <v>103</v>
      </c>
      <c r="B40" s="34"/>
      <c r="E40" s="36" t="s">
        <v>5306</v>
      </c>
      <c r="J40" s="35"/>
    </row>
    <row r="41" spans="1:16" ht="28.8" x14ac:dyDescent="0.3">
      <c r="A41" s="27" t="s">
        <v>103</v>
      </c>
      <c r="B41" s="34"/>
      <c r="E41" s="36" t="s">
        <v>5307</v>
      </c>
      <c r="J41" s="35"/>
    </row>
    <row r="42" spans="1:16" ht="28.8" x14ac:dyDescent="0.3">
      <c r="A42" s="27" t="s">
        <v>103</v>
      </c>
      <c r="B42" s="34"/>
      <c r="E42" s="36" t="s">
        <v>5308</v>
      </c>
      <c r="J42" s="35"/>
    </row>
    <row r="43" spans="1:16" ht="28.8" x14ac:dyDescent="0.3">
      <c r="A43" s="27" t="s">
        <v>103</v>
      </c>
      <c r="B43" s="34"/>
      <c r="E43" s="36" t="s">
        <v>5309</v>
      </c>
      <c r="J43" s="35"/>
    </row>
    <row r="44" spans="1:16" ht="28.8" x14ac:dyDescent="0.3">
      <c r="A44" s="27" t="s">
        <v>103</v>
      </c>
      <c r="B44" s="34"/>
      <c r="E44" s="36" t="s">
        <v>5310</v>
      </c>
      <c r="J44" s="35"/>
    </row>
    <row r="45" spans="1:16" ht="28.8" x14ac:dyDescent="0.3">
      <c r="A45" s="27" t="s">
        <v>103</v>
      </c>
      <c r="B45" s="34"/>
      <c r="E45" s="36" t="s">
        <v>5311</v>
      </c>
      <c r="J45" s="35"/>
    </row>
    <row r="46" spans="1:16" ht="28.8" x14ac:dyDescent="0.3">
      <c r="A46" s="27" t="s">
        <v>103</v>
      </c>
      <c r="B46" s="34"/>
      <c r="E46" s="36" t="s">
        <v>5312</v>
      </c>
      <c r="J46" s="35"/>
    </row>
    <row r="47" spans="1:16" ht="28.8" x14ac:dyDescent="0.3">
      <c r="A47" s="27" t="s">
        <v>103</v>
      </c>
      <c r="B47" s="34"/>
      <c r="E47" s="36" t="s">
        <v>5313</v>
      </c>
      <c r="J47" s="35"/>
    </row>
    <row r="48" spans="1:16" x14ac:dyDescent="0.3">
      <c r="A48" s="27" t="s">
        <v>103</v>
      </c>
      <c r="B48" s="34"/>
      <c r="E48" s="36" t="s">
        <v>5314</v>
      </c>
      <c r="J48" s="35"/>
    </row>
    <row r="49" spans="1:16" ht="273.60000000000002" x14ac:dyDescent="0.3">
      <c r="A49" s="27" t="s">
        <v>105</v>
      </c>
      <c r="B49" s="34"/>
      <c r="E49" s="29" t="s">
        <v>5315</v>
      </c>
      <c r="J49" s="35"/>
    </row>
    <row r="50" spans="1:16" x14ac:dyDescent="0.3">
      <c r="A50" s="27" t="s">
        <v>95</v>
      </c>
      <c r="B50" s="27">
        <v>6</v>
      </c>
      <c r="C50" s="28" t="s">
        <v>594</v>
      </c>
      <c r="D50" s="27" t="s">
        <v>107</v>
      </c>
      <c r="E50" s="29" t="s">
        <v>595</v>
      </c>
      <c r="F50" s="30" t="s">
        <v>229</v>
      </c>
      <c r="G50" s="31">
        <v>3.9159999999999999</v>
      </c>
      <c r="H50" s="32">
        <v>0</v>
      </c>
      <c r="I50" s="32">
        <f>ROUND(3.916*H50,P4)</f>
        <v>0</v>
      </c>
      <c r="J50" s="30" t="s">
        <v>118</v>
      </c>
      <c r="O50" s="33">
        <f>I50*0.21</f>
        <v>0</v>
      </c>
      <c r="P50">
        <v>3</v>
      </c>
    </row>
    <row r="51" spans="1:16" ht="158.4" x14ac:dyDescent="0.3">
      <c r="A51" s="27" t="s">
        <v>101</v>
      </c>
      <c r="B51" s="34"/>
      <c r="E51" s="29" t="s">
        <v>5316</v>
      </c>
      <c r="J51" s="35"/>
    </row>
    <row r="52" spans="1:16" ht="28.8" x14ac:dyDescent="0.3">
      <c r="A52" s="27" t="s">
        <v>103</v>
      </c>
      <c r="B52" s="34"/>
      <c r="E52" s="36" t="s">
        <v>5317</v>
      </c>
      <c r="J52" s="35"/>
    </row>
    <row r="53" spans="1:16" x14ac:dyDescent="0.3">
      <c r="A53" s="27" t="s">
        <v>103</v>
      </c>
      <c r="B53" s="34"/>
      <c r="E53" s="36" t="s">
        <v>5318</v>
      </c>
      <c r="J53" s="35"/>
    </row>
    <row r="54" spans="1:16" ht="273.60000000000002" x14ac:dyDescent="0.3">
      <c r="A54" s="27" t="s">
        <v>105</v>
      </c>
      <c r="B54" s="34"/>
      <c r="E54" s="29" t="s">
        <v>609</v>
      </c>
      <c r="J54" s="35"/>
    </row>
    <row r="55" spans="1:16" x14ac:dyDescent="0.3">
      <c r="A55" s="27" t="s">
        <v>95</v>
      </c>
      <c r="B55" s="27">
        <v>7</v>
      </c>
      <c r="C55" s="28" t="s">
        <v>2313</v>
      </c>
      <c r="D55" s="27" t="s">
        <v>129</v>
      </c>
      <c r="E55" s="29" t="s">
        <v>2314</v>
      </c>
      <c r="F55" s="30" t="s">
        <v>229</v>
      </c>
      <c r="G55" s="31">
        <v>195.29900000000001</v>
      </c>
      <c r="H55" s="32">
        <v>0</v>
      </c>
      <c r="I55" s="32">
        <f>ROUND(195.299*H55,P4)</f>
        <v>0</v>
      </c>
      <c r="J55" s="30" t="s">
        <v>118</v>
      </c>
      <c r="O55" s="33">
        <f>I55*0.21</f>
        <v>0</v>
      </c>
      <c r="P55">
        <v>3</v>
      </c>
    </row>
    <row r="56" spans="1:16" ht="158.4" x14ac:dyDescent="0.3">
      <c r="A56" s="27" t="s">
        <v>101</v>
      </c>
      <c r="B56" s="34"/>
      <c r="E56" s="29" t="s">
        <v>5319</v>
      </c>
      <c r="J56" s="35"/>
    </row>
    <row r="57" spans="1:16" ht="28.8" x14ac:dyDescent="0.3">
      <c r="A57" s="27" t="s">
        <v>103</v>
      </c>
      <c r="B57" s="34"/>
      <c r="E57" s="36" t="s">
        <v>5320</v>
      </c>
      <c r="J57" s="35"/>
    </row>
    <row r="58" spans="1:16" ht="28.8" x14ac:dyDescent="0.3">
      <c r="A58" s="27" t="s">
        <v>103</v>
      </c>
      <c r="B58" s="34"/>
      <c r="E58" s="36" t="s">
        <v>5321</v>
      </c>
      <c r="J58" s="35"/>
    </row>
    <row r="59" spans="1:16" ht="28.8" x14ac:dyDescent="0.3">
      <c r="A59" s="27" t="s">
        <v>103</v>
      </c>
      <c r="B59" s="34"/>
      <c r="E59" s="36" t="s">
        <v>5322</v>
      </c>
      <c r="J59" s="35"/>
    </row>
    <row r="60" spans="1:16" ht="28.8" x14ac:dyDescent="0.3">
      <c r="A60" s="27" t="s">
        <v>103</v>
      </c>
      <c r="B60" s="34"/>
      <c r="E60" s="36" t="s">
        <v>5323</v>
      </c>
      <c r="J60" s="35"/>
    </row>
    <row r="61" spans="1:16" ht="28.8" x14ac:dyDescent="0.3">
      <c r="A61" s="27" t="s">
        <v>103</v>
      </c>
      <c r="B61" s="34"/>
      <c r="E61" s="36" t="s">
        <v>5324</v>
      </c>
      <c r="J61" s="35"/>
    </row>
    <row r="62" spans="1:16" ht="28.8" x14ac:dyDescent="0.3">
      <c r="A62" s="27" t="s">
        <v>103</v>
      </c>
      <c r="B62" s="34"/>
      <c r="E62" s="36" t="s">
        <v>5325</v>
      </c>
      <c r="J62" s="35"/>
    </row>
    <row r="63" spans="1:16" ht="28.8" x14ac:dyDescent="0.3">
      <c r="A63" s="27" t="s">
        <v>103</v>
      </c>
      <c r="B63" s="34"/>
      <c r="E63" s="36" t="s">
        <v>5326</v>
      </c>
      <c r="J63" s="35"/>
    </row>
    <row r="64" spans="1:16" ht="28.8" x14ac:dyDescent="0.3">
      <c r="A64" s="27" t="s">
        <v>103</v>
      </c>
      <c r="B64" s="34"/>
      <c r="E64" s="36" t="s">
        <v>5327</v>
      </c>
      <c r="J64" s="35"/>
    </row>
    <row r="65" spans="1:16" ht="28.8" x14ac:dyDescent="0.3">
      <c r="A65" s="27" t="s">
        <v>103</v>
      </c>
      <c r="B65" s="34"/>
      <c r="E65" s="36" t="s">
        <v>5328</v>
      </c>
      <c r="J65" s="35"/>
    </row>
    <row r="66" spans="1:16" ht="28.8" x14ac:dyDescent="0.3">
      <c r="A66" s="27" t="s">
        <v>103</v>
      </c>
      <c r="B66" s="34"/>
      <c r="E66" s="36" t="s">
        <v>5329</v>
      </c>
      <c r="J66" s="35"/>
    </row>
    <row r="67" spans="1:16" ht="28.8" x14ac:dyDescent="0.3">
      <c r="A67" s="27" t="s">
        <v>103</v>
      </c>
      <c r="B67" s="34"/>
      <c r="E67" s="36" t="s">
        <v>5330</v>
      </c>
      <c r="J67" s="35"/>
    </row>
    <row r="68" spans="1:16" ht="28.8" x14ac:dyDescent="0.3">
      <c r="A68" s="27" t="s">
        <v>103</v>
      </c>
      <c r="B68" s="34"/>
      <c r="E68" s="36" t="s">
        <v>5331</v>
      </c>
      <c r="J68" s="35"/>
    </row>
    <row r="69" spans="1:16" ht="28.8" x14ac:dyDescent="0.3">
      <c r="A69" s="27" t="s">
        <v>103</v>
      </c>
      <c r="B69" s="34"/>
      <c r="E69" s="36" t="s">
        <v>5332</v>
      </c>
      <c r="J69" s="35"/>
    </row>
    <row r="70" spans="1:16" ht="28.8" x14ac:dyDescent="0.3">
      <c r="A70" s="27" t="s">
        <v>103</v>
      </c>
      <c r="B70" s="34"/>
      <c r="E70" s="36" t="s">
        <v>5333</v>
      </c>
      <c r="J70" s="35"/>
    </row>
    <row r="71" spans="1:16" ht="28.8" x14ac:dyDescent="0.3">
      <c r="A71" s="27" t="s">
        <v>103</v>
      </c>
      <c r="B71" s="34"/>
      <c r="E71" s="36" t="s">
        <v>5334</v>
      </c>
      <c r="J71" s="35"/>
    </row>
    <row r="72" spans="1:16" ht="28.8" x14ac:dyDescent="0.3">
      <c r="A72" s="27" t="s">
        <v>103</v>
      </c>
      <c r="B72" s="34"/>
      <c r="E72" s="36" t="s">
        <v>5335</v>
      </c>
      <c r="J72" s="35"/>
    </row>
    <row r="73" spans="1:16" ht="28.8" x14ac:dyDescent="0.3">
      <c r="A73" s="27" t="s">
        <v>103</v>
      </c>
      <c r="B73" s="34"/>
      <c r="E73" s="36" t="s">
        <v>5336</v>
      </c>
      <c r="J73" s="35"/>
    </row>
    <row r="74" spans="1:16" ht="28.8" x14ac:dyDescent="0.3">
      <c r="A74" s="27" t="s">
        <v>103</v>
      </c>
      <c r="B74" s="34"/>
      <c r="E74" s="36" t="s">
        <v>5337</v>
      </c>
      <c r="J74" s="35"/>
    </row>
    <row r="75" spans="1:16" x14ac:dyDescent="0.3">
      <c r="A75" s="27" t="s">
        <v>103</v>
      </c>
      <c r="B75" s="34"/>
      <c r="E75" s="36" t="s">
        <v>5338</v>
      </c>
      <c r="J75" s="35"/>
    </row>
    <row r="76" spans="1:16" ht="360" x14ac:dyDescent="0.3">
      <c r="A76" s="27" t="s">
        <v>105</v>
      </c>
      <c r="B76" s="34"/>
      <c r="E76" s="29" t="s">
        <v>2351</v>
      </c>
      <c r="J76" s="35"/>
    </row>
    <row r="77" spans="1:16" x14ac:dyDescent="0.3">
      <c r="A77" s="27" t="s">
        <v>95</v>
      </c>
      <c r="B77" s="27">
        <v>8</v>
      </c>
      <c r="C77" s="28" t="s">
        <v>435</v>
      </c>
      <c r="D77" s="27" t="s">
        <v>129</v>
      </c>
      <c r="E77" s="29" t="s">
        <v>436</v>
      </c>
      <c r="F77" s="30" t="s">
        <v>229</v>
      </c>
      <c r="G77" s="31">
        <v>8.407</v>
      </c>
      <c r="H77" s="32">
        <v>0</v>
      </c>
      <c r="I77" s="32">
        <f>ROUND(8.407*H77,P4)</f>
        <v>0</v>
      </c>
      <c r="J77" s="30" t="s">
        <v>118</v>
      </c>
      <c r="O77" s="33">
        <f>I77*0.21</f>
        <v>0</v>
      </c>
      <c r="P77">
        <v>3</v>
      </c>
    </row>
    <row r="78" spans="1:16" ht="172.8" x14ac:dyDescent="0.3">
      <c r="A78" s="27" t="s">
        <v>101</v>
      </c>
      <c r="B78" s="34"/>
      <c r="E78" s="29" t="s">
        <v>5283</v>
      </c>
      <c r="J78" s="35"/>
    </row>
    <row r="79" spans="1:16" ht="28.8" x14ac:dyDescent="0.3">
      <c r="A79" s="27" t="s">
        <v>103</v>
      </c>
      <c r="B79" s="34"/>
      <c r="E79" s="36" t="s">
        <v>5284</v>
      </c>
      <c r="J79" s="35"/>
    </row>
    <row r="80" spans="1:16" ht="28.8" x14ac:dyDescent="0.3">
      <c r="A80" s="27" t="s">
        <v>103</v>
      </c>
      <c r="B80" s="34"/>
      <c r="E80" s="36" t="s">
        <v>5285</v>
      </c>
      <c r="J80" s="35"/>
    </row>
    <row r="81" spans="1:16" x14ac:dyDescent="0.3">
      <c r="A81" s="27" t="s">
        <v>103</v>
      </c>
      <c r="B81" s="34"/>
      <c r="E81" s="36" t="s">
        <v>5286</v>
      </c>
      <c r="J81" s="35"/>
    </row>
    <row r="82" spans="1:16" ht="43.2" x14ac:dyDescent="0.3">
      <c r="A82" s="27" t="s">
        <v>105</v>
      </c>
      <c r="B82" s="34"/>
      <c r="E82" s="29" t="s">
        <v>438</v>
      </c>
      <c r="J82" s="35"/>
    </row>
    <row r="83" spans="1:16" x14ac:dyDescent="0.3">
      <c r="A83" s="27" t="s">
        <v>95</v>
      </c>
      <c r="B83" s="27">
        <v>9</v>
      </c>
      <c r="C83" s="28" t="s">
        <v>1635</v>
      </c>
      <c r="D83" s="27" t="s">
        <v>129</v>
      </c>
      <c r="E83" s="29" t="s">
        <v>1636</v>
      </c>
      <c r="F83" s="30" t="s">
        <v>248</v>
      </c>
      <c r="G83" s="31">
        <v>42.122</v>
      </c>
      <c r="H83" s="32">
        <v>0</v>
      </c>
      <c r="I83" s="32">
        <f>ROUND(42.122*H83,P4)</f>
        <v>0</v>
      </c>
      <c r="J83" s="30" t="s">
        <v>118</v>
      </c>
      <c r="O83" s="33">
        <f>I83*0.21</f>
        <v>0</v>
      </c>
      <c r="P83">
        <v>3</v>
      </c>
    </row>
    <row r="84" spans="1:16" ht="172.8" x14ac:dyDescent="0.3">
      <c r="A84" s="27" t="s">
        <v>101</v>
      </c>
      <c r="B84" s="34"/>
      <c r="E84" s="29" t="s">
        <v>5339</v>
      </c>
      <c r="J84" s="35"/>
    </row>
    <row r="85" spans="1:16" ht="28.8" x14ac:dyDescent="0.3">
      <c r="A85" s="27" t="s">
        <v>103</v>
      </c>
      <c r="B85" s="34"/>
      <c r="E85" s="36" t="s">
        <v>5340</v>
      </c>
      <c r="J85" s="35"/>
    </row>
    <row r="86" spans="1:16" ht="28.8" x14ac:dyDescent="0.3">
      <c r="A86" s="27" t="s">
        <v>103</v>
      </c>
      <c r="B86" s="34"/>
      <c r="E86" s="36" t="s">
        <v>5341</v>
      </c>
      <c r="J86" s="35"/>
    </row>
    <row r="87" spans="1:16" x14ac:dyDescent="0.3">
      <c r="A87" s="27" t="s">
        <v>103</v>
      </c>
      <c r="B87" s="34"/>
      <c r="E87" s="36" t="s">
        <v>5342</v>
      </c>
      <c r="J87" s="35"/>
    </row>
    <row r="88" spans="1:16" ht="28.8" x14ac:dyDescent="0.3">
      <c r="A88" s="27" t="s">
        <v>105</v>
      </c>
      <c r="B88" s="34"/>
      <c r="E88" s="29" t="s">
        <v>1647</v>
      </c>
      <c r="J88" s="35"/>
    </row>
    <row r="89" spans="1:16" x14ac:dyDescent="0.3">
      <c r="A89" s="21" t="s">
        <v>92</v>
      </c>
      <c r="B89" s="22"/>
      <c r="C89" s="23" t="s">
        <v>121</v>
      </c>
      <c r="D89" s="24"/>
      <c r="E89" s="21" t="s">
        <v>669</v>
      </c>
      <c r="F89" s="24"/>
      <c r="G89" s="24"/>
      <c r="H89" s="24"/>
      <c r="I89" s="25">
        <f>SUMIFS(I90:I104,A90:A104,"P")</f>
        <v>0</v>
      </c>
      <c r="J89" s="26"/>
    </row>
    <row r="90" spans="1:16" x14ac:dyDescent="0.3">
      <c r="A90" s="27" t="s">
        <v>95</v>
      </c>
      <c r="B90" s="27">
        <v>10</v>
      </c>
      <c r="C90" s="28" t="s">
        <v>681</v>
      </c>
      <c r="D90" s="27" t="s">
        <v>97</v>
      </c>
      <c r="E90" s="29" t="s">
        <v>682</v>
      </c>
      <c r="F90" s="30" t="s">
        <v>229</v>
      </c>
      <c r="G90" s="31">
        <v>0.89</v>
      </c>
      <c r="H90" s="32">
        <v>0</v>
      </c>
      <c r="I90" s="32">
        <f>ROUND(0.89*H90,P4)</f>
        <v>0</v>
      </c>
      <c r="J90" s="30" t="s">
        <v>118</v>
      </c>
      <c r="O90" s="33">
        <f>I90*0.21</f>
        <v>0</v>
      </c>
      <c r="P90">
        <v>3</v>
      </c>
    </row>
    <row r="91" spans="1:16" ht="158.4" x14ac:dyDescent="0.3">
      <c r="A91" s="27" t="s">
        <v>101</v>
      </c>
      <c r="B91" s="34"/>
      <c r="E91" s="29" t="s">
        <v>5343</v>
      </c>
      <c r="J91" s="35"/>
    </row>
    <row r="92" spans="1:16" ht="28.8" x14ac:dyDescent="0.3">
      <c r="A92" s="27" t="s">
        <v>103</v>
      </c>
      <c r="B92" s="34"/>
      <c r="E92" s="36" t="s">
        <v>5344</v>
      </c>
      <c r="J92" s="35"/>
    </row>
    <row r="93" spans="1:16" x14ac:dyDescent="0.3">
      <c r="A93" s="27" t="s">
        <v>103</v>
      </c>
      <c r="B93" s="34"/>
      <c r="E93" s="36" t="s">
        <v>5345</v>
      </c>
      <c r="J93" s="35"/>
    </row>
    <row r="94" spans="1:16" ht="57.6" x14ac:dyDescent="0.3">
      <c r="A94" s="27" t="s">
        <v>105</v>
      </c>
      <c r="B94" s="34"/>
      <c r="E94" s="29" t="s">
        <v>696</v>
      </c>
      <c r="J94" s="35"/>
    </row>
    <row r="95" spans="1:16" x14ac:dyDescent="0.3">
      <c r="A95" s="27" t="s">
        <v>95</v>
      </c>
      <c r="B95" s="27">
        <v>11</v>
      </c>
      <c r="C95" s="28" t="s">
        <v>681</v>
      </c>
      <c r="D95" s="27" t="s">
        <v>107</v>
      </c>
      <c r="E95" s="29" t="s">
        <v>682</v>
      </c>
      <c r="F95" s="30" t="s">
        <v>229</v>
      </c>
      <c r="G95" s="31">
        <v>42.061999999999998</v>
      </c>
      <c r="H95" s="32">
        <v>0</v>
      </c>
      <c r="I95" s="32">
        <f>ROUND(42.062*H95,P4)</f>
        <v>0</v>
      </c>
      <c r="J95" s="30" t="s">
        <v>118</v>
      </c>
      <c r="O95" s="33">
        <f>I95*0.21</f>
        <v>0</v>
      </c>
      <c r="P95">
        <v>3</v>
      </c>
    </row>
    <row r="96" spans="1:16" ht="158.4" x14ac:dyDescent="0.3">
      <c r="A96" s="27" t="s">
        <v>101</v>
      </c>
      <c r="B96" s="34"/>
      <c r="E96" s="29" t="s">
        <v>5346</v>
      </c>
      <c r="J96" s="35"/>
    </row>
    <row r="97" spans="1:16" ht="28.8" x14ac:dyDescent="0.3">
      <c r="A97" s="27" t="s">
        <v>103</v>
      </c>
      <c r="B97" s="34"/>
      <c r="E97" s="36" t="s">
        <v>5347</v>
      </c>
      <c r="J97" s="35"/>
    </row>
    <row r="98" spans="1:16" ht="28.8" x14ac:dyDescent="0.3">
      <c r="A98" s="27" t="s">
        <v>103</v>
      </c>
      <c r="B98" s="34"/>
      <c r="E98" s="36" t="s">
        <v>5348</v>
      </c>
      <c r="J98" s="35"/>
    </row>
    <row r="99" spans="1:16" ht="28.8" x14ac:dyDescent="0.3">
      <c r="A99" s="27" t="s">
        <v>103</v>
      </c>
      <c r="B99" s="34"/>
      <c r="E99" s="36" t="s">
        <v>5349</v>
      </c>
      <c r="J99" s="35"/>
    </row>
    <row r="100" spans="1:16" ht="28.8" x14ac:dyDescent="0.3">
      <c r="A100" s="27" t="s">
        <v>103</v>
      </c>
      <c r="B100" s="34"/>
      <c r="E100" s="36" t="s">
        <v>5350</v>
      </c>
      <c r="J100" s="35"/>
    </row>
    <row r="101" spans="1:16" ht="28.8" x14ac:dyDescent="0.3">
      <c r="A101" s="27" t="s">
        <v>103</v>
      </c>
      <c r="B101" s="34"/>
      <c r="E101" s="36" t="s">
        <v>5351</v>
      </c>
      <c r="J101" s="35"/>
    </row>
    <row r="102" spans="1:16" ht="28.8" x14ac:dyDescent="0.3">
      <c r="A102" s="27" t="s">
        <v>103</v>
      </c>
      <c r="B102" s="34"/>
      <c r="E102" s="36" t="s">
        <v>5352</v>
      </c>
      <c r="J102" s="35"/>
    </row>
    <row r="103" spans="1:16" x14ac:dyDescent="0.3">
      <c r="A103" s="27" t="s">
        <v>103</v>
      </c>
      <c r="B103" s="34"/>
      <c r="E103" s="36" t="s">
        <v>5353</v>
      </c>
      <c r="J103" s="35"/>
    </row>
    <row r="104" spans="1:16" ht="57.6" x14ac:dyDescent="0.3">
      <c r="A104" s="27" t="s">
        <v>105</v>
      </c>
      <c r="B104" s="34"/>
      <c r="E104" s="29" t="s">
        <v>696</v>
      </c>
      <c r="J104" s="35"/>
    </row>
    <row r="105" spans="1:16" x14ac:dyDescent="0.3">
      <c r="A105" s="21" t="s">
        <v>92</v>
      </c>
      <c r="B105" s="22"/>
      <c r="C105" s="23" t="s">
        <v>233</v>
      </c>
      <c r="D105" s="24"/>
      <c r="E105" s="21" t="s">
        <v>234</v>
      </c>
      <c r="F105" s="24"/>
      <c r="G105" s="24"/>
      <c r="H105" s="24"/>
      <c r="I105" s="25">
        <f>SUMIFS(I106:I144,A106:A144,"P")</f>
        <v>0</v>
      </c>
      <c r="J105" s="26"/>
    </row>
    <row r="106" spans="1:16" x14ac:dyDescent="0.3">
      <c r="A106" s="27" t="s">
        <v>95</v>
      </c>
      <c r="B106" s="27">
        <v>12</v>
      </c>
      <c r="C106" s="28" t="s">
        <v>5354</v>
      </c>
      <c r="D106" s="27" t="s">
        <v>97</v>
      </c>
      <c r="E106" s="29" t="s">
        <v>5355</v>
      </c>
      <c r="F106" s="30" t="s">
        <v>237</v>
      </c>
      <c r="G106" s="31">
        <v>1549.64</v>
      </c>
      <c r="H106" s="32">
        <v>0</v>
      </c>
      <c r="I106" s="32">
        <f>ROUND(1549.64*H106,P4)</f>
        <v>0</v>
      </c>
      <c r="J106" s="30" t="s">
        <v>118</v>
      </c>
      <c r="O106" s="33">
        <f>I106*0.21</f>
        <v>0</v>
      </c>
      <c r="P106">
        <v>3</v>
      </c>
    </row>
    <row r="107" spans="1:16" ht="288" x14ac:dyDescent="0.3">
      <c r="A107" s="27" t="s">
        <v>101</v>
      </c>
      <c r="B107" s="34"/>
      <c r="E107" s="29" t="s">
        <v>5356</v>
      </c>
      <c r="J107" s="35"/>
    </row>
    <row r="108" spans="1:16" ht="28.8" x14ac:dyDescent="0.3">
      <c r="A108" s="27" t="s">
        <v>103</v>
      </c>
      <c r="B108" s="34"/>
      <c r="E108" s="36" t="s">
        <v>5357</v>
      </c>
      <c r="J108" s="35"/>
    </row>
    <row r="109" spans="1:16" ht="28.8" x14ac:dyDescent="0.3">
      <c r="A109" s="27" t="s">
        <v>103</v>
      </c>
      <c r="B109" s="34"/>
      <c r="E109" s="36" t="s">
        <v>5358</v>
      </c>
      <c r="J109" s="35"/>
    </row>
    <row r="110" spans="1:16" ht="28.8" x14ac:dyDescent="0.3">
      <c r="A110" s="27" t="s">
        <v>103</v>
      </c>
      <c r="B110" s="34"/>
      <c r="E110" s="36" t="s">
        <v>5359</v>
      </c>
      <c r="J110" s="35"/>
    </row>
    <row r="111" spans="1:16" ht="28.8" x14ac:dyDescent="0.3">
      <c r="A111" s="27" t="s">
        <v>103</v>
      </c>
      <c r="B111" s="34"/>
      <c r="E111" s="36" t="s">
        <v>5360</v>
      </c>
      <c r="J111" s="35"/>
    </row>
    <row r="112" spans="1:16" ht="28.8" x14ac:dyDescent="0.3">
      <c r="A112" s="27" t="s">
        <v>103</v>
      </c>
      <c r="B112" s="34"/>
      <c r="E112" s="36" t="s">
        <v>5361</v>
      </c>
      <c r="J112" s="35"/>
    </row>
    <row r="113" spans="1:16" ht="28.8" x14ac:dyDescent="0.3">
      <c r="A113" s="27" t="s">
        <v>103</v>
      </c>
      <c r="B113" s="34"/>
      <c r="E113" s="36" t="s">
        <v>5362</v>
      </c>
      <c r="J113" s="35"/>
    </row>
    <row r="114" spans="1:16" ht="28.8" x14ac:dyDescent="0.3">
      <c r="A114" s="27" t="s">
        <v>103</v>
      </c>
      <c r="B114" s="34"/>
      <c r="E114" s="36" t="s">
        <v>5363</v>
      </c>
      <c r="J114" s="35"/>
    </row>
    <row r="115" spans="1:16" ht="28.8" x14ac:dyDescent="0.3">
      <c r="A115" s="27" t="s">
        <v>103</v>
      </c>
      <c r="B115" s="34"/>
      <c r="E115" s="36" t="s">
        <v>5364</v>
      </c>
      <c r="J115" s="35"/>
    </row>
    <row r="116" spans="1:16" ht="28.8" x14ac:dyDescent="0.3">
      <c r="A116" s="27" t="s">
        <v>103</v>
      </c>
      <c r="B116" s="34"/>
      <c r="E116" s="36" t="s">
        <v>5365</v>
      </c>
      <c r="J116" s="35"/>
    </row>
    <row r="117" spans="1:16" x14ac:dyDescent="0.3">
      <c r="A117" s="27" t="s">
        <v>103</v>
      </c>
      <c r="B117" s="34"/>
      <c r="E117" s="36" t="s">
        <v>5366</v>
      </c>
      <c r="J117" s="35"/>
    </row>
    <row r="118" spans="1:16" ht="216" x14ac:dyDescent="0.3">
      <c r="A118" s="27" t="s">
        <v>105</v>
      </c>
      <c r="B118" s="34"/>
      <c r="E118" s="29" t="s">
        <v>5367</v>
      </c>
      <c r="J118" s="35"/>
    </row>
    <row r="119" spans="1:16" x14ac:dyDescent="0.3">
      <c r="A119" s="27" t="s">
        <v>95</v>
      </c>
      <c r="B119" s="27">
        <v>13</v>
      </c>
      <c r="C119" s="28" t="s">
        <v>5354</v>
      </c>
      <c r="D119" s="27" t="s">
        <v>107</v>
      </c>
      <c r="E119" s="29" t="s">
        <v>5355</v>
      </c>
      <c r="F119" s="30" t="s">
        <v>237</v>
      </c>
      <c r="G119" s="31">
        <v>1549.64</v>
      </c>
      <c r="H119" s="32">
        <v>0</v>
      </c>
      <c r="I119" s="32">
        <f>ROUND(1549.64*H119,P4)</f>
        <v>0</v>
      </c>
      <c r="J119" s="30" t="s">
        <v>118</v>
      </c>
      <c r="O119" s="33">
        <f>I119*0.21</f>
        <v>0</v>
      </c>
      <c r="P119">
        <v>3</v>
      </c>
    </row>
    <row r="120" spans="1:16" ht="288" x14ac:dyDescent="0.3">
      <c r="A120" s="27" t="s">
        <v>101</v>
      </c>
      <c r="B120" s="34"/>
      <c r="E120" s="29" t="s">
        <v>5368</v>
      </c>
      <c r="J120" s="35"/>
    </row>
    <row r="121" spans="1:16" ht="28.8" x14ac:dyDescent="0.3">
      <c r="A121" s="27" t="s">
        <v>103</v>
      </c>
      <c r="B121" s="34"/>
      <c r="E121" s="36" t="s">
        <v>5369</v>
      </c>
      <c r="J121" s="35"/>
    </row>
    <row r="122" spans="1:16" ht="28.8" x14ac:dyDescent="0.3">
      <c r="A122" s="27" t="s">
        <v>103</v>
      </c>
      <c r="B122" s="34"/>
      <c r="E122" s="36" t="s">
        <v>5370</v>
      </c>
      <c r="J122" s="35"/>
    </row>
    <row r="123" spans="1:16" ht="28.8" x14ac:dyDescent="0.3">
      <c r="A123" s="27" t="s">
        <v>103</v>
      </c>
      <c r="B123" s="34"/>
      <c r="E123" s="36" t="s">
        <v>5371</v>
      </c>
      <c r="J123" s="35"/>
    </row>
    <row r="124" spans="1:16" ht="28.8" x14ac:dyDescent="0.3">
      <c r="A124" s="27" t="s">
        <v>103</v>
      </c>
      <c r="B124" s="34"/>
      <c r="E124" s="36" t="s">
        <v>5372</v>
      </c>
      <c r="J124" s="35"/>
    </row>
    <row r="125" spans="1:16" ht="28.8" x14ac:dyDescent="0.3">
      <c r="A125" s="27" t="s">
        <v>103</v>
      </c>
      <c r="B125" s="34"/>
      <c r="E125" s="36" t="s">
        <v>5373</v>
      </c>
      <c r="J125" s="35"/>
    </row>
    <row r="126" spans="1:16" ht="28.8" x14ac:dyDescent="0.3">
      <c r="A126" s="27" t="s">
        <v>103</v>
      </c>
      <c r="B126" s="34"/>
      <c r="E126" s="36" t="s">
        <v>5374</v>
      </c>
      <c r="J126" s="35"/>
    </row>
    <row r="127" spans="1:16" ht="28.8" x14ac:dyDescent="0.3">
      <c r="A127" s="27" t="s">
        <v>103</v>
      </c>
      <c r="B127" s="34"/>
      <c r="E127" s="36" t="s">
        <v>5375</v>
      </c>
      <c r="J127" s="35"/>
    </row>
    <row r="128" spans="1:16" ht="28.8" x14ac:dyDescent="0.3">
      <c r="A128" s="27" t="s">
        <v>103</v>
      </c>
      <c r="B128" s="34"/>
      <c r="E128" s="36" t="s">
        <v>5376</v>
      </c>
      <c r="J128" s="35"/>
    </row>
    <row r="129" spans="1:16" ht="28.8" x14ac:dyDescent="0.3">
      <c r="A129" s="27" t="s">
        <v>103</v>
      </c>
      <c r="B129" s="34"/>
      <c r="E129" s="36" t="s">
        <v>5377</v>
      </c>
      <c r="J129" s="35"/>
    </row>
    <row r="130" spans="1:16" x14ac:dyDescent="0.3">
      <c r="A130" s="27" t="s">
        <v>103</v>
      </c>
      <c r="B130" s="34"/>
      <c r="E130" s="36" t="s">
        <v>5366</v>
      </c>
      <c r="J130" s="35"/>
    </row>
    <row r="131" spans="1:16" ht="216" x14ac:dyDescent="0.3">
      <c r="A131" s="27" t="s">
        <v>105</v>
      </c>
      <c r="B131" s="34"/>
      <c r="E131" s="29" t="s">
        <v>5367</v>
      </c>
      <c r="J131" s="35"/>
    </row>
    <row r="132" spans="1:16" x14ac:dyDescent="0.3">
      <c r="A132" s="27" t="s">
        <v>95</v>
      </c>
      <c r="B132" s="27">
        <v>14</v>
      </c>
      <c r="C132" s="28" t="s">
        <v>5354</v>
      </c>
      <c r="D132" s="27" t="s">
        <v>116</v>
      </c>
      <c r="E132" s="29" t="s">
        <v>5355</v>
      </c>
      <c r="F132" s="30" t="s">
        <v>237</v>
      </c>
      <c r="G132" s="31">
        <v>1549.64</v>
      </c>
      <c r="H132" s="32">
        <v>0</v>
      </c>
      <c r="I132" s="32">
        <f>ROUND(1549.64*H132,P4)</f>
        <v>0</v>
      </c>
      <c r="J132" s="30" t="s">
        <v>118</v>
      </c>
      <c r="O132" s="33">
        <f>I132*0.21</f>
        <v>0</v>
      </c>
      <c r="P132">
        <v>3</v>
      </c>
    </row>
    <row r="133" spans="1:16" ht="288" x14ac:dyDescent="0.3">
      <c r="A133" s="27" t="s">
        <v>101</v>
      </c>
      <c r="B133" s="34"/>
      <c r="E133" s="29" t="s">
        <v>5378</v>
      </c>
      <c r="J133" s="35"/>
    </row>
    <row r="134" spans="1:16" ht="28.8" x14ac:dyDescent="0.3">
      <c r="A134" s="27" t="s">
        <v>103</v>
      </c>
      <c r="B134" s="34"/>
      <c r="E134" s="36" t="s">
        <v>5379</v>
      </c>
      <c r="J134" s="35"/>
    </row>
    <row r="135" spans="1:16" ht="28.8" x14ac:dyDescent="0.3">
      <c r="A135" s="27" t="s">
        <v>103</v>
      </c>
      <c r="B135" s="34"/>
      <c r="E135" s="36" t="s">
        <v>5380</v>
      </c>
      <c r="J135" s="35"/>
    </row>
    <row r="136" spans="1:16" ht="28.8" x14ac:dyDescent="0.3">
      <c r="A136" s="27" t="s">
        <v>103</v>
      </c>
      <c r="B136" s="34"/>
      <c r="E136" s="36" t="s">
        <v>5381</v>
      </c>
      <c r="J136" s="35"/>
    </row>
    <row r="137" spans="1:16" ht="28.8" x14ac:dyDescent="0.3">
      <c r="A137" s="27" t="s">
        <v>103</v>
      </c>
      <c r="B137" s="34"/>
      <c r="E137" s="36" t="s">
        <v>5382</v>
      </c>
      <c r="J137" s="35"/>
    </row>
    <row r="138" spans="1:16" ht="28.8" x14ac:dyDescent="0.3">
      <c r="A138" s="27" t="s">
        <v>103</v>
      </c>
      <c r="B138" s="34"/>
      <c r="E138" s="36" t="s">
        <v>5383</v>
      </c>
      <c r="J138" s="35"/>
    </row>
    <row r="139" spans="1:16" ht="28.8" x14ac:dyDescent="0.3">
      <c r="A139" s="27" t="s">
        <v>103</v>
      </c>
      <c r="B139" s="34"/>
      <c r="E139" s="36" t="s">
        <v>5384</v>
      </c>
      <c r="J139" s="35"/>
    </row>
    <row r="140" spans="1:16" ht="28.8" x14ac:dyDescent="0.3">
      <c r="A140" s="27" t="s">
        <v>103</v>
      </c>
      <c r="B140" s="34"/>
      <c r="E140" s="36" t="s">
        <v>5385</v>
      </c>
      <c r="J140" s="35"/>
    </row>
    <row r="141" spans="1:16" ht="28.8" x14ac:dyDescent="0.3">
      <c r="A141" s="27" t="s">
        <v>103</v>
      </c>
      <c r="B141" s="34"/>
      <c r="E141" s="36" t="s">
        <v>5386</v>
      </c>
      <c r="J141" s="35"/>
    </row>
    <row r="142" spans="1:16" ht="28.8" x14ac:dyDescent="0.3">
      <c r="A142" s="27" t="s">
        <v>103</v>
      </c>
      <c r="B142" s="34"/>
      <c r="E142" s="36" t="s">
        <v>5387</v>
      </c>
      <c r="J142" s="35"/>
    </row>
    <row r="143" spans="1:16" x14ac:dyDescent="0.3">
      <c r="A143" s="27" t="s">
        <v>103</v>
      </c>
      <c r="B143" s="34"/>
      <c r="E143" s="36" t="s">
        <v>5366</v>
      </c>
      <c r="J143" s="35"/>
    </row>
    <row r="144" spans="1:16" ht="216" x14ac:dyDescent="0.3">
      <c r="A144" s="27" t="s">
        <v>105</v>
      </c>
      <c r="B144" s="34"/>
      <c r="E144" s="29" t="s">
        <v>5367</v>
      </c>
      <c r="J144" s="35"/>
    </row>
    <row r="145" spans="1:16" x14ac:dyDescent="0.3">
      <c r="A145" s="21" t="s">
        <v>92</v>
      </c>
      <c r="B145" s="22"/>
      <c r="C145" s="23" t="s">
        <v>1179</v>
      </c>
      <c r="D145" s="24"/>
      <c r="E145" s="21" t="s">
        <v>1180</v>
      </c>
      <c r="F145" s="24"/>
      <c r="G145" s="24"/>
      <c r="H145" s="24"/>
      <c r="I145" s="25">
        <f>SUMIFS(I146:I238,A146:A238,"P")</f>
        <v>0</v>
      </c>
      <c r="J145" s="26"/>
    </row>
    <row r="146" spans="1:16" x14ac:dyDescent="0.3">
      <c r="A146" s="27" t="s">
        <v>95</v>
      </c>
      <c r="B146" s="27">
        <v>15</v>
      </c>
      <c r="C146" s="28" t="s">
        <v>5388</v>
      </c>
      <c r="D146" s="27" t="s">
        <v>129</v>
      </c>
      <c r="E146" s="29" t="s">
        <v>5389</v>
      </c>
      <c r="F146" s="30" t="s">
        <v>237</v>
      </c>
      <c r="G146" s="31">
        <v>56.05</v>
      </c>
      <c r="H146" s="32">
        <v>0</v>
      </c>
      <c r="I146" s="32">
        <f>ROUND(56.05*H146,P4)</f>
        <v>0</v>
      </c>
      <c r="J146" s="30" t="s">
        <v>118</v>
      </c>
      <c r="O146" s="33">
        <f>I146*0.21</f>
        <v>0</v>
      </c>
      <c r="P146">
        <v>3</v>
      </c>
    </row>
    <row r="147" spans="1:16" ht="302.39999999999998" x14ac:dyDescent="0.3">
      <c r="A147" s="27" t="s">
        <v>101</v>
      </c>
      <c r="B147" s="34"/>
      <c r="E147" s="29" t="s">
        <v>5390</v>
      </c>
      <c r="J147" s="35"/>
    </row>
    <row r="148" spans="1:16" ht="28.8" x14ac:dyDescent="0.3">
      <c r="A148" s="27" t="s">
        <v>103</v>
      </c>
      <c r="B148" s="34"/>
      <c r="E148" s="36" t="s">
        <v>5391</v>
      </c>
      <c r="J148" s="35"/>
    </row>
    <row r="149" spans="1:16" ht="28.8" x14ac:dyDescent="0.3">
      <c r="A149" s="27" t="s">
        <v>103</v>
      </c>
      <c r="B149" s="34"/>
      <c r="E149" s="36" t="s">
        <v>5392</v>
      </c>
      <c r="J149" s="35"/>
    </row>
    <row r="150" spans="1:16" ht="28.8" x14ac:dyDescent="0.3">
      <c r="A150" s="27" t="s">
        <v>103</v>
      </c>
      <c r="B150" s="34"/>
      <c r="E150" s="36" t="s">
        <v>5393</v>
      </c>
      <c r="J150" s="35"/>
    </row>
    <row r="151" spans="1:16" x14ac:dyDescent="0.3">
      <c r="A151" s="27" t="s">
        <v>103</v>
      </c>
      <c r="B151" s="34"/>
      <c r="E151" s="36" t="s">
        <v>5394</v>
      </c>
      <c r="J151" s="35"/>
    </row>
    <row r="152" spans="1:16" ht="302.39999999999998" x14ac:dyDescent="0.3">
      <c r="A152" s="27" t="s">
        <v>105</v>
      </c>
      <c r="B152" s="34"/>
      <c r="E152" s="29" t="s">
        <v>5395</v>
      </c>
      <c r="J152" s="35"/>
    </row>
    <row r="153" spans="1:16" x14ac:dyDescent="0.3">
      <c r="A153" s="27" t="s">
        <v>95</v>
      </c>
      <c r="B153" s="27">
        <v>16</v>
      </c>
      <c r="C153" s="28" t="s">
        <v>5396</v>
      </c>
      <c r="D153" s="27" t="s">
        <v>129</v>
      </c>
      <c r="E153" s="29" t="s">
        <v>5397</v>
      </c>
      <c r="F153" s="30" t="s">
        <v>117</v>
      </c>
      <c r="G153" s="31">
        <v>1</v>
      </c>
      <c r="H153" s="32">
        <v>0</v>
      </c>
      <c r="I153" s="32">
        <f>ROUND(1*H153,P4)</f>
        <v>0</v>
      </c>
      <c r="J153" s="30" t="s">
        <v>118</v>
      </c>
      <c r="O153" s="33">
        <f>I153*0.21</f>
        <v>0</v>
      </c>
      <c r="P153">
        <v>3</v>
      </c>
    </row>
    <row r="154" spans="1:16" ht="288" x14ac:dyDescent="0.3">
      <c r="A154" s="27" t="s">
        <v>101</v>
      </c>
      <c r="B154" s="34"/>
      <c r="E154" s="29" t="s">
        <v>5398</v>
      </c>
      <c r="J154" s="35"/>
    </row>
    <row r="155" spans="1:16" ht="28.8" x14ac:dyDescent="0.3">
      <c r="A155" s="27" t="s">
        <v>103</v>
      </c>
      <c r="B155" s="34"/>
      <c r="E155" s="36" t="s">
        <v>5399</v>
      </c>
      <c r="J155" s="35"/>
    </row>
    <row r="156" spans="1:16" x14ac:dyDescent="0.3">
      <c r="A156" s="27" t="s">
        <v>103</v>
      </c>
      <c r="B156" s="34"/>
      <c r="E156" s="36" t="s">
        <v>358</v>
      </c>
      <c r="J156" s="35"/>
    </row>
    <row r="157" spans="1:16" ht="302.39999999999998" x14ac:dyDescent="0.3">
      <c r="A157" s="27" t="s">
        <v>105</v>
      </c>
      <c r="B157" s="34"/>
      <c r="E157" s="29" t="s">
        <v>5400</v>
      </c>
      <c r="J157" s="35"/>
    </row>
    <row r="158" spans="1:16" x14ac:dyDescent="0.3">
      <c r="A158" s="27" t="s">
        <v>95</v>
      </c>
      <c r="B158" s="27">
        <v>17</v>
      </c>
      <c r="C158" s="28" t="s">
        <v>5401</v>
      </c>
      <c r="D158" s="27" t="s">
        <v>129</v>
      </c>
      <c r="E158" s="29" t="s">
        <v>5402</v>
      </c>
      <c r="F158" s="30" t="s">
        <v>237</v>
      </c>
      <c r="G158" s="31">
        <v>1549.64</v>
      </c>
      <c r="H158" s="32">
        <v>0</v>
      </c>
      <c r="I158" s="32">
        <f>ROUND(1549.64*H158,P4)</f>
        <v>0</v>
      </c>
      <c r="J158" s="30" t="s">
        <v>118</v>
      </c>
      <c r="O158" s="33">
        <f>I158*0.21</f>
        <v>0</v>
      </c>
      <c r="P158">
        <v>3</v>
      </c>
    </row>
    <row r="159" spans="1:16" ht="288" x14ac:dyDescent="0.3">
      <c r="A159" s="27" t="s">
        <v>101</v>
      </c>
      <c r="B159" s="34"/>
      <c r="E159" s="29" t="s">
        <v>5368</v>
      </c>
      <c r="J159" s="35"/>
    </row>
    <row r="160" spans="1:16" ht="28.8" x14ac:dyDescent="0.3">
      <c r="A160" s="27" t="s">
        <v>103</v>
      </c>
      <c r="B160" s="34"/>
      <c r="E160" s="36" t="s">
        <v>5369</v>
      </c>
      <c r="J160" s="35"/>
    </row>
    <row r="161" spans="1:16" ht="28.8" x14ac:dyDescent="0.3">
      <c r="A161" s="27" t="s">
        <v>103</v>
      </c>
      <c r="B161" s="34"/>
      <c r="E161" s="36" t="s">
        <v>5370</v>
      </c>
      <c r="J161" s="35"/>
    </row>
    <row r="162" spans="1:16" ht="28.8" x14ac:dyDescent="0.3">
      <c r="A162" s="27" t="s">
        <v>103</v>
      </c>
      <c r="B162" s="34"/>
      <c r="E162" s="36" t="s">
        <v>5371</v>
      </c>
      <c r="J162" s="35"/>
    </row>
    <row r="163" spans="1:16" ht="28.8" x14ac:dyDescent="0.3">
      <c r="A163" s="27" t="s">
        <v>103</v>
      </c>
      <c r="B163" s="34"/>
      <c r="E163" s="36" t="s">
        <v>5372</v>
      </c>
      <c r="J163" s="35"/>
    </row>
    <row r="164" spans="1:16" ht="28.8" x14ac:dyDescent="0.3">
      <c r="A164" s="27" t="s">
        <v>103</v>
      </c>
      <c r="B164" s="34"/>
      <c r="E164" s="36" t="s">
        <v>5373</v>
      </c>
      <c r="J164" s="35"/>
    </row>
    <row r="165" spans="1:16" ht="28.8" x14ac:dyDescent="0.3">
      <c r="A165" s="27" t="s">
        <v>103</v>
      </c>
      <c r="B165" s="34"/>
      <c r="E165" s="36" t="s">
        <v>5374</v>
      </c>
      <c r="J165" s="35"/>
    </row>
    <row r="166" spans="1:16" ht="28.8" x14ac:dyDescent="0.3">
      <c r="A166" s="27" t="s">
        <v>103</v>
      </c>
      <c r="B166" s="34"/>
      <c r="E166" s="36" t="s">
        <v>5375</v>
      </c>
      <c r="J166" s="35"/>
    </row>
    <row r="167" spans="1:16" ht="28.8" x14ac:dyDescent="0.3">
      <c r="A167" s="27" t="s">
        <v>103</v>
      </c>
      <c r="B167" s="34"/>
      <c r="E167" s="36" t="s">
        <v>5376</v>
      </c>
      <c r="J167" s="35"/>
    </row>
    <row r="168" spans="1:16" ht="28.8" x14ac:dyDescent="0.3">
      <c r="A168" s="27" t="s">
        <v>103</v>
      </c>
      <c r="B168" s="34"/>
      <c r="E168" s="36" t="s">
        <v>5377</v>
      </c>
      <c r="J168" s="35"/>
    </row>
    <row r="169" spans="1:16" x14ac:dyDescent="0.3">
      <c r="A169" s="27" t="s">
        <v>103</v>
      </c>
      <c r="B169" s="34"/>
      <c r="E169" s="36" t="s">
        <v>5366</v>
      </c>
      <c r="J169" s="35"/>
    </row>
    <row r="170" spans="1:16" ht="57.6" x14ac:dyDescent="0.3">
      <c r="A170" s="27" t="s">
        <v>105</v>
      </c>
      <c r="B170" s="34"/>
      <c r="E170" s="29" t="s">
        <v>5403</v>
      </c>
      <c r="J170" s="35"/>
    </row>
    <row r="171" spans="1:16" x14ac:dyDescent="0.3">
      <c r="A171" s="27" t="s">
        <v>95</v>
      </c>
      <c r="B171" s="27">
        <v>18</v>
      </c>
      <c r="C171" s="28" t="s">
        <v>2632</v>
      </c>
      <c r="D171" s="27" t="s">
        <v>129</v>
      </c>
      <c r="E171" s="29" t="s">
        <v>2633</v>
      </c>
      <c r="F171" s="30" t="s">
        <v>237</v>
      </c>
      <c r="G171" s="31">
        <v>1549.63</v>
      </c>
      <c r="H171" s="32">
        <v>0</v>
      </c>
      <c r="I171" s="32">
        <f>ROUND(1549.63*H171,P4)</f>
        <v>0</v>
      </c>
      <c r="J171" s="30" t="s">
        <v>118</v>
      </c>
      <c r="O171" s="33">
        <f>I171*0.21</f>
        <v>0</v>
      </c>
      <c r="P171">
        <v>3</v>
      </c>
    </row>
    <row r="172" spans="1:16" ht="288" x14ac:dyDescent="0.3">
      <c r="A172" s="27" t="s">
        <v>101</v>
      </c>
      <c r="B172" s="34"/>
      <c r="E172" s="29" t="s">
        <v>5404</v>
      </c>
      <c r="J172" s="35"/>
    </row>
    <row r="173" spans="1:16" ht="28.8" x14ac:dyDescent="0.3">
      <c r="A173" s="27" t="s">
        <v>103</v>
      </c>
      <c r="B173" s="34"/>
      <c r="E173" s="36" t="s">
        <v>5405</v>
      </c>
      <c r="J173" s="35"/>
    </row>
    <row r="174" spans="1:16" ht="28.8" x14ac:dyDescent="0.3">
      <c r="A174" s="27" t="s">
        <v>103</v>
      </c>
      <c r="B174" s="34"/>
      <c r="E174" s="36" t="s">
        <v>5406</v>
      </c>
      <c r="J174" s="35"/>
    </row>
    <row r="175" spans="1:16" x14ac:dyDescent="0.3">
      <c r="A175" s="27" t="s">
        <v>103</v>
      </c>
      <c r="B175" s="34"/>
      <c r="E175" s="36" t="s">
        <v>5407</v>
      </c>
      <c r="J175" s="35"/>
    </row>
    <row r="176" spans="1:16" ht="43.2" x14ac:dyDescent="0.3">
      <c r="A176" s="27" t="s">
        <v>105</v>
      </c>
      <c r="B176" s="34"/>
      <c r="E176" s="29" t="s">
        <v>2664</v>
      </c>
      <c r="J176" s="35"/>
    </row>
    <row r="177" spans="1:16" x14ac:dyDescent="0.3">
      <c r="A177" s="27" t="s">
        <v>95</v>
      </c>
      <c r="B177" s="27">
        <v>19</v>
      </c>
      <c r="C177" s="28" t="s">
        <v>5408</v>
      </c>
      <c r="D177" s="27" t="s">
        <v>129</v>
      </c>
      <c r="E177" s="29" t="s">
        <v>5409</v>
      </c>
      <c r="F177" s="30" t="s">
        <v>237</v>
      </c>
      <c r="G177" s="31">
        <v>4648.92</v>
      </c>
      <c r="H177" s="32">
        <v>0</v>
      </c>
      <c r="I177" s="32">
        <f>ROUND(4648.92*H177,P4)</f>
        <v>0</v>
      </c>
      <c r="J177" s="30" t="s">
        <v>118</v>
      </c>
      <c r="O177" s="33">
        <f>I177*0.21</f>
        <v>0</v>
      </c>
      <c r="P177">
        <v>3</v>
      </c>
    </row>
    <row r="178" spans="1:16" ht="288" x14ac:dyDescent="0.3">
      <c r="A178" s="27" t="s">
        <v>101</v>
      </c>
      <c r="B178" s="34"/>
      <c r="E178" s="29" t="s">
        <v>5368</v>
      </c>
      <c r="J178" s="35"/>
    </row>
    <row r="179" spans="1:16" ht="28.8" x14ac:dyDescent="0.3">
      <c r="A179" s="27" t="s">
        <v>103</v>
      </c>
      <c r="B179" s="34"/>
      <c r="E179" s="36" t="s">
        <v>5369</v>
      </c>
      <c r="J179" s="35"/>
    </row>
    <row r="180" spans="1:16" ht="28.8" x14ac:dyDescent="0.3">
      <c r="A180" s="27" t="s">
        <v>103</v>
      </c>
      <c r="B180" s="34"/>
      <c r="E180" s="36" t="s">
        <v>5410</v>
      </c>
      <c r="J180" s="35"/>
    </row>
    <row r="181" spans="1:16" ht="28.8" x14ac:dyDescent="0.3">
      <c r="A181" s="27" t="s">
        <v>103</v>
      </c>
      <c r="B181" s="34"/>
      <c r="E181" s="36" t="s">
        <v>5411</v>
      </c>
      <c r="J181" s="35"/>
    </row>
    <row r="182" spans="1:16" ht="28.8" x14ac:dyDescent="0.3">
      <c r="A182" s="27" t="s">
        <v>103</v>
      </c>
      <c r="B182" s="34"/>
      <c r="E182" s="36" t="s">
        <v>5412</v>
      </c>
      <c r="J182" s="35"/>
    </row>
    <row r="183" spans="1:16" ht="28.8" x14ac:dyDescent="0.3">
      <c r="A183" s="27" t="s">
        <v>103</v>
      </c>
      <c r="B183" s="34"/>
      <c r="E183" s="36" t="s">
        <v>5413</v>
      </c>
      <c r="J183" s="35"/>
    </row>
    <row r="184" spans="1:16" ht="28.8" x14ac:dyDescent="0.3">
      <c r="A184" s="27" t="s">
        <v>103</v>
      </c>
      <c r="B184" s="34"/>
      <c r="E184" s="36" t="s">
        <v>5414</v>
      </c>
      <c r="J184" s="35"/>
    </row>
    <row r="185" spans="1:16" ht="28.8" x14ac:dyDescent="0.3">
      <c r="A185" s="27" t="s">
        <v>103</v>
      </c>
      <c r="B185" s="34"/>
      <c r="E185" s="36" t="s">
        <v>5415</v>
      </c>
      <c r="J185" s="35"/>
    </row>
    <row r="186" spans="1:16" ht="28.8" x14ac:dyDescent="0.3">
      <c r="A186" s="27" t="s">
        <v>103</v>
      </c>
      <c r="B186" s="34"/>
      <c r="E186" s="36" t="s">
        <v>5416</v>
      </c>
      <c r="J186" s="35"/>
    </row>
    <row r="187" spans="1:16" ht="28.8" x14ac:dyDescent="0.3">
      <c r="A187" s="27" t="s">
        <v>103</v>
      </c>
      <c r="B187" s="34"/>
      <c r="E187" s="36" t="s">
        <v>5417</v>
      </c>
      <c r="J187" s="35"/>
    </row>
    <row r="188" spans="1:16" ht="28.8" x14ac:dyDescent="0.3">
      <c r="A188" s="27" t="s">
        <v>103</v>
      </c>
      <c r="B188" s="34"/>
      <c r="E188" s="36" t="s">
        <v>5418</v>
      </c>
      <c r="J188" s="35"/>
    </row>
    <row r="189" spans="1:16" ht="28.8" x14ac:dyDescent="0.3">
      <c r="A189" s="27" t="s">
        <v>103</v>
      </c>
      <c r="B189" s="34"/>
      <c r="E189" s="36" t="s">
        <v>5419</v>
      </c>
      <c r="J189" s="35"/>
    </row>
    <row r="190" spans="1:16" ht="28.8" x14ac:dyDescent="0.3">
      <c r="A190" s="27" t="s">
        <v>103</v>
      </c>
      <c r="B190" s="34"/>
      <c r="E190" s="36" t="s">
        <v>5420</v>
      </c>
      <c r="J190" s="35"/>
    </row>
    <row r="191" spans="1:16" ht="28.8" x14ac:dyDescent="0.3">
      <c r="A191" s="27" t="s">
        <v>103</v>
      </c>
      <c r="B191" s="34"/>
      <c r="E191" s="36" t="s">
        <v>5421</v>
      </c>
      <c r="J191" s="35"/>
    </row>
    <row r="192" spans="1:16" ht="28.8" x14ac:dyDescent="0.3">
      <c r="A192" s="27" t="s">
        <v>103</v>
      </c>
      <c r="B192" s="34"/>
      <c r="E192" s="36" t="s">
        <v>5422</v>
      </c>
      <c r="J192" s="35"/>
    </row>
    <row r="193" spans="1:16" ht="28.8" x14ac:dyDescent="0.3">
      <c r="A193" s="27" t="s">
        <v>103</v>
      </c>
      <c r="B193" s="34"/>
      <c r="E193" s="36" t="s">
        <v>5423</v>
      </c>
      <c r="J193" s="35"/>
    </row>
    <row r="194" spans="1:16" ht="28.8" x14ac:dyDescent="0.3">
      <c r="A194" s="27" t="s">
        <v>103</v>
      </c>
      <c r="B194" s="34"/>
      <c r="E194" s="36" t="s">
        <v>5424</v>
      </c>
      <c r="J194" s="35"/>
    </row>
    <row r="195" spans="1:16" ht="28.8" x14ac:dyDescent="0.3">
      <c r="A195" s="27" t="s">
        <v>103</v>
      </c>
      <c r="B195" s="34"/>
      <c r="E195" s="36" t="s">
        <v>5425</v>
      </c>
      <c r="J195" s="35"/>
    </row>
    <row r="196" spans="1:16" ht="28.8" x14ac:dyDescent="0.3">
      <c r="A196" s="27" t="s">
        <v>103</v>
      </c>
      <c r="B196" s="34"/>
      <c r="E196" s="36" t="s">
        <v>5426</v>
      </c>
      <c r="J196" s="35"/>
    </row>
    <row r="197" spans="1:16" ht="28.8" x14ac:dyDescent="0.3">
      <c r="A197" s="27" t="s">
        <v>103</v>
      </c>
      <c r="B197" s="34"/>
      <c r="E197" s="36" t="s">
        <v>5427</v>
      </c>
      <c r="J197" s="35"/>
    </row>
    <row r="198" spans="1:16" ht="28.8" x14ac:dyDescent="0.3">
      <c r="A198" s="27" t="s">
        <v>103</v>
      </c>
      <c r="B198" s="34"/>
      <c r="E198" s="36" t="s">
        <v>5428</v>
      </c>
      <c r="J198" s="35"/>
    </row>
    <row r="199" spans="1:16" ht="28.8" x14ac:dyDescent="0.3">
      <c r="A199" s="27" t="s">
        <v>103</v>
      </c>
      <c r="B199" s="34"/>
      <c r="E199" s="36" t="s">
        <v>5429</v>
      </c>
      <c r="J199" s="35"/>
    </row>
    <row r="200" spans="1:16" ht="28.8" x14ac:dyDescent="0.3">
      <c r="A200" s="27" t="s">
        <v>103</v>
      </c>
      <c r="B200" s="34"/>
      <c r="E200" s="36" t="s">
        <v>5430</v>
      </c>
      <c r="J200" s="35"/>
    </row>
    <row r="201" spans="1:16" ht="28.8" x14ac:dyDescent="0.3">
      <c r="A201" s="27" t="s">
        <v>103</v>
      </c>
      <c r="B201" s="34"/>
      <c r="E201" s="36" t="s">
        <v>5431</v>
      </c>
      <c r="J201" s="35"/>
    </row>
    <row r="202" spans="1:16" ht="28.8" x14ac:dyDescent="0.3">
      <c r="A202" s="27" t="s">
        <v>103</v>
      </c>
      <c r="B202" s="34"/>
      <c r="E202" s="36" t="s">
        <v>5432</v>
      </c>
      <c r="J202" s="35"/>
    </row>
    <row r="203" spans="1:16" ht="28.8" x14ac:dyDescent="0.3">
      <c r="A203" s="27" t="s">
        <v>103</v>
      </c>
      <c r="B203" s="34"/>
      <c r="E203" s="36" t="s">
        <v>5433</v>
      </c>
      <c r="J203" s="35"/>
    </row>
    <row r="204" spans="1:16" ht="28.8" x14ac:dyDescent="0.3">
      <c r="A204" s="27" t="s">
        <v>103</v>
      </c>
      <c r="B204" s="34"/>
      <c r="E204" s="36" t="s">
        <v>5434</v>
      </c>
      <c r="J204" s="35"/>
    </row>
    <row r="205" spans="1:16" ht="28.8" x14ac:dyDescent="0.3">
      <c r="A205" s="27" t="s">
        <v>103</v>
      </c>
      <c r="B205" s="34"/>
      <c r="E205" s="36" t="s">
        <v>5435</v>
      </c>
      <c r="J205" s="35"/>
    </row>
    <row r="206" spans="1:16" x14ac:dyDescent="0.3">
      <c r="A206" s="27" t="s">
        <v>103</v>
      </c>
      <c r="B206" s="34"/>
      <c r="E206" s="36" t="s">
        <v>5436</v>
      </c>
      <c r="J206" s="35"/>
    </row>
    <row r="207" spans="1:16" ht="28.8" x14ac:dyDescent="0.3">
      <c r="A207" s="27" t="s">
        <v>105</v>
      </c>
      <c r="B207" s="34"/>
      <c r="E207" s="29" t="s">
        <v>5437</v>
      </c>
      <c r="J207" s="35"/>
    </row>
    <row r="208" spans="1:16" x14ac:dyDescent="0.3">
      <c r="A208" s="27" t="s">
        <v>95</v>
      </c>
      <c r="B208" s="27">
        <v>20</v>
      </c>
      <c r="C208" s="28" t="s">
        <v>5438</v>
      </c>
      <c r="D208" s="27" t="s">
        <v>129</v>
      </c>
      <c r="E208" s="29" t="s">
        <v>5439</v>
      </c>
      <c r="F208" s="30" t="s">
        <v>237</v>
      </c>
      <c r="G208" s="31">
        <v>4648.92</v>
      </c>
      <c r="H208" s="32">
        <v>0</v>
      </c>
      <c r="I208" s="32">
        <f>ROUND(4648.92*H208,P4)</f>
        <v>0</v>
      </c>
      <c r="J208" s="30" t="s">
        <v>118</v>
      </c>
      <c r="O208" s="33">
        <f>I208*0.21</f>
        <v>0</v>
      </c>
      <c r="P208">
        <v>3</v>
      </c>
    </row>
    <row r="209" spans="1:10" ht="288" x14ac:dyDescent="0.3">
      <c r="A209" s="27" t="s">
        <v>101</v>
      </c>
      <c r="B209" s="34"/>
      <c r="E209" s="29" t="s">
        <v>5368</v>
      </c>
      <c r="J209" s="35"/>
    </row>
    <row r="210" spans="1:10" ht="28.8" x14ac:dyDescent="0.3">
      <c r="A210" s="27" t="s">
        <v>103</v>
      </c>
      <c r="B210" s="34"/>
      <c r="E210" s="36" t="s">
        <v>5369</v>
      </c>
      <c r="J210" s="35"/>
    </row>
    <row r="211" spans="1:10" ht="28.8" x14ac:dyDescent="0.3">
      <c r="A211" s="27" t="s">
        <v>103</v>
      </c>
      <c r="B211" s="34"/>
      <c r="E211" s="36" t="s">
        <v>5410</v>
      </c>
      <c r="J211" s="35"/>
    </row>
    <row r="212" spans="1:10" ht="28.8" x14ac:dyDescent="0.3">
      <c r="A212" s="27" t="s">
        <v>103</v>
      </c>
      <c r="B212" s="34"/>
      <c r="E212" s="36" t="s">
        <v>5411</v>
      </c>
      <c r="J212" s="35"/>
    </row>
    <row r="213" spans="1:10" ht="28.8" x14ac:dyDescent="0.3">
      <c r="A213" s="27" t="s">
        <v>103</v>
      </c>
      <c r="B213" s="34"/>
      <c r="E213" s="36" t="s">
        <v>5412</v>
      </c>
      <c r="J213" s="35"/>
    </row>
    <row r="214" spans="1:10" ht="28.8" x14ac:dyDescent="0.3">
      <c r="A214" s="27" t="s">
        <v>103</v>
      </c>
      <c r="B214" s="34"/>
      <c r="E214" s="36" t="s">
        <v>5413</v>
      </c>
      <c r="J214" s="35"/>
    </row>
    <row r="215" spans="1:10" ht="28.8" x14ac:dyDescent="0.3">
      <c r="A215" s="27" t="s">
        <v>103</v>
      </c>
      <c r="B215" s="34"/>
      <c r="E215" s="36" t="s">
        <v>5414</v>
      </c>
      <c r="J215" s="35"/>
    </row>
    <row r="216" spans="1:10" ht="28.8" x14ac:dyDescent="0.3">
      <c r="A216" s="27" t="s">
        <v>103</v>
      </c>
      <c r="B216" s="34"/>
      <c r="E216" s="36" t="s">
        <v>5415</v>
      </c>
      <c r="J216" s="35"/>
    </row>
    <row r="217" spans="1:10" ht="28.8" x14ac:dyDescent="0.3">
      <c r="A217" s="27" t="s">
        <v>103</v>
      </c>
      <c r="B217" s="34"/>
      <c r="E217" s="36" t="s">
        <v>5416</v>
      </c>
      <c r="J217" s="35"/>
    </row>
    <row r="218" spans="1:10" ht="28.8" x14ac:dyDescent="0.3">
      <c r="A218" s="27" t="s">
        <v>103</v>
      </c>
      <c r="B218" s="34"/>
      <c r="E218" s="36" t="s">
        <v>5417</v>
      </c>
      <c r="J218" s="35"/>
    </row>
    <row r="219" spans="1:10" ht="28.8" x14ac:dyDescent="0.3">
      <c r="A219" s="27" t="s">
        <v>103</v>
      </c>
      <c r="B219" s="34"/>
      <c r="E219" s="36" t="s">
        <v>5418</v>
      </c>
      <c r="J219" s="35"/>
    </row>
    <row r="220" spans="1:10" ht="28.8" x14ac:dyDescent="0.3">
      <c r="A220" s="27" t="s">
        <v>103</v>
      </c>
      <c r="B220" s="34"/>
      <c r="E220" s="36" t="s">
        <v>5419</v>
      </c>
      <c r="J220" s="35"/>
    </row>
    <row r="221" spans="1:10" ht="28.8" x14ac:dyDescent="0.3">
      <c r="A221" s="27" t="s">
        <v>103</v>
      </c>
      <c r="B221" s="34"/>
      <c r="E221" s="36" t="s">
        <v>5420</v>
      </c>
      <c r="J221" s="35"/>
    </row>
    <row r="222" spans="1:10" ht="28.8" x14ac:dyDescent="0.3">
      <c r="A222" s="27" t="s">
        <v>103</v>
      </c>
      <c r="B222" s="34"/>
      <c r="E222" s="36" t="s">
        <v>5421</v>
      </c>
      <c r="J222" s="35"/>
    </row>
    <row r="223" spans="1:10" ht="28.8" x14ac:dyDescent="0.3">
      <c r="A223" s="27" t="s">
        <v>103</v>
      </c>
      <c r="B223" s="34"/>
      <c r="E223" s="36" t="s">
        <v>5422</v>
      </c>
      <c r="J223" s="35"/>
    </row>
    <row r="224" spans="1:10" ht="28.8" x14ac:dyDescent="0.3">
      <c r="A224" s="27" t="s">
        <v>103</v>
      </c>
      <c r="B224" s="34"/>
      <c r="E224" s="36" t="s">
        <v>5423</v>
      </c>
      <c r="J224" s="35"/>
    </row>
    <row r="225" spans="1:10" ht="28.8" x14ac:dyDescent="0.3">
      <c r="A225" s="27" t="s">
        <v>103</v>
      </c>
      <c r="B225" s="34"/>
      <c r="E225" s="36" t="s">
        <v>5424</v>
      </c>
      <c r="J225" s="35"/>
    </row>
    <row r="226" spans="1:10" ht="28.8" x14ac:dyDescent="0.3">
      <c r="A226" s="27" t="s">
        <v>103</v>
      </c>
      <c r="B226" s="34"/>
      <c r="E226" s="36" t="s">
        <v>5425</v>
      </c>
      <c r="J226" s="35"/>
    </row>
    <row r="227" spans="1:10" ht="28.8" x14ac:dyDescent="0.3">
      <c r="A227" s="27" t="s">
        <v>103</v>
      </c>
      <c r="B227" s="34"/>
      <c r="E227" s="36" t="s">
        <v>5426</v>
      </c>
      <c r="J227" s="35"/>
    </row>
    <row r="228" spans="1:10" ht="28.8" x14ac:dyDescent="0.3">
      <c r="A228" s="27" t="s">
        <v>103</v>
      </c>
      <c r="B228" s="34"/>
      <c r="E228" s="36" t="s">
        <v>5427</v>
      </c>
      <c r="J228" s="35"/>
    </row>
    <row r="229" spans="1:10" ht="28.8" x14ac:dyDescent="0.3">
      <c r="A229" s="27" t="s">
        <v>103</v>
      </c>
      <c r="B229" s="34"/>
      <c r="E229" s="36" t="s">
        <v>5428</v>
      </c>
      <c r="J229" s="35"/>
    </row>
    <row r="230" spans="1:10" ht="28.8" x14ac:dyDescent="0.3">
      <c r="A230" s="27" t="s">
        <v>103</v>
      </c>
      <c r="B230" s="34"/>
      <c r="E230" s="36" t="s">
        <v>5429</v>
      </c>
      <c r="J230" s="35"/>
    </row>
    <row r="231" spans="1:10" ht="28.8" x14ac:dyDescent="0.3">
      <c r="A231" s="27" t="s">
        <v>103</v>
      </c>
      <c r="B231" s="34"/>
      <c r="E231" s="36" t="s">
        <v>5430</v>
      </c>
      <c r="J231" s="35"/>
    </row>
    <row r="232" spans="1:10" ht="28.8" x14ac:dyDescent="0.3">
      <c r="A232" s="27" t="s">
        <v>103</v>
      </c>
      <c r="B232" s="34"/>
      <c r="E232" s="36" t="s">
        <v>5431</v>
      </c>
      <c r="J232" s="35"/>
    </row>
    <row r="233" spans="1:10" ht="28.8" x14ac:dyDescent="0.3">
      <c r="A233" s="27" t="s">
        <v>103</v>
      </c>
      <c r="B233" s="34"/>
      <c r="E233" s="36" t="s">
        <v>5432</v>
      </c>
      <c r="J233" s="35"/>
    </row>
    <row r="234" spans="1:10" ht="28.8" x14ac:dyDescent="0.3">
      <c r="A234" s="27" t="s">
        <v>103</v>
      </c>
      <c r="B234" s="34"/>
      <c r="E234" s="36" t="s">
        <v>5433</v>
      </c>
      <c r="J234" s="35"/>
    </row>
    <row r="235" spans="1:10" ht="28.8" x14ac:dyDescent="0.3">
      <c r="A235" s="27" t="s">
        <v>103</v>
      </c>
      <c r="B235" s="34"/>
      <c r="E235" s="36" t="s">
        <v>5434</v>
      </c>
      <c r="J235" s="35"/>
    </row>
    <row r="236" spans="1:10" ht="28.8" x14ac:dyDescent="0.3">
      <c r="A236" s="27" t="s">
        <v>103</v>
      </c>
      <c r="B236" s="34"/>
      <c r="E236" s="36" t="s">
        <v>5435</v>
      </c>
      <c r="J236" s="35"/>
    </row>
    <row r="237" spans="1:10" x14ac:dyDescent="0.3">
      <c r="A237" s="27" t="s">
        <v>103</v>
      </c>
      <c r="B237" s="34"/>
      <c r="E237" s="36" t="s">
        <v>5436</v>
      </c>
      <c r="J237" s="35"/>
    </row>
    <row r="238" spans="1:10" ht="72" x14ac:dyDescent="0.3">
      <c r="A238" s="27" t="s">
        <v>105</v>
      </c>
      <c r="B238" s="37"/>
      <c r="C238" s="38"/>
      <c r="D238" s="38"/>
      <c r="E238" s="29" t="s">
        <v>5190</v>
      </c>
      <c r="F238" s="38"/>
      <c r="G238" s="38"/>
      <c r="H238" s="38"/>
      <c r="I238" s="38"/>
      <c r="J238"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389"/>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62</v>
      </c>
      <c r="I3" s="16">
        <f>SUMIFS(I8:I389,A8:A389,"SD")</f>
        <v>0</v>
      </c>
      <c r="J3" s="12"/>
      <c r="O3">
        <v>0</v>
      </c>
      <c r="P3">
        <v>2</v>
      </c>
    </row>
    <row r="4" spans="1:16" x14ac:dyDescent="0.3">
      <c r="A4" s="2" t="s">
        <v>79</v>
      </c>
      <c r="B4" s="13" t="s">
        <v>80</v>
      </c>
      <c r="C4" s="43" t="s">
        <v>62</v>
      </c>
      <c r="D4" s="44"/>
      <c r="E4" s="14" t="s">
        <v>63</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SUMIFS(I9:I83,A9:A83,"P")</f>
        <v>0</v>
      </c>
      <c r="J8" s="26"/>
    </row>
    <row r="9" spans="1:16" x14ac:dyDescent="0.3">
      <c r="A9" s="27" t="s">
        <v>95</v>
      </c>
      <c r="B9" s="27">
        <v>1</v>
      </c>
      <c r="C9" s="28" t="s">
        <v>5440</v>
      </c>
      <c r="D9" s="27" t="s">
        <v>129</v>
      </c>
      <c r="E9" s="29" t="s">
        <v>5441</v>
      </c>
      <c r="F9" s="30" t="s">
        <v>229</v>
      </c>
      <c r="G9" s="31">
        <v>31.489000000000001</v>
      </c>
      <c r="H9" s="32">
        <v>0</v>
      </c>
      <c r="I9" s="32">
        <f>ROUND(31.489*H9,P4)</f>
        <v>0</v>
      </c>
      <c r="J9" s="30" t="s">
        <v>118</v>
      </c>
      <c r="O9" s="33">
        <f>I9*0.21</f>
        <v>0</v>
      </c>
      <c r="P9">
        <v>3</v>
      </c>
    </row>
    <row r="10" spans="1:16" ht="115.2" x14ac:dyDescent="0.3">
      <c r="A10" s="27" t="s">
        <v>101</v>
      </c>
      <c r="B10" s="34"/>
      <c r="E10" s="29" t="s">
        <v>5442</v>
      </c>
      <c r="J10" s="35"/>
    </row>
    <row r="11" spans="1:16" ht="28.8" x14ac:dyDescent="0.3">
      <c r="A11" s="27" t="s">
        <v>103</v>
      </c>
      <c r="B11" s="34"/>
      <c r="E11" s="36" t="s">
        <v>5443</v>
      </c>
      <c r="J11" s="35"/>
    </row>
    <row r="12" spans="1:16" ht="28.8" x14ac:dyDescent="0.3">
      <c r="A12" s="27" t="s">
        <v>103</v>
      </c>
      <c r="B12" s="34"/>
      <c r="E12" s="36" t="s">
        <v>5444</v>
      </c>
      <c r="J12" s="35"/>
    </row>
    <row r="13" spans="1:16" ht="28.8" x14ac:dyDescent="0.3">
      <c r="A13" s="27" t="s">
        <v>103</v>
      </c>
      <c r="B13" s="34"/>
      <c r="E13" s="36" t="s">
        <v>5445</v>
      </c>
      <c r="J13" s="35"/>
    </row>
    <row r="14" spans="1:16" ht="28.8" x14ac:dyDescent="0.3">
      <c r="A14" s="27" t="s">
        <v>103</v>
      </c>
      <c r="B14" s="34"/>
      <c r="E14" s="36" t="s">
        <v>5446</v>
      </c>
      <c r="J14" s="35"/>
    </row>
    <row r="15" spans="1:16" ht="28.8" x14ac:dyDescent="0.3">
      <c r="A15" s="27" t="s">
        <v>103</v>
      </c>
      <c r="B15" s="34"/>
      <c r="E15" s="36" t="s">
        <v>5447</v>
      </c>
      <c r="J15" s="35"/>
    </row>
    <row r="16" spans="1:16" ht="28.8" x14ac:dyDescent="0.3">
      <c r="A16" s="27" t="s">
        <v>103</v>
      </c>
      <c r="B16" s="34"/>
      <c r="E16" s="36" t="s">
        <v>5448</v>
      </c>
      <c r="J16" s="35"/>
    </row>
    <row r="17" spans="1:10" ht="28.8" x14ac:dyDescent="0.3">
      <c r="A17" s="27" t="s">
        <v>103</v>
      </c>
      <c r="B17" s="34"/>
      <c r="E17" s="36" t="s">
        <v>5449</v>
      </c>
      <c r="J17" s="35"/>
    </row>
    <row r="18" spans="1:10" ht="28.8" x14ac:dyDescent="0.3">
      <c r="A18" s="27" t="s">
        <v>103</v>
      </c>
      <c r="B18" s="34"/>
      <c r="E18" s="36" t="s">
        <v>5450</v>
      </c>
      <c r="J18" s="35"/>
    </row>
    <row r="19" spans="1:10" ht="28.8" x14ac:dyDescent="0.3">
      <c r="A19" s="27" t="s">
        <v>103</v>
      </c>
      <c r="B19" s="34"/>
      <c r="E19" s="36" t="s">
        <v>5451</v>
      </c>
      <c r="J19" s="35"/>
    </row>
    <row r="20" spans="1:10" ht="28.8" x14ac:dyDescent="0.3">
      <c r="A20" s="27" t="s">
        <v>103</v>
      </c>
      <c r="B20" s="34"/>
      <c r="E20" s="36" t="s">
        <v>5452</v>
      </c>
      <c r="J20" s="35"/>
    </row>
    <row r="21" spans="1:10" ht="28.8" x14ac:dyDescent="0.3">
      <c r="A21" s="27" t="s">
        <v>103</v>
      </c>
      <c r="B21" s="34"/>
      <c r="E21" s="36" t="s">
        <v>5453</v>
      </c>
      <c r="J21" s="35"/>
    </row>
    <row r="22" spans="1:10" ht="28.8" x14ac:dyDescent="0.3">
      <c r="A22" s="27" t="s">
        <v>103</v>
      </c>
      <c r="B22" s="34"/>
      <c r="E22" s="36" t="s">
        <v>5454</v>
      </c>
      <c r="J22" s="35"/>
    </row>
    <row r="23" spans="1:10" ht="28.8" x14ac:dyDescent="0.3">
      <c r="A23" s="27" t="s">
        <v>103</v>
      </c>
      <c r="B23" s="34"/>
      <c r="E23" s="36" t="s">
        <v>5455</v>
      </c>
      <c r="J23" s="35"/>
    </row>
    <row r="24" spans="1:10" ht="28.8" x14ac:dyDescent="0.3">
      <c r="A24" s="27" t="s">
        <v>103</v>
      </c>
      <c r="B24" s="34"/>
      <c r="E24" s="36" t="s">
        <v>5456</v>
      </c>
      <c r="J24" s="35"/>
    </row>
    <row r="25" spans="1:10" ht="28.8" x14ac:dyDescent="0.3">
      <c r="A25" s="27" t="s">
        <v>103</v>
      </c>
      <c r="B25" s="34"/>
      <c r="E25" s="36" t="s">
        <v>5457</v>
      </c>
      <c r="J25" s="35"/>
    </row>
    <row r="26" spans="1:10" ht="28.8" x14ac:dyDescent="0.3">
      <c r="A26" s="27" t="s">
        <v>103</v>
      </c>
      <c r="B26" s="34"/>
      <c r="E26" s="36" t="s">
        <v>5458</v>
      </c>
      <c r="J26" s="35"/>
    </row>
    <row r="27" spans="1:10" ht="28.8" x14ac:dyDescent="0.3">
      <c r="A27" s="27" t="s">
        <v>103</v>
      </c>
      <c r="B27" s="34"/>
      <c r="E27" s="36" t="s">
        <v>5459</v>
      </c>
      <c r="J27" s="35"/>
    </row>
    <row r="28" spans="1:10" ht="28.8" x14ac:dyDescent="0.3">
      <c r="A28" s="27" t="s">
        <v>103</v>
      </c>
      <c r="B28" s="34"/>
      <c r="E28" s="36" t="s">
        <v>5460</v>
      </c>
      <c r="J28" s="35"/>
    </row>
    <row r="29" spans="1:10" ht="28.8" x14ac:dyDescent="0.3">
      <c r="A29" s="27" t="s">
        <v>103</v>
      </c>
      <c r="B29" s="34"/>
      <c r="E29" s="36" t="s">
        <v>5461</v>
      </c>
      <c r="J29" s="35"/>
    </row>
    <row r="30" spans="1:10" ht="28.8" x14ac:dyDescent="0.3">
      <c r="A30" s="27" t="s">
        <v>103</v>
      </c>
      <c r="B30" s="34"/>
      <c r="E30" s="36" t="s">
        <v>5462</v>
      </c>
      <c r="J30" s="35"/>
    </row>
    <row r="31" spans="1:10" ht="28.8" x14ac:dyDescent="0.3">
      <c r="A31" s="27" t="s">
        <v>103</v>
      </c>
      <c r="B31" s="34"/>
      <c r="E31" s="36" t="s">
        <v>5463</v>
      </c>
      <c r="J31" s="35"/>
    </row>
    <row r="32" spans="1:10" ht="28.8" x14ac:dyDescent="0.3">
      <c r="A32" s="27" t="s">
        <v>103</v>
      </c>
      <c r="B32" s="34"/>
      <c r="E32" s="36" t="s">
        <v>5464</v>
      </c>
      <c r="J32" s="35"/>
    </row>
    <row r="33" spans="1:10" ht="28.8" x14ac:dyDescent="0.3">
      <c r="A33" s="27" t="s">
        <v>103</v>
      </c>
      <c r="B33" s="34"/>
      <c r="E33" s="36" t="s">
        <v>5465</v>
      </c>
      <c r="J33" s="35"/>
    </row>
    <row r="34" spans="1:10" ht="28.8" x14ac:dyDescent="0.3">
      <c r="A34" s="27" t="s">
        <v>103</v>
      </c>
      <c r="B34" s="34"/>
      <c r="E34" s="36" t="s">
        <v>5466</v>
      </c>
      <c r="J34" s="35"/>
    </row>
    <row r="35" spans="1:10" ht="28.8" x14ac:dyDescent="0.3">
      <c r="A35" s="27" t="s">
        <v>103</v>
      </c>
      <c r="B35" s="34"/>
      <c r="E35" s="36" t="s">
        <v>5467</v>
      </c>
      <c r="J35" s="35"/>
    </row>
    <row r="36" spans="1:10" ht="28.8" x14ac:dyDescent="0.3">
      <c r="A36" s="27" t="s">
        <v>103</v>
      </c>
      <c r="B36" s="34"/>
      <c r="E36" s="36" t="s">
        <v>5468</v>
      </c>
      <c r="J36" s="35"/>
    </row>
    <row r="37" spans="1:10" ht="28.8" x14ac:dyDescent="0.3">
      <c r="A37" s="27" t="s">
        <v>103</v>
      </c>
      <c r="B37" s="34"/>
      <c r="E37" s="36" t="s">
        <v>5469</v>
      </c>
      <c r="J37" s="35"/>
    </row>
    <row r="38" spans="1:10" ht="28.8" x14ac:dyDescent="0.3">
      <c r="A38" s="27" t="s">
        <v>103</v>
      </c>
      <c r="B38" s="34"/>
      <c r="E38" s="36" t="s">
        <v>5470</v>
      </c>
      <c r="J38" s="35"/>
    </row>
    <row r="39" spans="1:10" ht="28.8" x14ac:dyDescent="0.3">
      <c r="A39" s="27" t="s">
        <v>103</v>
      </c>
      <c r="B39" s="34"/>
      <c r="E39" s="36" t="s">
        <v>5471</v>
      </c>
      <c r="J39" s="35"/>
    </row>
    <row r="40" spans="1:10" ht="28.8" x14ac:dyDescent="0.3">
      <c r="A40" s="27" t="s">
        <v>103</v>
      </c>
      <c r="B40" s="34"/>
      <c r="E40" s="36" t="s">
        <v>5472</v>
      </c>
      <c r="J40" s="35"/>
    </row>
    <row r="41" spans="1:10" ht="28.8" x14ac:dyDescent="0.3">
      <c r="A41" s="27" t="s">
        <v>103</v>
      </c>
      <c r="B41" s="34"/>
      <c r="E41" s="36" t="s">
        <v>5473</v>
      </c>
      <c r="J41" s="35"/>
    </row>
    <row r="42" spans="1:10" ht="28.8" x14ac:dyDescent="0.3">
      <c r="A42" s="27" t="s">
        <v>103</v>
      </c>
      <c r="B42" s="34"/>
      <c r="E42" s="36" t="s">
        <v>5474</v>
      </c>
      <c r="J42" s="35"/>
    </row>
    <row r="43" spans="1:10" ht="28.8" x14ac:dyDescent="0.3">
      <c r="A43" s="27" t="s">
        <v>103</v>
      </c>
      <c r="B43" s="34"/>
      <c r="E43" s="36" t="s">
        <v>5475</v>
      </c>
      <c r="J43" s="35"/>
    </row>
    <row r="44" spans="1:10" ht="28.8" x14ac:dyDescent="0.3">
      <c r="A44" s="27" t="s">
        <v>103</v>
      </c>
      <c r="B44" s="34"/>
      <c r="E44" s="36" t="s">
        <v>5476</v>
      </c>
      <c r="J44" s="35"/>
    </row>
    <row r="45" spans="1:10" ht="28.8" x14ac:dyDescent="0.3">
      <c r="A45" s="27" t="s">
        <v>103</v>
      </c>
      <c r="B45" s="34"/>
      <c r="E45" s="36" t="s">
        <v>5477</v>
      </c>
      <c r="J45" s="35"/>
    </row>
    <row r="46" spans="1:10" ht="28.8" x14ac:dyDescent="0.3">
      <c r="A46" s="27" t="s">
        <v>103</v>
      </c>
      <c r="B46" s="34"/>
      <c r="E46" s="36" t="s">
        <v>5478</v>
      </c>
      <c r="J46" s="35"/>
    </row>
    <row r="47" spans="1:10" ht="28.8" x14ac:dyDescent="0.3">
      <c r="A47" s="27" t="s">
        <v>103</v>
      </c>
      <c r="B47" s="34"/>
      <c r="E47" s="36" t="s">
        <v>5479</v>
      </c>
      <c r="J47" s="35"/>
    </row>
    <row r="48" spans="1:10" ht="28.8" x14ac:dyDescent="0.3">
      <c r="A48" s="27" t="s">
        <v>103</v>
      </c>
      <c r="B48" s="34"/>
      <c r="E48" s="36" t="s">
        <v>5480</v>
      </c>
      <c r="J48" s="35"/>
    </row>
    <row r="49" spans="1:16" ht="28.8" x14ac:dyDescent="0.3">
      <c r="A49" s="27" t="s">
        <v>103</v>
      </c>
      <c r="B49" s="34"/>
      <c r="E49" s="36" t="s">
        <v>5481</v>
      </c>
      <c r="J49" s="35"/>
    </row>
    <row r="50" spans="1:16" ht="28.8" x14ac:dyDescent="0.3">
      <c r="A50" s="27" t="s">
        <v>103</v>
      </c>
      <c r="B50" s="34"/>
      <c r="E50" s="36" t="s">
        <v>5482</v>
      </c>
      <c r="J50" s="35"/>
    </row>
    <row r="51" spans="1:16" ht="28.8" x14ac:dyDescent="0.3">
      <c r="A51" s="27" t="s">
        <v>103</v>
      </c>
      <c r="B51" s="34"/>
      <c r="E51" s="36" t="s">
        <v>5483</v>
      </c>
      <c r="J51" s="35"/>
    </row>
    <row r="52" spans="1:16" x14ac:dyDescent="0.3">
      <c r="A52" s="27" t="s">
        <v>103</v>
      </c>
      <c r="B52" s="34"/>
      <c r="E52" s="36" t="s">
        <v>5484</v>
      </c>
      <c r="J52" s="35"/>
    </row>
    <row r="53" spans="1:16" ht="388.8" x14ac:dyDescent="0.3">
      <c r="A53" s="27" t="s">
        <v>105</v>
      </c>
      <c r="B53" s="34"/>
      <c r="E53" s="29" t="s">
        <v>5296</v>
      </c>
      <c r="J53" s="35"/>
    </row>
    <row r="54" spans="1:16" x14ac:dyDescent="0.3">
      <c r="A54" s="27" t="s">
        <v>95</v>
      </c>
      <c r="B54" s="27">
        <v>2</v>
      </c>
      <c r="C54" s="28" t="s">
        <v>5485</v>
      </c>
      <c r="D54" s="27" t="s">
        <v>129</v>
      </c>
      <c r="E54" s="29" t="s">
        <v>5486</v>
      </c>
      <c r="F54" s="30" t="s">
        <v>229</v>
      </c>
      <c r="G54" s="31">
        <v>26.919</v>
      </c>
      <c r="H54" s="32">
        <v>0</v>
      </c>
      <c r="I54" s="32">
        <f>ROUND(26.919*H54,P4)</f>
        <v>0</v>
      </c>
      <c r="J54" s="30" t="s">
        <v>118</v>
      </c>
      <c r="O54" s="33">
        <f>I54*0.21</f>
        <v>0</v>
      </c>
      <c r="P54">
        <v>3</v>
      </c>
    </row>
    <row r="55" spans="1:16" ht="158.4" x14ac:dyDescent="0.3">
      <c r="A55" s="27" t="s">
        <v>101</v>
      </c>
      <c r="B55" s="34"/>
      <c r="E55" s="29" t="s">
        <v>5487</v>
      </c>
      <c r="J55" s="35"/>
    </row>
    <row r="56" spans="1:16" ht="28.8" x14ac:dyDescent="0.3">
      <c r="A56" s="27" t="s">
        <v>103</v>
      </c>
      <c r="B56" s="34"/>
      <c r="E56" s="36" t="s">
        <v>5488</v>
      </c>
      <c r="J56" s="35"/>
    </row>
    <row r="57" spans="1:16" ht="28.8" x14ac:dyDescent="0.3">
      <c r="A57" s="27" t="s">
        <v>103</v>
      </c>
      <c r="B57" s="34"/>
      <c r="E57" s="36" t="s">
        <v>5489</v>
      </c>
      <c r="J57" s="35"/>
    </row>
    <row r="58" spans="1:16" ht="28.8" x14ac:dyDescent="0.3">
      <c r="A58" s="27" t="s">
        <v>103</v>
      </c>
      <c r="B58" s="34"/>
      <c r="E58" s="36" t="s">
        <v>5490</v>
      </c>
      <c r="J58" s="35"/>
    </row>
    <row r="59" spans="1:16" ht="28.8" x14ac:dyDescent="0.3">
      <c r="A59" s="27" t="s">
        <v>103</v>
      </c>
      <c r="B59" s="34"/>
      <c r="E59" s="36" t="s">
        <v>5491</v>
      </c>
      <c r="J59" s="35"/>
    </row>
    <row r="60" spans="1:16" ht="28.8" x14ac:dyDescent="0.3">
      <c r="A60" s="27" t="s">
        <v>103</v>
      </c>
      <c r="B60" s="34"/>
      <c r="E60" s="36" t="s">
        <v>5492</v>
      </c>
      <c r="J60" s="35"/>
    </row>
    <row r="61" spans="1:16" ht="28.8" x14ac:dyDescent="0.3">
      <c r="A61" s="27" t="s">
        <v>103</v>
      </c>
      <c r="B61" s="34"/>
      <c r="E61" s="36" t="s">
        <v>5493</v>
      </c>
      <c r="J61" s="35"/>
    </row>
    <row r="62" spans="1:16" ht="28.8" x14ac:dyDescent="0.3">
      <c r="A62" s="27" t="s">
        <v>103</v>
      </c>
      <c r="B62" s="34"/>
      <c r="E62" s="36" t="s">
        <v>5494</v>
      </c>
      <c r="J62" s="35"/>
    </row>
    <row r="63" spans="1:16" ht="28.8" x14ac:dyDescent="0.3">
      <c r="A63" s="27" t="s">
        <v>103</v>
      </c>
      <c r="B63" s="34"/>
      <c r="E63" s="36" t="s">
        <v>5495</v>
      </c>
      <c r="J63" s="35"/>
    </row>
    <row r="64" spans="1:16" ht="28.8" x14ac:dyDescent="0.3">
      <c r="A64" s="27" t="s">
        <v>103</v>
      </c>
      <c r="B64" s="34"/>
      <c r="E64" s="36" t="s">
        <v>5496</v>
      </c>
      <c r="J64" s="35"/>
    </row>
    <row r="65" spans="1:16" ht="28.8" x14ac:dyDescent="0.3">
      <c r="A65" s="27" t="s">
        <v>103</v>
      </c>
      <c r="B65" s="34"/>
      <c r="E65" s="36" t="s">
        <v>5497</v>
      </c>
      <c r="J65" s="35"/>
    </row>
    <row r="66" spans="1:16" ht="28.8" x14ac:dyDescent="0.3">
      <c r="A66" s="27" t="s">
        <v>103</v>
      </c>
      <c r="B66" s="34"/>
      <c r="E66" s="36" t="s">
        <v>5498</v>
      </c>
      <c r="J66" s="35"/>
    </row>
    <row r="67" spans="1:16" ht="28.8" x14ac:dyDescent="0.3">
      <c r="A67" s="27" t="s">
        <v>103</v>
      </c>
      <c r="B67" s="34"/>
      <c r="E67" s="36" t="s">
        <v>5499</v>
      </c>
      <c r="J67" s="35"/>
    </row>
    <row r="68" spans="1:16" ht="28.8" x14ac:dyDescent="0.3">
      <c r="A68" s="27" t="s">
        <v>103</v>
      </c>
      <c r="B68" s="34"/>
      <c r="E68" s="36" t="s">
        <v>5500</v>
      </c>
      <c r="J68" s="35"/>
    </row>
    <row r="69" spans="1:16" ht="28.8" x14ac:dyDescent="0.3">
      <c r="A69" s="27" t="s">
        <v>103</v>
      </c>
      <c r="B69" s="34"/>
      <c r="E69" s="36" t="s">
        <v>5501</v>
      </c>
      <c r="J69" s="35"/>
    </row>
    <row r="70" spans="1:16" ht="28.8" x14ac:dyDescent="0.3">
      <c r="A70" s="27" t="s">
        <v>103</v>
      </c>
      <c r="B70" s="34"/>
      <c r="E70" s="36" t="s">
        <v>5502</v>
      </c>
      <c r="J70" s="35"/>
    </row>
    <row r="71" spans="1:16" ht="28.8" x14ac:dyDescent="0.3">
      <c r="A71" s="27" t="s">
        <v>103</v>
      </c>
      <c r="B71" s="34"/>
      <c r="E71" s="36" t="s">
        <v>5503</v>
      </c>
      <c r="J71" s="35"/>
    </row>
    <row r="72" spans="1:16" ht="28.8" x14ac:dyDescent="0.3">
      <c r="A72" s="27" t="s">
        <v>103</v>
      </c>
      <c r="B72" s="34"/>
      <c r="E72" s="36" t="s">
        <v>5504</v>
      </c>
      <c r="J72" s="35"/>
    </row>
    <row r="73" spans="1:16" ht="28.8" x14ac:dyDescent="0.3">
      <c r="A73" s="27" t="s">
        <v>103</v>
      </c>
      <c r="B73" s="34"/>
      <c r="E73" s="36" t="s">
        <v>5505</v>
      </c>
      <c r="J73" s="35"/>
    </row>
    <row r="74" spans="1:16" ht="28.8" x14ac:dyDescent="0.3">
      <c r="A74" s="27" t="s">
        <v>103</v>
      </c>
      <c r="B74" s="34"/>
      <c r="E74" s="36" t="s">
        <v>5506</v>
      </c>
      <c r="J74" s="35"/>
    </row>
    <row r="75" spans="1:16" ht="28.8" x14ac:dyDescent="0.3">
      <c r="A75" s="27" t="s">
        <v>103</v>
      </c>
      <c r="B75" s="34"/>
      <c r="E75" s="36" t="s">
        <v>5507</v>
      </c>
      <c r="J75" s="35"/>
    </row>
    <row r="76" spans="1:16" ht="28.8" x14ac:dyDescent="0.3">
      <c r="A76" s="27" t="s">
        <v>103</v>
      </c>
      <c r="B76" s="34"/>
      <c r="E76" s="36" t="s">
        <v>5508</v>
      </c>
      <c r="J76" s="35"/>
    </row>
    <row r="77" spans="1:16" x14ac:dyDescent="0.3">
      <c r="A77" s="27" t="s">
        <v>103</v>
      </c>
      <c r="B77" s="34"/>
      <c r="E77" s="36" t="s">
        <v>5509</v>
      </c>
      <c r="J77" s="35"/>
    </row>
    <row r="78" spans="1:16" ht="273.60000000000002" x14ac:dyDescent="0.3">
      <c r="A78" s="27" t="s">
        <v>105</v>
      </c>
      <c r="B78" s="34"/>
      <c r="E78" s="29" t="s">
        <v>5510</v>
      </c>
      <c r="J78" s="35"/>
    </row>
    <row r="79" spans="1:16" x14ac:dyDescent="0.3">
      <c r="A79" s="27" t="s">
        <v>95</v>
      </c>
      <c r="B79" s="27">
        <v>3</v>
      </c>
      <c r="C79" s="28" t="s">
        <v>5511</v>
      </c>
      <c r="D79" s="27" t="s">
        <v>129</v>
      </c>
      <c r="E79" s="29" t="s">
        <v>5512</v>
      </c>
      <c r="F79" s="30" t="s">
        <v>117</v>
      </c>
      <c r="G79" s="31">
        <v>162</v>
      </c>
      <c r="H79" s="32">
        <v>0</v>
      </c>
      <c r="I79" s="32">
        <f>ROUND(162*H79,P4)</f>
        <v>0</v>
      </c>
      <c r="J79" s="30" t="s">
        <v>118</v>
      </c>
      <c r="O79" s="33">
        <f>I79*0.21</f>
        <v>0</v>
      </c>
      <c r="P79">
        <v>3</v>
      </c>
    </row>
    <row r="80" spans="1:16" ht="28.8" x14ac:dyDescent="0.3">
      <c r="A80" s="27" t="s">
        <v>101</v>
      </c>
      <c r="B80" s="34"/>
      <c r="E80" s="29" t="s">
        <v>5513</v>
      </c>
      <c r="J80" s="35"/>
    </row>
    <row r="81" spans="1:16" x14ac:dyDescent="0.3">
      <c r="A81" s="27" t="s">
        <v>103</v>
      </c>
      <c r="B81" s="34"/>
      <c r="E81" s="36" t="s">
        <v>5514</v>
      </c>
      <c r="J81" s="35"/>
    </row>
    <row r="82" spans="1:16" x14ac:dyDescent="0.3">
      <c r="A82" s="27" t="s">
        <v>103</v>
      </c>
      <c r="B82" s="34"/>
      <c r="E82" s="36" t="s">
        <v>5515</v>
      </c>
      <c r="J82" s="35"/>
    </row>
    <row r="83" spans="1:16" ht="100.8" x14ac:dyDescent="0.3">
      <c r="A83" s="27" t="s">
        <v>105</v>
      </c>
      <c r="B83" s="34"/>
      <c r="E83" s="29" t="s">
        <v>5516</v>
      </c>
      <c r="J83" s="35"/>
    </row>
    <row r="84" spans="1:16" x14ac:dyDescent="0.3">
      <c r="A84" s="21" t="s">
        <v>92</v>
      </c>
      <c r="B84" s="22"/>
      <c r="C84" s="23" t="s">
        <v>107</v>
      </c>
      <c r="D84" s="24"/>
      <c r="E84" s="21" t="s">
        <v>618</v>
      </c>
      <c r="F84" s="24"/>
      <c r="G84" s="24"/>
      <c r="H84" s="24"/>
      <c r="I84" s="25">
        <f>SUMIFS(I85:I184,A85:A184,"P")</f>
        <v>0</v>
      </c>
      <c r="J84" s="26"/>
    </row>
    <row r="85" spans="1:16" x14ac:dyDescent="0.3">
      <c r="A85" s="27" t="s">
        <v>95</v>
      </c>
      <c r="B85" s="27">
        <v>4</v>
      </c>
      <c r="C85" s="28" t="s">
        <v>5517</v>
      </c>
      <c r="D85" s="27" t="s">
        <v>129</v>
      </c>
      <c r="E85" s="29" t="s">
        <v>5518</v>
      </c>
      <c r="F85" s="30" t="s">
        <v>229</v>
      </c>
      <c r="G85" s="31">
        <v>10.247999999999999</v>
      </c>
      <c r="H85" s="32">
        <v>0</v>
      </c>
      <c r="I85" s="32">
        <f>ROUND(10.248*H85,P4)</f>
        <v>0</v>
      </c>
      <c r="J85" s="30" t="s">
        <v>118</v>
      </c>
      <c r="O85" s="33">
        <f>I85*0.21</f>
        <v>0</v>
      </c>
      <c r="P85">
        <v>3</v>
      </c>
    </row>
    <row r="86" spans="1:16" ht="409.6" x14ac:dyDescent="0.3">
      <c r="A86" s="27" t="s">
        <v>101</v>
      </c>
      <c r="B86" s="34"/>
      <c r="E86" s="29" t="s">
        <v>5519</v>
      </c>
      <c r="J86" s="35"/>
    </row>
    <row r="87" spans="1:16" ht="28.8" x14ac:dyDescent="0.3">
      <c r="A87" s="27" t="s">
        <v>103</v>
      </c>
      <c r="B87" s="34"/>
      <c r="E87" s="36" t="s">
        <v>5520</v>
      </c>
      <c r="J87" s="35"/>
    </row>
    <row r="88" spans="1:16" ht="28.8" x14ac:dyDescent="0.3">
      <c r="A88" s="27" t="s">
        <v>103</v>
      </c>
      <c r="B88" s="34"/>
      <c r="E88" s="36" t="s">
        <v>5521</v>
      </c>
      <c r="J88" s="35"/>
    </row>
    <row r="89" spans="1:16" ht="28.8" x14ac:dyDescent="0.3">
      <c r="A89" s="27" t="s">
        <v>103</v>
      </c>
      <c r="B89" s="34"/>
      <c r="E89" s="36" t="s">
        <v>5522</v>
      </c>
      <c r="J89" s="35"/>
    </row>
    <row r="90" spans="1:16" ht="28.8" x14ac:dyDescent="0.3">
      <c r="A90" s="27" t="s">
        <v>103</v>
      </c>
      <c r="B90" s="34"/>
      <c r="E90" s="36" t="s">
        <v>5523</v>
      </c>
      <c r="J90" s="35"/>
    </row>
    <row r="91" spans="1:16" ht="28.8" x14ac:dyDescent="0.3">
      <c r="A91" s="27" t="s">
        <v>103</v>
      </c>
      <c r="B91" s="34"/>
      <c r="E91" s="36" t="s">
        <v>5524</v>
      </c>
      <c r="J91" s="35"/>
    </row>
    <row r="92" spans="1:16" ht="28.8" x14ac:dyDescent="0.3">
      <c r="A92" s="27" t="s">
        <v>103</v>
      </c>
      <c r="B92" s="34"/>
      <c r="E92" s="36" t="s">
        <v>5525</v>
      </c>
      <c r="J92" s="35"/>
    </row>
    <row r="93" spans="1:16" ht="28.8" x14ac:dyDescent="0.3">
      <c r="A93" s="27" t="s">
        <v>103</v>
      </c>
      <c r="B93" s="34"/>
      <c r="E93" s="36" t="s">
        <v>5526</v>
      </c>
      <c r="J93" s="35"/>
    </row>
    <row r="94" spans="1:16" ht="28.8" x14ac:dyDescent="0.3">
      <c r="A94" s="27" t="s">
        <v>103</v>
      </c>
      <c r="B94" s="34"/>
      <c r="E94" s="36" t="s">
        <v>5527</v>
      </c>
      <c r="J94" s="35"/>
    </row>
    <row r="95" spans="1:16" ht="28.8" x14ac:dyDescent="0.3">
      <c r="A95" s="27" t="s">
        <v>103</v>
      </c>
      <c r="B95" s="34"/>
      <c r="E95" s="36" t="s">
        <v>5528</v>
      </c>
      <c r="J95" s="35"/>
    </row>
    <row r="96" spans="1:16" ht="28.8" x14ac:dyDescent="0.3">
      <c r="A96" s="27" t="s">
        <v>103</v>
      </c>
      <c r="B96" s="34"/>
      <c r="E96" s="36" t="s">
        <v>5529</v>
      </c>
      <c r="J96" s="35"/>
    </row>
    <row r="97" spans="1:16" ht="28.8" x14ac:dyDescent="0.3">
      <c r="A97" s="27" t="s">
        <v>103</v>
      </c>
      <c r="B97" s="34"/>
      <c r="E97" s="36" t="s">
        <v>5530</v>
      </c>
      <c r="J97" s="35"/>
    </row>
    <row r="98" spans="1:16" ht="28.8" x14ac:dyDescent="0.3">
      <c r="A98" s="27" t="s">
        <v>103</v>
      </c>
      <c r="B98" s="34"/>
      <c r="E98" s="36" t="s">
        <v>5531</v>
      </c>
      <c r="J98" s="35"/>
    </row>
    <row r="99" spans="1:16" ht="28.8" x14ac:dyDescent="0.3">
      <c r="A99" s="27" t="s">
        <v>103</v>
      </c>
      <c r="B99" s="34"/>
      <c r="E99" s="36" t="s">
        <v>5532</v>
      </c>
      <c r="J99" s="35"/>
    </row>
    <row r="100" spans="1:16" ht="28.8" x14ac:dyDescent="0.3">
      <c r="A100" s="27" t="s">
        <v>103</v>
      </c>
      <c r="B100" s="34"/>
      <c r="E100" s="36" t="s">
        <v>5533</v>
      </c>
      <c r="J100" s="35"/>
    </row>
    <row r="101" spans="1:16" ht="28.8" x14ac:dyDescent="0.3">
      <c r="A101" s="27" t="s">
        <v>103</v>
      </c>
      <c r="B101" s="34"/>
      <c r="E101" s="36" t="s">
        <v>5534</v>
      </c>
      <c r="J101" s="35"/>
    </row>
    <row r="102" spans="1:16" ht="28.8" x14ac:dyDescent="0.3">
      <c r="A102" s="27" t="s">
        <v>103</v>
      </c>
      <c r="B102" s="34"/>
      <c r="E102" s="36" t="s">
        <v>5535</v>
      </c>
      <c r="J102" s="35"/>
    </row>
    <row r="103" spans="1:16" ht="28.8" x14ac:dyDescent="0.3">
      <c r="A103" s="27" t="s">
        <v>103</v>
      </c>
      <c r="B103" s="34"/>
      <c r="E103" s="36" t="s">
        <v>5536</v>
      </c>
      <c r="J103" s="35"/>
    </row>
    <row r="104" spans="1:16" ht="28.8" x14ac:dyDescent="0.3">
      <c r="A104" s="27" t="s">
        <v>103</v>
      </c>
      <c r="B104" s="34"/>
      <c r="E104" s="36" t="s">
        <v>5537</v>
      </c>
      <c r="J104" s="35"/>
    </row>
    <row r="105" spans="1:16" ht="28.8" x14ac:dyDescent="0.3">
      <c r="A105" s="27" t="s">
        <v>103</v>
      </c>
      <c r="B105" s="34"/>
      <c r="E105" s="36" t="s">
        <v>5538</v>
      </c>
      <c r="J105" s="35"/>
    </row>
    <row r="106" spans="1:16" ht="28.8" x14ac:dyDescent="0.3">
      <c r="A106" s="27" t="s">
        <v>103</v>
      </c>
      <c r="B106" s="34"/>
      <c r="E106" s="36" t="s">
        <v>5539</v>
      </c>
      <c r="J106" s="35"/>
    </row>
    <row r="107" spans="1:16" ht="28.8" x14ac:dyDescent="0.3">
      <c r="A107" s="27" t="s">
        <v>103</v>
      </c>
      <c r="B107" s="34"/>
      <c r="E107" s="36" t="s">
        <v>5540</v>
      </c>
      <c r="J107" s="35"/>
    </row>
    <row r="108" spans="1:16" x14ac:dyDescent="0.3">
      <c r="A108" s="27" t="s">
        <v>103</v>
      </c>
      <c r="B108" s="34"/>
      <c r="E108" s="36" t="s">
        <v>5541</v>
      </c>
      <c r="J108" s="35"/>
    </row>
    <row r="109" spans="1:16" ht="409.6" x14ac:dyDescent="0.3">
      <c r="A109" s="27" t="s">
        <v>105</v>
      </c>
      <c r="B109" s="34"/>
      <c r="E109" s="29" t="s">
        <v>5542</v>
      </c>
      <c r="J109" s="35"/>
    </row>
    <row r="110" spans="1:16" x14ac:dyDescent="0.3">
      <c r="A110" s="27" t="s">
        <v>95</v>
      </c>
      <c r="B110" s="27">
        <v>5</v>
      </c>
      <c r="C110" s="28" t="s">
        <v>5543</v>
      </c>
      <c r="D110" s="27" t="s">
        <v>129</v>
      </c>
      <c r="E110" s="29" t="s">
        <v>5544</v>
      </c>
      <c r="F110" s="30" t="s">
        <v>131</v>
      </c>
      <c r="G110" s="31">
        <v>1.323</v>
      </c>
      <c r="H110" s="32">
        <v>0</v>
      </c>
      <c r="I110" s="32">
        <f>ROUND(1.323*H110,P4)</f>
        <v>0</v>
      </c>
      <c r="J110" s="30" t="s">
        <v>118</v>
      </c>
      <c r="O110" s="33">
        <f>I110*0.21</f>
        <v>0</v>
      </c>
      <c r="P110">
        <v>3</v>
      </c>
    </row>
    <row r="111" spans="1:16" ht="409.6" x14ac:dyDescent="0.3">
      <c r="A111" s="27" t="s">
        <v>101</v>
      </c>
      <c r="B111" s="34"/>
      <c r="E111" s="29" t="s">
        <v>5519</v>
      </c>
      <c r="J111" s="35"/>
    </row>
    <row r="112" spans="1:16" ht="28.8" x14ac:dyDescent="0.3">
      <c r="A112" s="27" t="s">
        <v>103</v>
      </c>
      <c r="B112" s="34"/>
      <c r="E112" s="36" t="s">
        <v>5545</v>
      </c>
      <c r="J112" s="35"/>
    </row>
    <row r="113" spans="1:10" ht="28.8" x14ac:dyDescent="0.3">
      <c r="A113" s="27" t="s">
        <v>103</v>
      </c>
      <c r="B113" s="34"/>
      <c r="E113" s="36" t="s">
        <v>5546</v>
      </c>
      <c r="J113" s="35"/>
    </row>
    <row r="114" spans="1:10" ht="28.8" x14ac:dyDescent="0.3">
      <c r="A114" s="27" t="s">
        <v>103</v>
      </c>
      <c r="B114" s="34"/>
      <c r="E114" s="36" t="s">
        <v>5547</v>
      </c>
      <c r="J114" s="35"/>
    </row>
    <row r="115" spans="1:10" ht="28.8" x14ac:dyDescent="0.3">
      <c r="A115" s="27" t="s">
        <v>103</v>
      </c>
      <c r="B115" s="34"/>
      <c r="E115" s="36" t="s">
        <v>5548</v>
      </c>
      <c r="J115" s="35"/>
    </row>
    <row r="116" spans="1:10" ht="28.8" x14ac:dyDescent="0.3">
      <c r="A116" s="27" t="s">
        <v>103</v>
      </c>
      <c r="B116" s="34"/>
      <c r="E116" s="36" t="s">
        <v>5549</v>
      </c>
      <c r="J116" s="35"/>
    </row>
    <row r="117" spans="1:10" ht="28.8" x14ac:dyDescent="0.3">
      <c r="A117" s="27" t="s">
        <v>103</v>
      </c>
      <c r="B117" s="34"/>
      <c r="E117" s="36" t="s">
        <v>5550</v>
      </c>
      <c r="J117" s="35"/>
    </row>
    <row r="118" spans="1:10" ht="28.8" x14ac:dyDescent="0.3">
      <c r="A118" s="27" t="s">
        <v>103</v>
      </c>
      <c r="B118" s="34"/>
      <c r="E118" s="36" t="s">
        <v>5551</v>
      </c>
      <c r="J118" s="35"/>
    </row>
    <row r="119" spans="1:10" ht="28.8" x14ac:dyDescent="0.3">
      <c r="A119" s="27" t="s">
        <v>103</v>
      </c>
      <c r="B119" s="34"/>
      <c r="E119" s="36" t="s">
        <v>5552</v>
      </c>
      <c r="J119" s="35"/>
    </row>
    <row r="120" spans="1:10" ht="28.8" x14ac:dyDescent="0.3">
      <c r="A120" s="27" t="s">
        <v>103</v>
      </c>
      <c r="B120" s="34"/>
      <c r="E120" s="36" t="s">
        <v>5553</v>
      </c>
      <c r="J120" s="35"/>
    </row>
    <row r="121" spans="1:10" ht="28.8" x14ac:dyDescent="0.3">
      <c r="A121" s="27" t="s">
        <v>103</v>
      </c>
      <c r="B121" s="34"/>
      <c r="E121" s="36" t="s">
        <v>5554</v>
      </c>
      <c r="J121" s="35"/>
    </row>
    <row r="122" spans="1:10" ht="28.8" x14ac:dyDescent="0.3">
      <c r="A122" s="27" t="s">
        <v>103</v>
      </c>
      <c r="B122" s="34"/>
      <c r="E122" s="36" t="s">
        <v>5555</v>
      </c>
      <c r="J122" s="35"/>
    </row>
    <row r="123" spans="1:10" ht="28.8" x14ac:dyDescent="0.3">
      <c r="A123" s="27" t="s">
        <v>103</v>
      </c>
      <c r="B123" s="34"/>
      <c r="E123" s="36" t="s">
        <v>5556</v>
      </c>
      <c r="J123" s="35"/>
    </row>
    <row r="124" spans="1:10" ht="28.8" x14ac:dyDescent="0.3">
      <c r="A124" s="27" t="s">
        <v>103</v>
      </c>
      <c r="B124" s="34"/>
      <c r="E124" s="36" t="s">
        <v>5557</v>
      </c>
      <c r="J124" s="35"/>
    </row>
    <row r="125" spans="1:10" ht="28.8" x14ac:dyDescent="0.3">
      <c r="A125" s="27" t="s">
        <v>103</v>
      </c>
      <c r="B125" s="34"/>
      <c r="E125" s="36" t="s">
        <v>5558</v>
      </c>
      <c r="J125" s="35"/>
    </row>
    <row r="126" spans="1:10" ht="28.8" x14ac:dyDescent="0.3">
      <c r="A126" s="27" t="s">
        <v>103</v>
      </c>
      <c r="B126" s="34"/>
      <c r="E126" s="36" t="s">
        <v>5559</v>
      </c>
      <c r="J126" s="35"/>
    </row>
    <row r="127" spans="1:10" ht="28.8" x14ac:dyDescent="0.3">
      <c r="A127" s="27" t="s">
        <v>103</v>
      </c>
      <c r="B127" s="34"/>
      <c r="E127" s="36" t="s">
        <v>5560</v>
      </c>
      <c r="J127" s="35"/>
    </row>
    <row r="128" spans="1:10" ht="28.8" x14ac:dyDescent="0.3">
      <c r="A128" s="27" t="s">
        <v>103</v>
      </c>
      <c r="B128" s="34"/>
      <c r="E128" s="36" t="s">
        <v>5561</v>
      </c>
      <c r="J128" s="35"/>
    </row>
    <row r="129" spans="1:16" ht="28.8" x14ac:dyDescent="0.3">
      <c r="A129" s="27" t="s">
        <v>103</v>
      </c>
      <c r="B129" s="34"/>
      <c r="E129" s="36" t="s">
        <v>5562</v>
      </c>
      <c r="J129" s="35"/>
    </row>
    <row r="130" spans="1:16" ht="28.8" x14ac:dyDescent="0.3">
      <c r="A130" s="27" t="s">
        <v>103</v>
      </c>
      <c r="B130" s="34"/>
      <c r="E130" s="36" t="s">
        <v>5563</v>
      </c>
      <c r="J130" s="35"/>
    </row>
    <row r="131" spans="1:16" ht="28.8" x14ac:dyDescent="0.3">
      <c r="A131" s="27" t="s">
        <v>103</v>
      </c>
      <c r="B131" s="34"/>
      <c r="E131" s="36" t="s">
        <v>5564</v>
      </c>
      <c r="J131" s="35"/>
    </row>
    <row r="132" spans="1:16" ht="28.8" x14ac:dyDescent="0.3">
      <c r="A132" s="27" t="s">
        <v>103</v>
      </c>
      <c r="B132" s="34"/>
      <c r="E132" s="36" t="s">
        <v>5565</v>
      </c>
      <c r="J132" s="35"/>
    </row>
    <row r="133" spans="1:16" x14ac:dyDescent="0.3">
      <c r="A133" s="27" t="s">
        <v>103</v>
      </c>
      <c r="B133" s="34"/>
      <c r="E133" s="36" t="s">
        <v>5566</v>
      </c>
      <c r="J133" s="35"/>
    </row>
    <row r="134" spans="1:16" ht="302.39999999999998" x14ac:dyDescent="0.3">
      <c r="A134" s="27" t="s">
        <v>105</v>
      </c>
      <c r="B134" s="34"/>
      <c r="E134" s="29" t="s">
        <v>5567</v>
      </c>
      <c r="J134" s="35"/>
    </row>
    <row r="135" spans="1:16" x14ac:dyDescent="0.3">
      <c r="A135" s="27" t="s">
        <v>95</v>
      </c>
      <c r="B135" s="27">
        <v>6</v>
      </c>
      <c r="C135" s="28" t="s">
        <v>5568</v>
      </c>
      <c r="D135" s="27" t="s">
        <v>129</v>
      </c>
      <c r="E135" s="29" t="s">
        <v>5569</v>
      </c>
      <c r="F135" s="30" t="s">
        <v>237</v>
      </c>
      <c r="G135" s="31">
        <v>48.3</v>
      </c>
      <c r="H135" s="32">
        <v>0</v>
      </c>
      <c r="I135" s="32">
        <f>ROUND(48.3*H135,P4)</f>
        <v>0</v>
      </c>
      <c r="J135" s="30" t="s">
        <v>118</v>
      </c>
      <c r="O135" s="33">
        <f>I135*0.21</f>
        <v>0</v>
      </c>
      <c r="P135">
        <v>3</v>
      </c>
    </row>
    <row r="136" spans="1:16" ht="409.6" x14ac:dyDescent="0.3">
      <c r="A136" s="27" t="s">
        <v>101</v>
      </c>
      <c r="B136" s="34"/>
      <c r="E136" s="29" t="s">
        <v>5519</v>
      </c>
      <c r="J136" s="35"/>
    </row>
    <row r="137" spans="1:16" x14ac:dyDescent="0.3">
      <c r="A137" s="27" t="s">
        <v>103</v>
      </c>
      <c r="B137" s="34"/>
      <c r="E137" s="36" t="s">
        <v>5570</v>
      </c>
      <c r="J137" s="35"/>
    </row>
    <row r="138" spans="1:16" ht="28.8" x14ac:dyDescent="0.3">
      <c r="A138" s="27" t="s">
        <v>103</v>
      </c>
      <c r="B138" s="34"/>
      <c r="E138" s="36" t="s">
        <v>5571</v>
      </c>
      <c r="J138" s="35"/>
    </row>
    <row r="139" spans="1:16" ht="28.8" x14ac:dyDescent="0.3">
      <c r="A139" s="27" t="s">
        <v>103</v>
      </c>
      <c r="B139" s="34"/>
      <c r="E139" s="36" t="s">
        <v>5572</v>
      </c>
      <c r="J139" s="35"/>
    </row>
    <row r="140" spans="1:16" x14ac:dyDescent="0.3">
      <c r="A140" s="27" t="s">
        <v>103</v>
      </c>
      <c r="B140" s="34"/>
      <c r="E140" s="36" t="s">
        <v>5573</v>
      </c>
      <c r="J140" s="35"/>
    </row>
    <row r="141" spans="1:16" ht="28.8" x14ac:dyDescent="0.3">
      <c r="A141" s="27" t="s">
        <v>103</v>
      </c>
      <c r="B141" s="34"/>
      <c r="E141" s="36" t="s">
        <v>5574</v>
      </c>
      <c r="J141" s="35"/>
    </row>
    <row r="142" spans="1:16" x14ac:dyDescent="0.3">
      <c r="A142" s="27" t="s">
        <v>103</v>
      </c>
      <c r="B142" s="34"/>
      <c r="E142" s="36" t="s">
        <v>5575</v>
      </c>
      <c r="J142" s="35"/>
    </row>
    <row r="143" spans="1:16" ht="28.8" x14ac:dyDescent="0.3">
      <c r="A143" s="27" t="s">
        <v>103</v>
      </c>
      <c r="B143" s="34"/>
      <c r="E143" s="36" t="s">
        <v>5576</v>
      </c>
      <c r="J143" s="35"/>
    </row>
    <row r="144" spans="1:16" ht="28.8" x14ac:dyDescent="0.3">
      <c r="A144" s="27" t="s">
        <v>103</v>
      </c>
      <c r="B144" s="34"/>
      <c r="E144" s="36" t="s">
        <v>5577</v>
      </c>
      <c r="J144" s="35"/>
    </row>
    <row r="145" spans="1:16" x14ac:dyDescent="0.3">
      <c r="A145" s="27" t="s">
        <v>103</v>
      </c>
      <c r="B145" s="34"/>
      <c r="E145" s="36" t="s">
        <v>5578</v>
      </c>
      <c r="J145" s="35"/>
    </row>
    <row r="146" spans="1:16" x14ac:dyDescent="0.3">
      <c r="A146" s="27" t="s">
        <v>103</v>
      </c>
      <c r="B146" s="34"/>
      <c r="E146" s="36" t="s">
        <v>5579</v>
      </c>
      <c r="J146" s="35"/>
    </row>
    <row r="147" spans="1:16" ht="28.8" x14ac:dyDescent="0.3">
      <c r="A147" s="27" t="s">
        <v>103</v>
      </c>
      <c r="B147" s="34"/>
      <c r="E147" s="36" t="s">
        <v>5580</v>
      </c>
      <c r="J147" s="35"/>
    </row>
    <row r="148" spans="1:16" ht="28.8" x14ac:dyDescent="0.3">
      <c r="A148" s="27" t="s">
        <v>103</v>
      </c>
      <c r="B148" s="34"/>
      <c r="E148" s="36" t="s">
        <v>5581</v>
      </c>
      <c r="J148" s="35"/>
    </row>
    <row r="149" spans="1:16" ht="28.8" x14ac:dyDescent="0.3">
      <c r="A149" s="27" t="s">
        <v>103</v>
      </c>
      <c r="B149" s="34"/>
      <c r="E149" s="36" t="s">
        <v>5582</v>
      </c>
      <c r="J149" s="35"/>
    </row>
    <row r="150" spans="1:16" ht="28.8" x14ac:dyDescent="0.3">
      <c r="A150" s="27" t="s">
        <v>103</v>
      </c>
      <c r="B150" s="34"/>
      <c r="E150" s="36" t="s">
        <v>5583</v>
      </c>
      <c r="J150" s="35"/>
    </row>
    <row r="151" spans="1:16" ht="28.8" x14ac:dyDescent="0.3">
      <c r="A151" s="27" t="s">
        <v>103</v>
      </c>
      <c r="B151" s="34"/>
      <c r="E151" s="36" t="s">
        <v>5584</v>
      </c>
      <c r="J151" s="35"/>
    </row>
    <row r="152" spans="1:16" ht="28.8" x14ac:dyDescent="0.3">
      <c r="A152" s="27" t="s">
        <v>103</v>
      </c>
      <c r="B152" s="34"/>
      <c r="E152" s="36" t="s">
        <v>5585</v>
      </c>
      <c r="J152" s="35"/>
    </row>
    <row r="153" spans="1:16" ht="28.8" x14ac:dyDescent="0.3">
      <c r="A153" s="27" t="s">
        <v>103</v>
      </c>
      <c r="B153" s="34"/>
      <c r="E153" s="36" t="s">
        <v>5586</v>
      </c>
      <c r="J153" s="35"/>
    </row>
    <row r="154" spans="1:16" ht="28.8" x14ac:dyDescent="0.3">
      <c r="A154" s="27" t="s">
        <v>103</v>
      </c>
      <c r="B154" s="34"/>
      <c r="E154" s="36" t="s">
        <v>5587</v>
      </c>
      <c r="J154" s="35"/>
    </row>
    <row r="155" spans="1:16" ht="28.8" x14ac:dyDescent="0.3">
      <c r="A155" s="27" t="s">
        <v>103</v>
      </c>
      <c r="B155" s="34"/>
      <c r="E155" s="36" t="s">
        <v>5588</v>
      </c>
      <c r="J155" s="35"/>
    </row>
    <row r="156" spans="1:16" x14ac:dyDescent="0.3">
      <c r="A156" s="27" t="s">
        <v>103</v>
      </c>
      <c r="B156" s="34"/>
      <c r="E156" s="36" t="s">
        <v>5589</v>
      </c>
      <c r="J156" s="35"/>
    </row>
    <row r="157" spans="1:16" ht="28.8" x14ac:dyDescent="0.3">
      <c r="A157" s="27" t="s">
        <v>103</v>
      </c>
      <c r="B157" s="34"/>
      <c r="E157" s="36" t="s">
        <v>5590</v>
      </c>
      <c r="J157" s="35"/>
    </row>
    <row r="158" spans="1:16" x14ac:dyDescent="0.3">
      <c r="A158" s="27" t="s">
        <v>103</v>
      </c>
      <c r="B158" s="34"/>
      <c r="E158" s="36" t="s">
        <v>5591</v>
      </c>
      <c r="J158" s="35"/>
    </row>
    <row r="159" spans="1:16" ht="216" x14ac:dyDescent="0.3">
      <c r="A159" s="27" t="s">
        <v>105</v>
      </c>
      <c r="B159" s="34"/>
      <c r="E159" s="29" t="s">
        <v>5592</v>
      </c>
      <c r="J159" s="35"/>
    </row>
    <row r="160" spans="1:16" x14ac:dyDescent="0.3">
      <c r="A160" s="27" t="s">
        <v>95</v>
      </c>
      <c r="B160" s="27">
        <v>7</v>
      </c>
      <c r="C160" s="28" t="s">
        <v>5593</v>
      </c>
      <c r="D160" s="27" t="s">
        <v>129</v>
      </c>
      <c r="E160" s="29" t="s">
        <v>5594</v>
      </c>
      <c r="F160" s="30" t="s">
        <v>229</v>
      </c>
      <c r="G160" s="31">
        <v>3.129</v>
      </c>
      <c r="H160" s="32">
        <v>0</v>
      </c>
      <c r="I160" s="32">
        <f>ROUND(3.129*H160,P4)</f>
        <v>0</v>
      </c>
      <c r="J160" s="30" t="s">
        <v>118</v>
      </c>
      <c r="O160" s="33">
        <f>I160*0.21</f>
        <v>0</v>
      </c>
      <c r="P160">
        <v>3</v>
      </c>
    </row>
    <row r="161" spans="1:10" ht="409.6" x14ac:dyDescent="0.3">
      <c r="A161" s="27" t="s">
        <v>101</v>
      </c>
      <c r="B161" s="34"/>
      <c r="E161" s="29" t="s">
        <v>5595</v>
      </c>
      <c r="J161" s="35"/>
    </row>
    <row r="162" spans="1:10" ht="28.8" x14ac:dyDescent="0.3">
      <c r="A162" s="27" t="s">
        <v>103</v>
      </c>
      <c r="B162" s="34"/>
      <c r="E162" s="36" t="s">
        <v>5596</v>
      </c>
      <c r="J162" s="35"/>
    </row>
    <row r="163" spans="1:10" ht="28.8" x14ac:dyDescent="0.3">
      <c r="A163" s="27" t="s">
        <v>103</v>
      </c>
      <c r="B163" s="34"/>
      <c r="E163" s="36" t="s">
        <v>5597</v>
      </c>
      <c r="J163" s="35"/>
    </row>
    <row r="164" spans="1:10" ht="28.8" x14ac:dyDescent="0.3">
      <c r="A164" s="27" t="s">
        <v>103</v>
      </c>
      <c r="B164" s="34"/>
      <c r="E164" s="36" t="s">
        <v>5598</v>
      </c>
      <c r="J164" s="35"/>
    </row>
    <row r="165" spans="1:10" ht="28.8" x14ac:dyDescent="0.3">
      <c r="A165" s="27" t="s">
        <v>103</v>
      </c>
      <c r="B165" s="34"/>
      <c r="E165" s="36" t="s">
        <v>5599</v>
      </c>
      <c r="J165" s="35"/>
    </row>
    <row r="166" spans="1:10" ht="28.8" x14ac:dyDescent="0.3">
      <c r="A166" s="27" t="s">
        <v>103</v>
      </c>
      <c r="B166" s="34"/>
      <c r="E166" s="36" t="s">
        <v>5600</v>
      </c>
      <c r="J166" s="35"/>
    </row>
    <row r="167" spans="1:10" ht="28.8" x14ac:dyDescent="0.3">
      <c r="A167" s="27" t="s">
        <v>103</v>
      </c>
      <c r="B167" s="34"/>
      <c r="E167" s="36" t="s">
        <v>5601</v>
      </c>
      <c r="J167" s="35"/>
    </row>
    <row r="168" spans="1:10" ht="28.8" x14ac:dyDescent="0.3">
      <c r="A168" s="27" t="s">
        <v>103</v>
      </c>
      <c r="B168" s="34"/>
      <c r="E168" s="36" t="s">
        <v>5602</v>
      </c>
      <c r="J168" s="35"/>
    </row>
    <row r="169" spans="1:10" ht="28.8" x14ac:dyDescent="0.3">
      <c r="A169" s="27" t="s">
        <v>103</v>
      </c>
      <c r="B169" s="34"/>
      <c r="E169" s="36" t="s">
        <v>5603</v>
      </c>
      <c r="J169" s="35"/>
    </row>
    <row r="170" spans="1:10" ht="28.8" x14ac:dyDescent="0.3">
      <c r="A170" s="27" t="s">
        <v>103</v>
      </c>
      <c r="B170" s="34"/>
      <c r="E170" s="36" t="s">
        <v>5604</v>
      </c>
      <c r="J170" s="35"/>
    </row>
    <row r="171" spans="1:10" ht="28.8" x14ac:dyDescent="0.3">
      <c r="A171" s="27" t="s">
        <v>103</v>
      </c>
      <c r="B171" s="34"/>
      <c r="E171" s="36" t="s">
        <v>5605</v>
      </c>
      <c r="J171" s="35"/>
    </row>
    <row r="172" spans="1:10" ht="28.8" x14ac:dyDescent="0.3">
      <c r="A172" s="27" t="s">
        <v>103</v>
      </c>
      <c r="B172" s="34"/>
      <c r="E172" s="36" t="s">
        <v>5606</v>
      </c>
      <c r="J172" s="35"/>
    </row>
    <row r="173" spans="1:10" ht="28.8" x14ac:dyDescent="0.3">
      <c r="A173" s="27" t="s">
        <v>103</v>
      </c>
      <c r="B173" s="34"/>
      <c r="E173" s="36" t="s">
        <v>5607</v>
      </c>
      <c r="J173" s="35"/>
    </row>
    <row r="174" spans="1:10" ht="28.8" x14ac:dyDescent="0.3">
      <c r="A174" s="27" t="s">
        <v>103</v>
      </c>
      <c r="B174" s="34"/>
      <c r="E174" s="36" t="s">
        <v>5608</v>
      </c>
      <c r="J174" s="35"/>
    </row>
    <row r="175" spans="1:10" ht="28.8" x14ac:dyDescent="0.3">
      <c r="A175" s="27" t="s">
        <v>103</v>
      </c>
      <c r="B175" s="34"/>
      <c r="E175" s="36" t="s">
        <v>5609</v>
      </c>
      <c r="J175" s="35"/>
    </row>
    <row r="176" spans="1:10" ht="28.8" x14ac:dyDescent="0.3">
      <c r="A176" s="27" t="s">
        <v>103</v>
      </c>
      <c r="B176" s="34"/>
      <c r="E176" s="36" t="s">
        <v>5610</v>
      </c>
      <c r="J176" s="35"/>
    </row>
    <row r="177" spans="1:16" ht="28.8" x14ac:dyDescent="0.3">
      <c r="A177" s="27" t="s">
        <v>103</v>
      </c>
      <c r="B177" s="34"/>
      <c r="E177" s="36" t="s">
        <v>5611</v>
      </c>
      <c r="J177" s="35"/>
    </row>
    <row r="178" spans="1:16" ht="28.8" x14ac:dyDescent="0.3">
      <c r="A178" s="27" t="s">
        <v>103</v>
      </c>
      <c r="B178" s="34"/>
      <c r="E178" s="36" t="s">
        <v>5612</v>
      </c>
      <c r="J178" s="35"/>
    </row>
    <row r="179" spans="1:16" ht="28.8" x14ac:dyDescent="0.3">
      <c r="A179" s="27" t="s">
        <v>103</v>
      </c>
      <c r="B179" s="34"/>
      <c r="E179" s="36" t="s">
        <v>5613</v>
      </c>
      <c r="J179" s="35"/>
    </row>
    <row r="180" spans="1:16" ht="28.8" x14ac:dyDescent="0.3">
      <c r="A180" s="27" t="s">
        <v>103</v>
      </c>
      <c r="B180" s="34"/>
      <c r="E180" s="36" t="s">
        <v>5614</v>
      </c>
      <c r="J180" s="35"/>
    </row>
    <row r="181" spans="1:16" ht="28.8" x14ac:dyDescent="0.3">
      <c r="A181" s="27" t="s">
        <v>103</v>
      </c>
      <c r="B181" s="34"/>
      <c r="E181" s="36" t="s">
        <v>5615</v>
      </c>
      <c r="J181" s="35"/>
    </row>
    <row r="182" spans="1:16" ht="28.8" x14ac:dyDescent="0.3">
      <c r="A182" s="27" t="s">
        <v>103</v>
      </c>
      <c r="B182" s="34"/>
      <c r="E182" s="36" t="s">
        <v>5616</v>
      </c>
      <c r="J182" s="35"/>
    </row>
    <row r="183" spans="1:16" x14ac:dyDescent="0.3">
      <c r="A183" s="27" t="s">
        <v>103</v>
      </c>
      <c r="B183" s="34"/>
      <c r="E183" s="36" t="s">
        <v>5617</v>
      </c>
      <c r="J183" s="35"/>
    </row>
    <row r="184" spans="1:16" ht="409.6" x14ac:dyDescent="0.3">
      <c r="A184" s="27" t="s">
        <v>105</v>
      </c>
      <c r="B184" s="34"/>
      <c r="E184" s="29" t="s">
        <v>5618</v>
      </c>
      <c r="J184" s="35"/>
    </row>
    <row r="185" spans="1:16" x14ac:dyDescent="0.3">
      <c r="A185" s="21" t="s">
        <v>92</v>
      </c>
      <c r="B185" s="22"/>
      <c r="C185" s="23" t="s">
        <v>116</v>
      </c>
      <c r="D185" s="24"/>
      <c r="E185" s="21" t="s">
        <v>5619</v>
      </c>
      <c r="F185" s="24"/>
      <c r="G185" s="24"/>
      <c r="H185" s="24"/>
      <c r="I185" s="25">
        <f>SUMIFS(I186:I338,A186:A338,"P")</f>
        <v>0</v>
      </c>
      <c r="J185" s="26"/>
    </row>
    <row r="186" spans="1:16" x14ac:dyDescent="0.3">
      <c r="A186" s="27" t="s">
        <v>95</v>
      </c>
      <c r="B186" s="27">
        <v>8</v>
      </c>
      <c r="C186" s="28" t="s">
        <v>5620</v>
      </c>
      <c r="D186" s="27" t="s">
        <v>129</v>
      </c>
      <c r="E186" s="29" t="s">
        <v>5621</v>
      </c>
      <c r="F186" s="30" t="s">
        <v>229</v>
      </c>
      <c r="G186" s="31">
        <v>6.51</v>
      </c>
      <c r="H186" s="32">
        <v>0</v>
      </c>
      <c r="I186" s="32">
        <f>ROUND(6.51*H186,P4)</f>
        <v>0</v>
      </c>
      <c r="J186" s="30" t="s">
        <v>118</v>
      </c>
      <c r="O186" s="33">
        <f>I186*0.21</f>
        <v>0</v>
      </c>
      <c r="P186">
        <v>3</v>
      </c>
    </row>
    <row r="187" spans="1:16" ht="172.8" x14ac:dyDescent="0.3">
      <c r="A187" s="27" t="s">
        <v>101</v>
      </c>
      <c r="B187" s="34"/>
      <c r="E187" s="29" t="s">
        <v>5622</v>
      </c>
      <c r="J187" s="35"/>
    </row>
    <row r="188" spans="1:16" ht="28.8" x14ac:dyDescent="0.3">
      <c r="A188" s="27" t="s">
        <v>103</v>
      </c>
      <c r="B188" s="34"/>
      <c r="E188" s="36" t="s">
        <v>5623</v>
      </c>
      <c r="J188" s="35"/>
    </row>
    <row r="189" spans="1:16" ht="28.8" x14ac:dyDescent="0.3">
      <c r="A189" s="27" t="s">
        <v>103</v>
      </c>
      <c r="B189" s="34"/>
      <c r="E189" s="36" t="s">
        <v>5624</v>
      </c>
      <c r="J189" s="35"/>
    </row>
    <row r="190" spans="1:16" ht="28.8" x14ac:dyDescent="0.3">
      <c r="A190" s="27" t="s">
        <v>103</v>
      </c>
      <c r="B190" s="34"/>
      <c r="E190" s="36" t="s">
        <v>5625</v>
      </c>
      <c r="J190" s="35"/>
    </row>
    <row r="191" spans="1:16" ht="28.8" x14ac:dyDescent="0.3">
      <c r="A191" s="27" t="s">
        <v>103</v>
      </c>
      <c r="B191" s="34"/>
      <c r="E191" s="36" t="s">
        <v>5626</v>
      </c>
      <c r="J191" s="35"/>
    </row>
    <row r="192" spans="1:16" ht="28.8" x14ac:dyDescent="0.3">
      <c r="A192" s="27" t="s">
        <v>103</v>
      </c>
      <c r="B192" s="34"/>
      <c r="E192" s="36" t="s">
        <v>5627</v>
      </c>
      <c r="J192" s="35"/>
    </row>
    <row r="193" spans="1:10" ht="28.8" x14ac:dyDescent="0.3">
      <c r="A193" s="27" t="s">
        <v>103</v>
      </c>
      <c r="B193" s="34"/>
      <c r="E193" s="36" t="s">
        <v>5628</v>
      </c>
      <c r="J193" s="35"/>
    </row>
    <row r="194" spans="1:10" ht="28.8" x14ac:dyDescent="0.3">
      <c r="A194" s="27" t="s">
        <v>103</v>
      </c>
      <c r="B194" s="34"/>
      <c r="E194" s="36" t="s">
        <v>5629</v>
      </c>
      <c r="J194" s="35"/>
    </row>
    <row r="195" spans="1:10" ht="28.8" x14ac:dyDescent="0.3">
      <c r="A195" s="27" t="s">
        <v>103</v>
      </c>
      <c r="B195" s="34"/>
      <c r="E195" s="36" t="s">
        <v>5630</v>
      </c>
      <c r="J195" s="35"/>
    </row>
    <row r="196" spans="1:10" ht="28.8" x14ac:dyDescent="0.3">
      <c r="A196" s="27" t="s">
        <v>103</v>
      </c>
      <c r="B196" s="34"/>
      <c r="E196" s="36" t="s">
        <v>5631</v>
      </c>
      <c r="J196" s="35"/>
    </row>
    <row r="197" spans="1:10" ht="28.8" x14ac:dyDescent="0.3">
      <c r="A197" s="27" t="s">
        <v>103</v>
      </c>
      <c r="B197" s="34"/>
      <c r="E197" s="36" t="s">
        <v>5632</v>
      </c>
      <c r="J197" s="35"/>
    </row>
    <row r="198" spans="1:10" ht="28.8" x14ac:dyDescent="0.3">
      <c r="A198" s="27" t="s">
        <v>103</v>
      </c>
      <c r="B198" s="34"/>
      <c r="E198" s="36" t="s">
        <v>5633</v>
      </c>
      <c r="J198" s="35"/>
    </row>
    <row r="199" spans="1:10" ht="28.8" x14ac:dyDescent="0.3">
      <c r="A199" s="27" t="s">
        <v>103</v>
      </c>
      <c r="B199" s="34"/>
      <c r="E199" s="36" t="s">
        <v>5634</v>
      </c>
      <c r="J199" s="35"/>
    </row>
    <row r="200" spans="1:10" ht="28.8" x14ac:dyDescent="0.3">
      <c r="A200" s="27" t="s">
        <v>103</v>
      </c>
      <c r="B200" s="34"/>
      <c r="E200" s="36" t="s">
        <v>5635</v>
      </c>
      <c r="J200" s="35"/>
    </row>
    <row r="201" spans="1:10" ht="28.8" x14ac:dyDescent="0.3">
      <c r="A201" s="27" t="s">
        <v>103</v>
      </c>
      <c r="B201" s="34"/>
      <c r="E201" s="36" t="s">
        <v>5636</v>
      </c>
      <c r="J201" s="35"/>
    </row>
    <row r="202" spans="1:10" ht="28.8" x14ac:dyDescent="0.3">
      <c r="A202" s="27" t="s">
        <v>103</v>
      </c>
      <c r="B202" s="34"/>
      <c r="E202" s="36" t="s">
        <v>5637</v>
      </c>
      <c r="J202" s="35"/>
    </row>
    <row r="203" spans="1:10" ht="28.8" x14ac:dyDescent="0.3">
      <c r="A203" s="27" t="s">
        <v>103</v>
      </c>
      <c r="B203" s="34"/>
      <c r="E203" s="36" t="s">
        <v>5638</v>
      </c>
      <c r="J203" s="35"/>
    </row>
    <row r="204" spans="1:10" ht="28.8" x14ac:dyDescent="0.3">
      <c r="A204" s="27" t="s">
        <v>103</v>
      </c>
      <c r="B204" s="34"/>
      <c r="E204" s="36" t="s">
        <v>5639</v>
      </c>
      <c r="J204" s="35"/>
    </row>
    <row r="205" spans="1:10" ht="28.8" x14ac:dyDescent="0.3">
      <c r="A205" s="27" t="s">
        <v>103</v>
      </c>
      <c r="B205" s="34"/>
      <c r="E205" s="36" t="s">
        <v>5640</v>
      </c>
      <c r="J205" s="35"/>
    </row>
    <row r="206" spans="1:10" ht="28.8" x14ac:dyDescent="0.3">
      <c r="A206" s="27" t="s">
        <v>103</v>
      </c>
      <c r="B206" s="34"/>
      <c r="E206" s="36" t="s">
        <v>5641</v>
      </c>
      <c r="J206" s="35"/>
    </row>
    <row r="207" spans="1:10" ht="28.8" x14ac:dyDescent="0.3">
      <c r="A207" s="27" t="s">
        <v>103</v>
      </c>
      <c r="B207" s="34"/>
      <c r="E207" s="36" t="s">
        <v>5642</v>
      </c>
      <c r="J207" s="35"/>
    </row>
    <row r="208" spans="1:10" x14ac:dyDescent="0.3">
      <c r="A208" s="27" t="s">
        <v>103</v>
      </c>
      <c r="B208" s="34"/>
      <c r="E208" s="36" t="s">
        <v>5643</v>
      </c>
      <c r="J208" s="35"/>
    </row>
    <row r="209" spans="1:16" ht="288" x14ac:dyDescent="0.3">
      <c r="A209" s="27" t="s">
        <v>105</v>
      </c>
      <c r="B209" s="34"/>
      <c r="E209" s="29" t="s">
        <v>5644</v>
      </c>
      <c r="J209" s="35"/>
    </row>
    <row r="210" spans="1:16" x14ac:dyDescent="0.3">
      <c r="A210" s="27" t="s">
        <v>95</v>
      </c>
      <c r="B210" s="27">
        <v>9</v>
      </c>
      <c r="C210" s="28" t="s">
        <v>5645</v>
      </c>
      <c r="D210" s="27" t="s">
        <v>129</v>
      </c>
      <c r="E210" s="29" t="s">
        <v>5646</v>
      </c>
      <c r="F210" s="30" t="s">
        <v>131</v>
      </c>
      <c r="G210" s="31">
        <v>7.0979999999999999</v>
      </c>
      <c r="H210" s="32">
        <v>0</v>
      </c>
      <c r="I210" s="32">
        <f>ROUND(7.098*H210,P4)</f>
        <v>0</v>
      </c>
      <c r="J210" s="30" t="s">
        <v>118</v>
      </c>
      <c r="O210" s="33">
        <f>I210*0.21</f>
        <v>0</v>
      </c>
      <c r="P210">
        <v>3</v>
      </c>
    </row>
    <row r="211" spans="1:16" ht="288" x14ac:dyDescent="0.3">
      <c r="A211" s="27" t="s">
        <v>101</v>
      </c>
      <c r="B211" s="34"/>
      <c r="E211" s="29" t="s">
        <v>5647</v>
      </c>
      <c r="J211" s="35"/>
    </row>
    <row r="212" spans="1:16" ht="28.8" x14ac:dyDescent="0.3">
      <c r="A212" s="27" t="s">
        <v>103</v>
      </c>
      <c r="B212" s="34"/>
      <c r="E212" s="36" t="s">
        <v>5648</v>
      </c>
      <c r="J212" s="35"/>
    </row>
    <row r="213" spans="1:16" ht="28.8" x14ac:dyDescent="0.3">
      <c r="A213" s="27" t="s">
        <v>103</v>
      </c>
      <c r="B213" s="34"/>
      <c r="E213" s="36" t="s">
        <v>5649</v>
      </c>
      <c r="J213" s="35"/>
    </row>
    <row r="214" spans="1:16" ht="28.8" x14ac:dyDescent="0.3">
      <c r="A214" s="27" t="s">
        <v>103</v>
      </c>
      <c r="B214" s="34"/>
      <c r="E214" s="36" t="s">
        <v>5650</v>
      </c>
      <c r="J214" s="35"/>
    </row>
    <row r="215" spans="1:16" ht="28.8" x14ac:dyDescent="0.3">
      <c r="A215" s="27" t="s">
        <v>103</v>
      </c>
      <c r="B215" s="34"/>
      <c r="E215" s="36" t="s">
        <v>5651</v>
      </c>
      <c r="J215" s="35"/>
    </row>
    <row r="216" spans="1:16" ht="28.8" x14ac:dyDescent="0.3">
      <c r="A216" s="27" t="s">
        <v>103</v>
      </c>
      <c r="B216" s="34"/>
      <c r="E216" s="36" t="s">
        <v>5652</v>
      </c>
      <c r="J216" s="35"/>
    </row>
    <row r="217" spans="1:16" ht="28.8" x14ac:dyDescent="0.3">
      <c r="A217" s="27" t="s">
        <v>103</v>
      </c>
      <c r="B217" s="34"/>
      <c r="E217" s="36" t="s">
        <v>5653</v>
      </c>
      <c r="J217" s="35"/>
    </row>
    <row r="218" spans="1:16" ht="28.8" x14ac:dyDescent="0.3">
      <c r="A218" s="27" t="s">
        <v>103</v>
      </c>
      <c r="B218" s="34"/>
      <c r="E218" s="36" t="s">
        <v>5654</v>
      </c>
      <c r="J218" s="35"/>
    </row>
    <row r="219" spans="1:16" ht="28.8" x14ac:dyDescent="0.3">
      <c r="A219" s="27" t="s">
        <v>103</v>
      </c>
      <c r="B219" s="34"/>
      <c r="E219" s="36" t="s">
        <v>5655</v>
      </c>
      <c r="J219" s="35"/>
    </row>
    <row r="220" spans="1:16" ht="28.8" x14ac:dyDescent="0.3">
      <c r="A220" s="27" t="s">
        <v>103</v>
      </c>
      <c r="B220" s="34"/>
      <c r="E220" s="36" t="s">
        <v>5656</v>
      </c>
      <c r="J220" s="35"/>
    </row>
    <row r="221" spans="1:16" ht="28.8" x14ac:dyDescent="0.3">
      <c r="A221" s="27" t="s">
        <v>103</v>
      </c>
      <c r="B221" s="34"/>
      <c r="E221" s="36" t="s">
        <v>5657</v>
      </c>
      <c r="J221" s="35"/>
    </row>
    <row r="222" spans="1:16" ht="28.8" x14ac:dyDescent="0.3">
      <c r="A222" s="27" t="s">
        <v>103</v>
      </c>
      <c r="B222" s="34"/>
      <c r="E222" s="36" t="s">
        <v>5658</v>
      </c>
      <c r="J222" s="35"/>
    </row>
    <row r="223" spans="1:16" ht="28.8" x14ac:dyDescent="0.3">
      <c r="A223" s="27" t="s">
        <v>103</v>
      </c>
      <c r="B223" s="34"/>
      <c r="E223" s="36" t="s">
        <v>5659</v>
      </c>
      <c r="J223" s="35"/>
    </row>
    <row r="224" spans="1:16" ht="28.8" x14ac:dyDescent="0.3">
      <c r="A224" s="27" t="s">
        <v>103</v>
      </c>
      <c r="B224" s="34"/>
      <c r="E224" s="36" t="s">
        <v>5660</v>
      </c>
      <c r="J224" s="35"/>
    </row>
    <row r="225" spans="1:16" ht="28.8" x14ac:dyDescent="0.3">
      <c r="A225" s="27" t="s">
        <v>103</v>
      </c>
      <c r="B225" s="34"/>
      <c r="E225" s="36" t="s">
        <v>5661</v>
      </c>
      <c r="J225" s="35"/>
    </row>
    <row r="226" spans="1:16" ht="28.8" x14ac:dyDescent="0.3">
      <c r="A226" s="27" t="s">
        <v>103</v>
      </c>
      <c r="B226" s="34"/>
      <c r="E226" s="36" t="s">
        <v>5662</v>
      </c>
      <c r="J226" s="35"/>
    </row>
    <row r="227" spans="1:16" ht="28.8" x14ac:dyDescent="0.3">
      <c r="A227" s="27" t="s">
        <v>103</v>
      </c>
      <c r="B227" s="34"/>
      <c r="E227" s="36" t="s">
        <v>5663</v>
      </c>
      <c r="J227" s="35"/>
    </row>
    <row r="228" spans="1:16" ht="28.8" x14ac:dyDescent="0.3">
      <c r="A228" s="27" t="s">
        <v>103</v>
      </c>
      <c r="B228" s="34"/>
      <c r="E228" s="36" t="s">
        <v>5664</v>
      </c>
      <c r="J228" s="35"/>
    </row>
    <row r="229" spans="1:16" ht="28.8" x14ac:dyDescent="0.3">
      <c r="A229" s="27" t="s">
        <v>103</v>
      </c>
      <c r="B229" s="34"/>
      <c r="E229" s="36" t="s">
        <v>5665</v>
      </c>
      <c r="J229" s="35"/>
    </row>
    <row r="230" spans="1:16" ht="28.8" x14ac:dyDescent="0.3">
      <c r="A230" s="27" t="s">
        <v>103</v>
      </c>
      <c r="B230" s="34"/>
      <c r="E230" s="36" t="s">
        <v>5666</v>
      </c>
      <c r="J230" s="35"/>
    </row>
    <row r="231" spans="1:16" ht="28.8" x14ac:dyDescent="0.3">
      <c r="A231" s="27" t="s">
        <v>103</v>
      </c>
      <c r="B231" s="34"/>
      <c r="E231" s="36" t="s">
        <v>5667</v>
      </c>
      <c r="J231" s="35"/>
    </row>
    <row r="232" spans="1:16" ht="28.8" x14ac:dyDescent="0.3">
      <c r="A232" s="27" t="s">
        <v>103</v>
      </c>
      <c r="B232" s="34"/>
      <c r="E232" s="36" t="s">
        <v>5668</v>
      </c>
      <c r="J232" s="35"/>
    </row>
    <row r="233" spans="1:16" x14ac:dyDescent="0.3">
      <c r="A233" s="27" t="s">
        <v>103</v>
      </c>
      <c r="B233" s="34"/>
      <c r="E233" s="36" t="s">
        <v>5669</v>
      </c>
      <c r="J233" s="35"/>
    </row>
    <row r="234" spans="1:16" ht="345.6" x14ac:dyDescent="0.3">
      <c r="A234" s="27" t="s">
        <v>105</v>
      </c>
      <c r="B234" s="34"/>
      <c r="E234" s="29" t="s">
        <v>5670</v>
      </c>
      <c r="J234" s="35"/>
    </row>
    <row r="235" spans="1:16" x14ac:dyDescent="0.3">
      <c r="A235" s="27" t="s">
        <v>95</v>
      </c>
      <c r="B235" s="27">
        <v>10</v>
      </c>
      <c r="C235" s="28" t="s">
        <v>5671</v>
      </c>
      <c r="D235" s="27" t="s">
        <v>129</v>
      </c>
      <c r="E235" s="29" t="s">
        <v>5672</v>
      </c>
      <c r="F235" s="30" t="s">
        <v>248</v>
      </c>
      <c r="G235" s="31">
        <v>404.4</v>
      </c>
      <c r="H235" s="32">
        <v>0</v>
      </c>
      <c r="I235" s="32">
        <f>ROUND(404.4*H235,P4)</f>
        <v>0</v>
      </c>
      <c r="J235" s="30" t="s">
        <v>118</v>
      </c>
      <c r="O235" s="33">
        <f>I235*0.21</f>
        <v>0</v>
      </c>
      <c r="P235">
        <v>3</v>
      </c>
    </row>
    <row r="236" spans="1:16" ht="288" x14ac:dyDescent="0.3">
      <c r="A236" s="27" t="s">
        <v>101</v>
      </c>
      <c r="B236" s="34"/>
      <c r="E236" s="29" t="s">
        <v>5673</v>
      </c>
      <c r="J236" s="35"/>
    </row>
    <row r="237" spans="1:16" x14ac:dyDescent="0.3">
      <c r="A237" s="27" t="s">
        <v>103</v>
      </c>
      <c r="B237" s="34"/>
      <c r="E237" s="36" t="s">
        <v>5674</v>
      </c>
      <c r="J237" s="35"/>
    </row>
    <row r="238" spans="1:16" x14ac:dyDescent="0.3">
      <c r="A238" s="27" t="s">
        <v>103</v>
      </c>
      <c r="B238" s="34"/>
      <c r="E238" s="36" t="s">
        <v>5675</v>
      </c>
      <c r="J238" s="35"/>
    </row>
    <row r="239" spans="1:16" x14ac:dyDescent="0.3">
      <c r="A239" s="27" t="s">
        <v>103</v>
      </c>
      <c r="B239" s="34"/>
      <c r="E239" s="36" t="s">
        <v>5676</v>
      </c>
      <c r="J239" s="35"/>
    </row>
    <row r="240" spans="1:16" x14ac:dyDescent="0.3">
      <c r="A240" s="27" t="s">
        <v>103</v>
      </c>
      <c r="B240" s="34"/>
      <c r="E240" s="36" t="s">
        <v>5677</v>
      </c>
      <c r="J240" s="35"/>
    </row>
    <row r="241" spans="1:10" ht="28.8" x14ac:dyDescent="0.3">
      <c r="A241" s="27" t="s">
        <v>103</v>
      </c>
      <c r="B241" s="34"/>
      <c r="E241" s="36" t="s">
        <v>5678</v>
      </c>
      <c r="J241" s="35"/>
    </row>
    <row r="242" spans="1:10" x14ac:dyDescent="0.3">
      <c r="A242" s="27" t="s">
        <v>103</v>
      </c>
      <c r="B242" s="34"/>
      <c r="E242" s="36" t="s">
        <v>5679</v>
      </c>
      <c r="J242" s="35"/>
    </row>
    <row r="243" spans="1:10" x14ac:dyDescent="0.3">
      <c r="A243" s="27" t="s">
        <v>103</v>
      </c>
      <c r="B243" s="34"/>
      <c r="E243" s="36" t="s">
        <v>5680</v>
      </c>
      <c r="J243" s="35"/>
    </row>
    <row r="244" spans="1:10" x14ac:dyDescent="0.3">
      <c r="A244" s="27" t="s">
        <v>103</v>
      </c>
      <c r="B244" s="34"/>
      <c r="E244" s="36" t="s">
        <v>5681</v>
      </c>
      <c r="J244" s="35"/>
    </row>
    <row r="245" spans="1:10" x14ac:dyDescent="0.3">
      <c r="A245" s="27" t="s">
        <v>103</v>
      </c>
      <c r="B245" s="34"/>
      <c r="E245" s="36" t="s">
        <v>5682</v>
      </c>
      <c r="J245" s="35"/>
    </row>
    <row r="246" spans="1:10" x14ac:dyDescent="0.3">
      <c r="A246" s="27" t="s">
        <v>103</v>
      </c>
      <c r="B246" s="34"/>
      <c r="E246" s="36" t="s">
        <v>5683</v>
      </c>
      <c r="J246" s="35"/>
    </row>
    <row r="247" spans="1:10" x14ac:dyDescent="0.3">
      <c r="A247" s="27" t="s">
        <v>103</v>
      </c>
      <c r="B247" s="34"/>
      <c r="E247" s="36" t="s">
        <v>5684</v>
      </c>
      <c r="J247" s="35"/>
    </row>
    <row r="248" spans="1:10" x14ac:dyDescent="0.3">
      <c r="A248" s="27" t="s">
        <v>103</v>
      </c>
      <c r="B248" s="34"/>
      <c r="E248" s="36" t="s">
        <v>5685</v>
      </c>
      <c r="J248" s="35"/>
    </row>
    <row r="249" spans="1:10" x14ac:dyDescent="0.3">
      <c r="A249" s="27" t="s">
        <v>103</v>
      </c>
      <c r="B249" s="34"/>
      <c r="E249" s="36" t="s">
        <v>5686</v>
      </c>
      <c r="J249" s="35"/>
    </row>
    <row r="250" spans="1:10" x14ac:dyDescent="0.3">
      <c r="A250" s="27" t="s">
        <v>103</v>
      </c>
      <c r="B250" s="34"/>
      <c r="E250" s="36" t="s">
        <v>5687</v>
      </c>
      <c r="J250" s="35"/>
    </row>
    <row r="251" spans="1:10" x14ac:dyDescent="0.3">
      <c r="A251" s="27" t="s">
        <v>103</v>
      </c>
      <c r="B251" s="34"/>
      <c r="E251" s="36" t="s">
        <v>5688</v>
      </c>
      <c r="J251" s="35"/>
    </row>
    <row r="252" spans="1:10" x14ac:dyDescent="0.3">
      <c r="A252" s="27" t="s">
        <v>103</v>
      </c>
      <c r="B252" s="34"/>
      <c r="E252" s="36" t="s">
        <v>5689</v>
      </c>
      <c r="J252" s="35"/>
    </row>
    <row r="253" spans="1:10" x14ac:dyDescent="0.3">
      <c r="A253" s="27" t="s">
        <v>103</v>
      </c>
      <c r="B253" s="34"/>
      <c r="E253" s="36" t="s">
        <v>5690</v>
      </c>
      <c r="J253" s="35"/>
    </row>
    <row r="254" spans="1:10" x14ac:dyDescent="0.3">
      <c r="A254" s="27" t="s">
        <v>103</v>
      </c>
      <c r="B254" s="34"/>
      <c r="E254" s="36" t="s">
        <v>5691</v>
      </c>
      <c r="J254" s="35"/>
    </row>
    <row r="255" spans="1:10" x14ac:dyDescent="0.3">
      <c r="A255" s="27" t="s">
        <v>103</v>
      </c>
      <c r="B255" s="34"/>
      <c r="E255" s="36" t="s">
        <v>5692</v>
      </c>
      <c r="J255" s="35"/>
    </row>
    <row r="256" spans="1:10" x14ac:dyDescent="0.3">
      <c r="A256" s="27" t="s">
        <v>103</v>
      </c>
      <c r="B256" s="34"/>
      <c r="E256" s="36" t="s">
        <v>5693</v>
      </c>
      <c r="J256" s="35"/>
    </row>
    <row r="257" spans="1:10" x14ac:dyDescent="0.3">
      <c r="A257" s="27" t="s">
        <v>103</v>
      </c>
      <c r="B257" s="34"/>
      <c r="E257" s="36" t="s">
        <v>5694</v>
      </c>
      <c r="J257" s="35"/>
    </row>
    <row r="258" spans="1:10" ht="28.8" x14ac:dyDescent="0.3">
      <c r="A258" s="27" t="s">
        <v>103</v>
      </c>
      <c r="B258" s="34"/>
      <c r="E258" s="36" t="s">
        <v>5695</v>
      </c>
      <c r="J258" s="35"/>
    </row>
    <row r="259" spans="1:10" x14ac:dyDescent="0.3">
      <c r="A259" s="27" t="s">
        <v>103</v>
      </c>
      <c r="B259" s="34"/>
      <c r="E259" s="36" t="s">
        <v>5696</v>
      </c>
      <c r="J259" s="35"/>
    </row>
    <row r="260" spans="1:10" x14ac:dyDescent="0.3">
      <c r="A260" s="27" t="s">
        <v>103</v>
      </c>
      <c r="B260" s="34"/>
      <c r="E260" s="36" t="s">
        <v>5697</v>
      </c>
      <c r="J260" s="35"/>
    </row>
    <row r="261" spans="1:10" x14ac:dyDescent="0.3">
      <c r="A261" s="27" t="s">
        <v>103</v>
      </c>
      <c r="B261" s="34"/>
      <c r="E261" s="36" t="s">
        <v>5698</v>
      </c>
      <c r="J261" s="35"/>
    </row>
    <row r="262" spans="1:10" x14ac:dyDescent="0.3">
      <c r="A262" s="27" t="s">
        <v>103</v>
      </c>
      <c r="B262" s="34"/>
      <c r="E262" s="36" t="s">
        <v>5699</v>
      </c>
      <c r="J262" s="35"/>
    </row>
    <row r="263" spans="1:10" x14ac:dyDescent="0.3">
      <c r="A263" s="27" t="s">
        <v>103</v>
      </c>
      <c r="B263" s="34"/>
      <c r="E263" s="36" t="s">
        <v>5700</v>
      </c>
      <c r="J263" s="35"/>
    </row>
    <row r="264" spans="1:10" x14ac:dyDescent="0.3">
      <c r="A264" s="27" t="s">
        <v>103</v>
      </c>
      <c r="B264" s="34"/>
      <c r="E264" s="36" t="s">
        <v>5701</v>
      </c>
      <c r="J264" s="35"/>
    </row>
    <row r="265" spans="1:10" x14ac:dyDescent="0.3">
      <c r="A265" s="27" t="s">
        <v>103</v>
      </c>
      <c r="B265" s="34"/>
      <c r="E265" s="36" t="s">
        <v>5702</v>
      </c>
      <c r="J265" s="35"/>
    </row>
    <row r="266" spans="1:10" x14ac:dyDescent="0.3">
      <c r="A266" s="27" t="s">
        <v>103</v>
      </c>
      <c r="B266" s="34"/>
      <c r="E266" s="36" t="s">
        <v>5703</v>
      </c>
      <c r="J266" s="35"/>
    </row>
    <row r="267" spans="1:10" x14ac:dyDescent="0.3">
      <c r="A267" s="27" t="s">
        <v>103</v>
      </c>
      <c r="B267" s="34"/>
      <c r="E267" s="36" t="s">
        <v>5704</v>
      </c>
      <c r="J267" s="35"/>
    </row>
    <row r="268" spans="1:10" x14ac:dyDescent="0.3">
      <c r="A268" s="27" t="s">
        <v>103</v>
      </c>
      <c r="B268" s="34"/>
      <c r="E268" s="36" t="s">
        <v>5705</v>
      </c>
      <c r="J268" s="35"/>
    </row>
    <row r="269" spans="1:10" ht="28.8" x14ac:dyDescent="0.3">
      <c r="A269" s="27" t="s">
        <v>103</v>
      </c>
      <c r="B269" s="34"/>
      <c r="E269" s="36" t="s">
        <v>5706</v>
      </c>
      <c r="J269" s="35"/>
    </row>
    <row r="270" spans="1:10" ht="28.8" x14ac:dyDescent="0.3">
      <c r="A270" s="27" t="s">
        <v>103</v>
      </c>
      <c r="B270" s="34"/>
      <c r="E270" s="36" t="s">
        <v>5707</v>
      </c>
      <c r="J270" s="35"/>
    </row>
    <row r="271" spans="1:10" ht="28.8" x14ac:dyDescent="0.3">
      <c r="A271" s="27" t="s">
        <v>103</v>
      </c>
      <c r="B271" s="34"/>
      <c r="E271" s="36" t="s">
        <v>5708</v>
      </c>
      <c r="J271" s="35"/>
    </row>
    <row r="272" spans="1:10" x14ac:dyDescent="0.3">
      <c r="A272" s="27" t="s">
        <v>103</v>
      </c>
      <c r="B272" s="34"/>
      <c r="E272" s="36" t="s">
        <v>5709</v>
      </c>
      <c r="J272" s="35"/>
    </row>
    <row r="273" spans="1:10" x14ac:dyDescent="0.3">
      <c r="A273" s="27" t="s">
        <v>103</v>
      </c>
      <c r="B273" s="34"/>
      <c r="E273" s="36" t="s">
        <v>5710</v>
      </c>
      <c r="J273" s="35"/>
    </row>
    <row r="274" spans="1:10" x14ac:dyDescent="0.3">
      <c r="A274" s="27" t="s">
        <v>103</v>
      </c>
      <c r="B274" s="34"/>
      <c r="E274" s="36" t="s">
        <v>5711</v>
      </c>
      <c r="J274" s="35"/>
    </row>
    <row r="275" spans="1:10" x14ac:dyDescent="0.3">
      <c r="A275" s="27" t="s">
        <v>103</v>
      </c>
      <c r="B275" s="34"/>
      <c r="E275" s="36" t="s">
        <v>5712</v>
      </c>
      <c r="J275" s="35"/>
    </row>
    <row r="276" spans="1:10" x14ac:dyDescent="0.3">
      <c r="A276" s="27" t="s">
        <v>103</v>
      </c>
      <c r="B276" s="34"/>
      <c r="E276" s="36" t="s">
        <v>5713</v>
      </c>
      <c r="J276" s="35"/>
    </row>
    <row r="277" spans="1:10" x14ac:dyDescent="0.3">
      <c r="A277" s="27" t="s">
        <v>103</v>
      </c>
      <c r="B277" s="34"/>
      <c r="E277" s="36" t="s">
        <v>5714</v>
      </c>
      <c r="J277" s="35"/>
    </row>
    <row r="278" spans="1:10" x14ac:dyDescent="0.3">
      <c r="A278" s="27" t="s">
        <v>103</v>
      </c>
      <c r="B278" s="34"/>
      <c r="E278" s="36" t="s">
        <v>5715</v>
      </c>
      <c r="J278" s="35"/>
    </row>
    <row r="279" spans="1:10" x14ac:dyDescent="0.3">
      <c r="A279" s="27" t="s">
        <v>103</v>
      </c>
      <c r="B279" s="34"/>
      <c r="E279" s="36" t="s">
        <v>5716</v>
      </c>
      <c r="J279" s="35"/>
    </row>
    <row r="280" spans="1:10" x14ac:dyDescent="0.3">
      <c r="A280" s="27" t="s">
        <v>103</v>
      </c>
      <c r="B280" s="34"/>
      <c r="E280" s="36" t="s">
        <v>5717</v>
      </c>
      <c r="J280" s="35"/>
    </row>
    <row r="281" spans="1:10" x14ac:dyDescent="0.3">
      <c r="A281" s="27" t="s">
        <v>103</v>
      </c>
      <c r="B281" s="34"/>
      <c r="E281" s="36" t="s">
        <v>5718</v>
      </c>
      <c r="J281" s="35"/>
    </row>
    <row r="282" spans="1:10" x14ac:dyDescent="0.3">
      <c r="A282" s="27" t="s">
        <v>103</v>
      </c>
      <c r="B282" s="34"/>
      <c r="E282" s="36" t="s">
        <v>5719</v>
      </c>
      <c r="J282" s="35"/>
    </row>
    <row r="283" spans="1:10" ht="28.8" x14ac:dyDescent="0.3">
      <c r="A283" s="27" t="s">
        <v>103</v>
      </c>
      <c r="B283" s="34"/>
      <c r="E283" s="36" t="s">
        <v>5720</v>
      </c>
      <c r="J283" s="35"/>
    </row>
    <row r="284" spans="1:10" ht="28.8" x14ac:dyDescent="0.3">
      <c r="A284" s="27" t="s">
        <v>103</v>
      </c>
      <c r="B284" s="34"/>
      <c r="E284" s="36" t="s">
        <v>5721</v>
      </c>
      <c r="J284" s="35"/>
    </row>
    <row r="285" spans="1:10" x14ac:dyDescent="0.3">
      <c r="A285" s="27" t="s">
        <v>103</v>
      </c>
      <c r="B285" s="34"/>
      <c r="E285" s="36" t="s">
        <v>5722</v>
      </c>
      <c r="J285" s="35"/>
    </row>
    <row r="286" spans="1:10" ht="28.8" x14ac:dyDescent="0.3">
      <c r="A286" s="27" t="s">
        <v>103</v>
      </c>
      <c r="B286" s="34"/>
      <c r="E286" s="36" t="s">
        <v>5723</v>
      </c>
      <c r="J286" s="35"/>
    </row>
    <row r="287" spans="1:10" x14ac:dyDescent="0.3">
      <c r="A287" s="27" t="s">
        <v>103</v>
      </c>
      <c r="B287" s="34"/>
      <c r="E287" s="36" t="s">
        <v>5724</v>
      </c>
      <c r="J287" s="35"/>
    </row>
    <row r="288" spans="1:10" x14ac:dyDescent="0.3">
      <c r="A288" s="27" t="s">
        <v>103</v>
      </c>
      <c r="B288" s="34"/>
      <c r="E288" s="36" t="s">
        <v>5725</v>
      </c>
      <c r="J288" s="35"/>
    </row>
    <row r="289" spans="1:10" ht="28.8" x14ac:dyDescent="0.3">
      <c r="A289" s="27" t="s">
        <v>103</v>
      </c>
      <c r="B289" s="34"/>
      <c r="E289" s="36" t="s">
        <v>5726</v>
      </c>
      <c r="J289" s="35"/>
    </row>
    <row r="290" spans="1:10" x14ac:dyDescent="0.3">
      <c r="A290" s="27" t="s">
        <v>103</v>
      </c>
      <c r="B290" s="34"/>
      <c r="E290" s="36" t="s">
        <v>5727</v>
      </c>
      <c r="J290" s="35"/>
    </row>
    <row r="291" spans="1:10" x14ac:dyDescent="0.3">
      <c r="A291" s="27" t="s">
        <v>103</v>
      </c>
      <c r="B291" s="34"/>
      <c r="E291" s="36" t="s">
        <v>5728</v>
      </c>
      <c r="J291" s="35"/>
    </row>
    <row r="292" spans="1:10" x14ac:dyDescent="0.3">
      <c r="A292" s="27" t="s">
        <v>103</v>
      </c>
      <c r="B292" s="34"/>
      <c r="E292" s="36" t="s">
        <v>5729</v>
      </c>
      <c r="J292" s="35"/>
    </row>
    <row r="293" spans="1:10" x14ac:dyDescent="0.3">
      <c r="A293" s="27" t="s">
        <v>103</v>
      </c>
      <c r="B293" s="34"/>
      <c r="E293" s="36" t="s">
        <v>5730</v>
      </c>
      <c r="J293" s="35"/>
    </row>
    <row r="294" spans="1:10" x14ac:dyDescent="0.3">
      <c r="A294" s="27" t="s">
        <v>103</v>
      </c>
      <c r="B294" s="34"/>
      <c r="E294" s="36" t="s">
        <v>5731</v>
      </c>
      <c r="J294" s="35"/>
    </row>
    <row r="295" spans="1:10" ht="28.8" x14ac:dyDescent="0.3">
      <c r="A295" s="27" t="s">
        <v>103</v>
      </c>
      <c r="B295" s="34"/>
      <c r="E295" s="36" t="s">
        <v>5732</v>
      </c>
      <c r="J295" s="35"/>
    </row>
    <row r="296" spans="1:10" x14ac:dyDescent="0.3">
      <c r="A296" s="27" t="s">
        <v>103</v>
      </c>
      <c r="B296" s="34"/>
      <c r="E296" s="36" t="s">
        <v>5733</v>
      </c>
      <c r="J296" s="35"/>
    </row>
    <row r="297" spans="1:10" x14ac:dyDescent="0.3">
      <c r="A297" s="27" t="s">
        <v>103</v>
      </c>
      <c r="B297" s="34"/>
      <c r="E297" s="36" t="s">
        <v>5734</v>
      </c>
      <c r="J297" s="35"/>
    </row>
    <row r="298" spans="1:10" x14ac:dyDescent="0.3">
      <c r="A298" s="27" t="s">
        <v>103</v>
      </c>
      <c r="B298" s="34"/>
      <c r="E298" s="36" t="s">
        <v>5735</v>
      </c>
      <c r="J298" s="35"/>
    </row>
    <row r="299" spans="1:10" x14ac:dyDescent="0.3">
      <c r="A299" s="27" t="s">
        <v>103</v>
      </c>
      <c r="B299" s="34"/>
      <c r="E299" s="36" t="s">
        <v>5736</v>
      </c>
      <c r="J299" s="35"/>
    </row>
    <row r="300" spans="1:10" x14ac:dyDescent="0.3">
      <c r="A300" s="27" t="s">
        <v>103</v>
      </c>
      <c r="B300" s="34"/>
      <c r="E300" s="36" t="s">
        <v>5737</v>
      </c>
      <c r="J300" s="35"/>
    </row>
    <row r="301" spans="1:10" ht="28.8" x14ac:dyDescent="0.3">
      <c r="A301" s="27" t="s">
        <v>103</v>
      </c>
      <c r="B301" s="34"/>
      <c r="E301" s="36" t="s">
        <v>5738</v>
      </c>
      <c r="J301" s="35"/>
    </row>
    <row r="302" spans="1:10" x14ac:dyDescent="0.3">
      <c r="A302" s="27" t="s">
        <v>103</v>
      </c>
      <c r="B302" s="34"/>
      <c r="E302" s="36" t="s">
        <v>5739</v>
      </c>
      <c r="J302" s="35"/>
    </row>
    <row r="303" spans="1:10" x14ac:dyDescent="0.3">
      <c r="A303" s="27" t="s">
        <v>103</v>
      </c>
      <c r="B303" s="34"/>
      <c r="E303" s="36" t="s">
        <v>5740</v>
      </c>
      <c r="J303" s="35"/>
    </row>
    <row r="304" spans="1:10" x14ac:dyDescent="0.3">
      <c r="A304" s="27" t="s">
        <v>103</v>
      </c>
      <c r="B304" s="34"/>
      <c r="E304" s="36" t="s">
        <v>5741</v>
      </c>
      <c r="J304" s="35"/>
    </row>
    <row r="305" spans="1:10" ht="28.8" x14ac:dyDescent="0.3">
      <c r="A305" s="27" t="s">
        <v>103</v>
      </c>
      <c r="B305" s="34"/>
      <c r="E305" s="36" t="s">
        <v>5742</v>
      </c>
      <c r="J305" s="35"/>
    </row>
    <row r="306" spans="1:10" x14ac:dyDescent="0.3">
      <c r="A306" s="27" t="s">
        <v>103</v>
      </c>
      <c r="B306" s="34"/>
      <c r="E306" s="36" t="s">
        <v>5743</v>
      </c>
      <c r="J306" s="35"/>
    </row>
    <row r="307" spans="1:10" x14ac:dyDescent="0.3">
      <c r="A307" s="27" t="s">
        <v>103</v>
      </c>
      <c r="B307" s="34"/>
      <c r="E307" s="36" t="s">
        <v>5744</v>
      </c>
      <c r="J307" s="35"/>
    </row>
    <row r="308" spans="1:10" ht="28.8" x14ac:dyDescent="0.3">
      <c r="A308" s="27" t="s">
        <v>103</v>
      </c>
      <c r="B308" s="34"/>
      <c r="E308" s="36" t="s">
        <v>5745</v>
      </c>
      <c r="J308" s="35"/>
    </row>
    <row r="309" spans="1:10" ht="28.8" x14ac:dyDescent="0.3">
      <c r="A309" s="27" t="s">
        <v>103</v>
      </c>
      <c r="B309" s="34"/>
      <c r="E309" s="36" t="s">
        <v>5746</v>
      </c>
      <c r="J309" s="35"/>
    </row>
    <row r="310" spans="1:10" x14ac:dyDescent="0.3">
      <c r="A310" s="27" t="s">
        <v>103</v>
      </c>
      <c r="B310" s="34"/>
      <c r="E310" s="36" t="s">
        <v>5747</v>
      </c>
      <c r="J310" s="35"/>
    </row>
    <row r="311" spans="1:10" ht="28.8" x14ac:dyDescent="0.3">
      <c r="A311" s="27" t="s">
        <v>103</v>
      </c>
      <c r="B311" s="34"/>
      <c r="E311" s="36" t="s">
        <v>5748</v>
      </c>
      <c r="J311" s="35"/>
    </row>
    <row r="312" spans="1:10" x14ac:dyDescent="0.3">
      <c r="A312" s="27" t="s">
        <v>103</v>
      </c>
      <c r="B312" s="34"/>
      <c r="E312" s="36" t="s">
        <v>5749</v>
      </c>
      <c r="J312" s="35"/>
    </row>
    <row r="313" spans="1:10" x14ac:dyDescent="0.3">
      <c r="A313" s="27" t="s">
        <v>103</v>
      </c>
      <c r="B313" s="34"/>
      <c r="E313" s="36" t="s">
        <v>5750</v>
      </c>
      <c r="J313" s="35"/>
    </row>
    <row r="314" spans="1:10" x14ac:dyDescent="0.3">
      <c r="A314" s="27" t="s">
        <v>103</v>
      </c>
      <c r="B314" s="34"/>
      <c r="E314" s="36" t="s">
        <v>5751</v>
      </c>
      <c r="J314" s="35"/>
    </row>
    <row r="315" spans="1:10" ht="28.8" x14ac:dyDescent="0.3">
      <c r="A315" s="27" t="s">
        <v>103</v>
      </c>
      <c r="B315" s="34"/>
      <c r="E315" s="36" t="s">
        <v>5752</v>
      </c>
      <c r="J315" s="35"/>
    </row>
    <row r="316" spans="1:10" ht="28.8" x14ac:dyDescent="0.3">
      <c r="A316" s="27" t="s">
        <v>103</v>
      </c>
      <c r="B316" s="34"/>
      <c r="E316" s="36" t="s">
        <v>5753</v>
      </c>
      <c r="J316" s="35"/>
    </row>
    <row r="317" spans="1:10" x14ac:dyDescent="0.3">
      <c r="A317" s="27" t="s">
        <v>103</v>
      </c>
      <c r="B317" s="34"/>
      <c r="E317" s="36" t="s">
        <v>5754</v>
      </c>
      <c r="J317" s="35"/>
    </row>
    <row r="318" spans="1:10" x14ac:dyDescent="0.3">
      <c r="A318" s="27" t="s">
        <v>103</v>
      </c>
      <c r="B318" s="34"/>
      <c r="E318" s="36" t="s">
        <v>5755</v>
      </c>
      <c r="J318" s="35"/>
    </row>
    <row r="319" spans="1:10" x14ac:dyDescent="0.3">
      <c r="A319" s="27" t="s">
        <v>103</v>
      </c>
      <c r="B319" s="34"/>
      <c r="E319" s="36" t="s">
        <v>5756</v>
      </c>
      <c r="J319" s="35"/>
    </row>
    <row r="320" spans="1:10" x14ac:dyDescent="0.3">
      <c r="A320" s="27" t="s">
        <v>103</v>
      </c>
      <c r="B320" s="34"/>
      <c r="E320" s="36" t="s">
        <v>5757</v>
      </c>
      <c r="J320" s="35"/>
    </row>
    <row r="321" spans="1:10" x14ac:dyDescent="0.3">
      <c r="A321" s="27" t="s">
        <v>103</v>
      </c>
      <c r="B321" s="34"/>
      <c r="E321" s="36" t="s">
        <v>5758</v>
      </c>
      <c r="J321" s="35"/>
    </row>
    <row r="322" spans="1:10" x14ac:dyDescent="0.3">
      <c r="A322" s="27" t="s">
        <v>103</v>
      </c>
      <c r="B322" s="34"/>
      <c r="E322" s="36" t="s">
        <v>5759</v>
      </c>
      <c r="J322" s="35"/>
    </row>
    <row r="323" spans="1:10" ht="28.8" x14ac:dyDescent="0.3">
      <c r="A323" s="27" t="s">
        <v>103</v>
      </c>
      <c r="B323" s="34"/>
      <c r="E323" s="36" t="s">
        <v>5760</v>
      </c>
      <c r="J323" s="35"/>
    </row>
    <row r="324" spans="1:10" ht="28.8" x14ac:dyDescent="0.3">
      <c r="A324" s="27" t="s">
        <v>103</v>
      </c>
      <c r="B324" s="34"/>
      <c r="E324" s="36" t="s">
        <v>5761</v>
      </c>
      <c r="J324" s="35"/>
    </row>
    <row r="325" spans="1:10" x14ac:dyDescent="0.3">
      <c r="A325" s="27" t="s">
        <v>103</v>
      </c>
      <c r="B325" s="34"/>
      <c r="E325" s="36" t="s">
        <v>5762</v>
      </c>
      <c r="J325" s="35"/>
    </row>
    <row r="326" spans="1:10" ht="28.8" x14ac:dyDescent="0.3">
      <c r="A326" s="27" t="s">
        <v>103</v>
      </c>
      <c r="B326" s="34"/>
      <c r="E326" s="36" t="s">
        <v>5763</v>
      </c>
      <c r="J326" s="35"/>
    </row>
    <row r="327" spans="1:10" ht="28.8" x14ac:dyDescent="0.3">
      <c r="A327" s="27" t="s">
        <v>103</v>
      </c>
      <c r="B327" s="34"/>
      <c r="E327" s="36" t="s">
        <v>5764</v>
      </c>
      <c r="J327" s="35"/>
    </row>
    <row r="328" spans="1:10" ht="28.8" x14ac:dyDescent="0.3">
      <c r="A328" s="27" t="s">
        <v>103</v>
      </c>
      <c r="B328" s="34"/>
      <c r="E328" s="36" t="s">
        <v>5765</v>
      </c>
      <c r="J328" s="35"/>
    </row>
    <row r="329" spans="1:10" x14ac:dyDescent="0.3">
      <c r="A329" s="27" t="s">
        <v>103</v>
      </c>
      <c r="B329" s="34"/>
      <c r="E329" s="36" t="s">
        <v>5766</v>
      </c>
      <c r="J329" s="35"/>
    </row>
    <row r="330" spans="1:10" x14ac:dyDescent="0.3">
      <c r="A330" s="27" t="s">
        <v>103</v>
      </c>
      <c r="B330" s="34"/>
      <c r="E330" s="36" t="s">
        <v>5767</v>
      </c>
      <c r="J330" s="35"/>
    </row>
    <row r="331" spans="1:10" x14ac:dyDescent="0.3">
      <c r="A331" s="27" t="s">
        <v>103</v>
      </c>
      <c r="B331" s="34"/>
      <c r="E331" s="36" t="s">
        <v>5768</v>
      </c>
      <c r="J331" s="35"/>
    </row>
    <row r="332" spans="1:10" x14ac:dyDescent="0.3">
      <c r="A332" s="27" t="s">
        <v>103</v>
      </c>
      <c r="B332" s="34"/>
      <c r="E332" s="36" t="s">
        <v>5769</v>
      </c>
      <c r="J332" s="35"/>
    </row>
    <row r="333" spans="1:10" x14ac:dyDescent="0.3">
      <c r="A333" s="27" t="s">
        <v>103</v>
      </c>
      <c r="B333" s="34"/>
      <c r="E333" s="36" t="s">
        <v>5770</v>
      </c>
      <c r="J333" s="35"/>
    </row>
    <row r="334" spans="1:10" x14ac:dyDescent="0.3">
      <c r="A334" s="27" t="s">
        <v>103</v>
      </c>
      <c r="B334" s="34"/>
      <c r="E334" s="36" t="s">
        <v>5771</v>
      </c>
      <c r="J334" s="35"/>
    </row>
    <row r="335" spans="1:10" x14ac:dyDescent="0.3">
      <c r="A335" s="27" t="s">
        <v>103</v>
      </c>
      <c r="B335" s="34"/>
      <c r="E335" s="36" t="s">
        <v>5772</v>
      </c>
      <c r="J335" s="35"/>
    </row>
    <row r="336" spans="1:10" x14ac:dyDescent="0.3">
      <c r="A336" s="27" t="s">
        <v>103</v>
      </c>
      <c r="B336" s="34"/>
      <c r="E336" s="36" t="s">
        <v>5773</v>
      </c>
      <c r="J336" s="35"/>
    </row>
    <row r="337" spans="1:16" x14ac:dyDescent="0.3">
      <c r="A337" s="27" t="s">
        <v>103</v>
      </c>
      <c r="B337" s="34"/>
      <c r="E337" s="36" t="s">
        <v>5774</v>
      </c>
      <c r="J337" s="35"/>
    </row>
    <row r="338" spans="1:16" ht="259.2" x14ac:dyDescent="0.3">
      <c r="A338" s="27" t="s">
        <v>105</v>
      </c>
      <c r="B338" s="34"/>
      <c r="E338" s="29" t="s">
        <v>5775</v>
      </c>
      <c r="J338" s="35"/>
    </row>
    <row r="339" spans="1:16" x14ac:dyDescent="0.3">
      <c r="A339" s="21" t="s">
        <v>92</v>
      </c>
      <c r="B339" s="22"/>
      <c r="C339" s="23" t="s">
        <v>121</v>
      </c>
      <c r="D339" s="24"/>
      <c r="E339" s="21" t="s">
        <v>669</v>
      </c>
      <c r="F339" s="24"/>
      <c r="G339" s="24"/>
      <c r="H339" s="24"/>
      <c r="I339" s="25">
        <f>SUMIFS(I340:I364,A340:A364,"P")</f>
        <v>0</v>
      </c>
      <c r="J339" s="26"/>
    </row>
    <row r="340" spans="1:16" x14ac:dyDescent="0.3">
      <c r="A340" s="27" t="s">
        <v>95</v>
      </c>
      <c r="B340" s="27">
        <v>11</v>
      </c>
      <c r="C340" s="28" t="s">
        <v>5776</v>
      </c>
      <c r="D340" s="27" t="s">
        <v>129</v>
      </c>
      <c r="E340" s="29" t="s">
        <v>5777</v>
      </c>
      <c r="F340" s="30" t="s">
        <v>229</v>
      </c>
      <c r="G340" s="31">
        <v>0.22800000000000001</v>
      </c>
      <c r="H340" s="32">
        <v>0</v>
      </c>
      <c r="I340" s="32">
        <f>ROUND(0.228*H340,P4)</f>
        <v>0</v>
      </c>
      <c r="J340" s="30" t="s">
        <v>118</v>
      </c>
      <c r="O340" s="33">
        <f>I340*0.21</f>
        <v>0</v>
      </c>
      <c r="P340">
        <v>3</v>
      </c>
    </row>
    <row r="341" spans="1:16" ht="172.8" x14ac:dyDescent="0.3">
      <c r="A341" s="27" t="s">
        <v>101</v>
      </c>
      <c r="B341" s="34"/>
      <c r="E341" s="29" t="s">
        <v>5622</v>
      </c>
      <c r="J341" s="35"/>
    </row>
    <row r="342" spans="1:16" ht="28.8" x14ac:dyDescent="0.3">
      <c r="A342" s="27" t="s">
        <v>103</v>
      </c>
      <c r="B342" s="34"/>
      <c r="E342" s="36" t="s">
        <v>5623</v>
      </c>
      <c r="J342" s="35"/>
    </row>
    <row r="343" spans="1:16" ht="28.8" x14ac:dyDescent="0.3">
      <c r="A343" s="27" t="s">
        <v>103</v>
      </c>
      <c r="B343" s="34"/>
      <c r="E343" s="36" t="s">
        <v>5624</v>
      </c>
      <c r="J343" s="35"/>
    </row>
    <row r="344" spans="1:16" ht="28.8" x14ac:dyDescent="0.3">
      <c r="A344" s="27" t="s">
        <v>103</v>
      </c>
      <c r="B344" s="34"/>
      <c r="E344" s="36" t="s">
        <v>5625</v>
      </c>
      <c r="J344" s="35"/>
    </row>
    <row r="345" spans="1:16" ht="28.8" x14ac:dyDescent="0.3">
      <c r="A345" s="27" t="s">
        <v>103</v>
      </c>
      <c r="B345" s="34"/>
      <c r="E345" s="36" t="s">
        <v>5626</v>
      </c>
      <c r="J345" s="35"/>
    </row>
    <row r="346" spans="1:16" ht="28.8" x14ac:dyDescent="0.3">
      <c r="A346" s="27" t="s">
        <v>103</v>
      </c>
      <c r="B346" s="34"/>
      <c r="E346" s="36" t="s">
        <v>5627</v>
      </c>
      <c r="J346" s="35"/>
    </row>
    <row r="347" spans="1:16" ht="28.8" x14ac:dyDescent="0.3">
      <c r="A347" s="27" t="s">
        <v>103</v>
      </c>
      <c r="B347" s="34"/>
      <c r="E347" s="36" t="s">
        <v>5628</v>
      </c>
      <c r="J347" s="35"/>
    </row>
    <row r="348" spans="1:16" ht="28.8" x14ac:dyDescent="0.3">
      <c r="A348" s="27" t="s">
        <v>103</v>
      </c>
      <c r="B348" s="34"/>
      <c r="E348" s="36" t="s">
        <v>5629</v>
      </c>
      <c r="J348" s="35"/>
    </row>
    <row r="349" spans="1:16" ht="28.8" x14ac:dyDescent="0.3">
      <c r="A349" s="27" t="s">
        <v>103</v>
      </c>
      <c r="B349" s="34"/>
      <c r="E349" s="36" t="s">
        <v>5630</v>
      </c>
      <c r="J349" s="35"/>
    </row>
    <row r="350" spans="1:16" ht="28.8" x14ac:dyDescent="0.3">
      <c r="A350" s="27" t="s">
        <v>103</v>
      </c>
      <c r="B350" s="34"/>
      <c r="E350" s="36" t="s">
        <v>5631</v>
      </c>
      <c r="J350" s="35"/>
    </row>
    <row r="351" spans="1:16" ht="28.8" x14ac:dyDescent="0.3">
      <c r="A351" s="27" t="s">
        <v>103</v>
      </c>
      <c r="B351" s="34"/>
      <c r="E351" s="36" t="s">
        <v>5632</v>
      </c>
      <c r="J351" s="35"/>
    </row>
    <row r="352" spans="1:16" ht="28.8" x14ac:dyDescent="0.3">
      <c r="A352" s="27" t="s">
        <v>103</v>
      </c>
      <c r="B352" s="34"/>
      <c r="E352" s="36" t="s">
        <v>5633</v>
      </c>
      <c r="J352" s="35"/>
    </row>
    <row r="353" spans="1:16" ht="28.8" x14ac:dyDescent="0.3">
      <c r="A353" s="27" t="s">
        <v>103</v>
      </c>
      <c r="B353" s="34"/>
      <c r="E353" s="36" t="s">
        <v>5634</v>
      </c>
      <c r="J353" s="35"/>
    </row>
    <row r="354" spans="1:16" ht="28.8" x14ac:dyDescent="0.3">
      <c r="A354" s="27" t="s">
        <v>103</v>
      </c>
      <c r="B354" s="34"/>
      <c r="E354" s="36" t="s">
        <v>5635</v>
      </c>
      <c r="J354" s="35"/>
    </row>
    <row r="355" spans="1:16" ht="28.8" x14ac:dyDescent="0.3">
      <c r="A355" s="27" t="s">
        <v>103</v>
      </c>
      <c r="B355" s="34"/>
      <c r="E355" s="36" t="s">
        <v>5636</v>
      </c>
      <c r="J355" s="35"/>
    </row>
    <row r="356" spans="1:16" ht="28.8" x14ac:dyDescent="0.3">
      <c r="A356" s="27" t="s">
        <v>103</v>
      </c>
      <c r="B356" s="34"/>
      <c r="E356" s="36" t="s">
        <v>5637</v>
      </c>
      <c r="J356" s="35"/>
    </row>
    <row r="357" spans="1:16" ht="28.8" x14ac:dyDescent="0.3">
      <c r="A357" s="27" t="s">
        <v>103</v>
      </c>
      <c r="B357" s="34"/>
      <c r="E357" s="36" t="s">
        <v>5638</v>
      </c>
      <c r="J357" s="35"/>
    </row>
    <row r="358" spans="1:16" ht="28.8" x14ac:dyDescent="0.3">
      <c r="A358" s="27" t="s">
        <v>103</v>
      </c>
      <c r="B358" s="34"/>
      <c r="E358" s="36" t="s">
        <v>5639</v>
      </c>
      <c r="J358" s="35"/>
    </row>
    <row r="359" spans="1:16" ht="28.8" x14ac:dyDescent="0.3">
      <c r="A359" s="27" t="s">
        <v>103</v>
      </c>
      <c r="B359" s="34"/>
      <c r="E359" s="36" t="s">
        <v>5640</v>
      </c>
      <c r="J359" s="35"/>
    </row>
    <row r="360" spans="1:16" ht="28.8" x14ac:dyDescent="0.3">
      <c r="A360" s="27" t="s">
        <v>103</v>
      </c>
      <c r="B360" s="34"/>
      <c r="E360" s="36" t="s">
        <v>5641</v>
      </c>
      <c r="J360" s="35"/>
    </row>
    <row r="361" spans="1:16" ht="28.8" x14ac:dyDescent="0.3">
      <c r="A361" s="27" t="s">
        <v>103</v>
      </c>
      <c r="B361" s="34"/>
      <c r="E361" s="36" t="s">
        <v>5642</v>
      </c>
      <c r="J361" s="35"/>
    </row>
    <row r="362" spans="1:16" x14ac:dyDescent="0.3">
      <c r="A362" s="27" t="s">
        <v>103</v>
      </c>
      <c r="B362" s="34"/>
      <c r="E362" s="36" t="s">
        <v>5778</v>
      </c>
      <c r="J362" s="35"/>
    </row>
    <row r="363" spans="1:16" x14ac:dyDescent="0.3">
      <c r="A363" s="27" t="s">
        <v>103</v>
      </c>
      <c r="B363" s="34"/>
      <c r="E363" s="36" t="s">
        <v>5779</v>
      </c>
      <c r="J363" s="35"/>
    </row>
    <row r="364" spans="1:16" ht="409.6" x14ac:dyDescent="0.3">
      <c r="A364" s="27" t="s">
        <v>105</v>
      </c>
      <c r="B364" s="34"/>
      <c r="E364" s="29" t="s">
        <v>680</v>
      </c>
      <c r="J364" s="35"/>
    </row>
    <row r="365" spans="1:16" x14ac:dyDescent="0.3">
      <c r="A365" s="21" t="s">
        <v>92</v>
      </c>
      <c r="B365" s="22"/>
      <c r="C365" s="23" t="s">
        <v>233</v>
      </c>
      <c r="D365" s="24"/>
      <c r="E365" s="21" t="s">
        <v>234</v>
      </c>
      <c r="F365" s="24"/>
      <c r="G365" s="24"/>
      <c r="H365" s="24"/>
      <c r="I365" s="25">
        <f>SUMIFS(I366:I389,A366:A389,"P")</f>
        <v>0</v>
      </c>
      <c r="J365" s="26"/>
    </row>
    <row r="366" spans="1:16" x14ac:dyDescent="0.3">
      <c r="A366" s="27" t="s">
        <v>95</v>
      </c>
      <c r="B366" s="27">
        <v>12</v>
      </c>
      <c r="C366" s="28" t="s">
        <v>5780</v>
      </c>
      <c r="D366" s="27" t="s">
        <v>97</v>
      </c>
      <c r="E366" s="29" t="s">
        <v>5781</v>
      </c>
      <c r="F366" s="30" t="s">
        <v>248</v>
      </c>
      <c r="G366" s="31">
        <v>65.58</v>
      </c>
      <c r="H366" s="32">
        <v>0</v>
      </c>
      <c r="I366" s="32">
        <f>ROUND(65.58*H366,P4)</f>
        <v>0</v>
      </c>
      <c r="J366" s="30" t="s">
        <v>118</v>
      </c>
      <c r="O366" s="33">
        <f>I366*0.21</f>
        <v>0</v>
      </c>
      <c r="P366">
        <v>3</v>
      </c>
    </row>
    <row r="367" spans="1:16" ht="100.8" x14ac:dyDescent="0.3">
      <c r="A367" s="27" t="s">
        <v>101</v>
      </c>
      <c r="B367" s="34"/>
      <c r="E367" s="29" t="s">
        <v>5782</v>
      </c>
      <c r="J367" s="35"/>
    </row>
    <row r="368" spans="1:16" ht="43.2" x14ac:dyDescent="0.3">
      <c r="A368" s="27" t="s">
        <v>103</v>
      </c>
      <c r="B368" s="34"/>
      <c r="E368" s="36" t="s">
        <v>5783</v>
      </c>
      <c r="J368" s="35"/>
    </row>
    <row r="369" spans="1:16" ht="259.2" x14ac:dyDescent="0.3">
      <c r="A369" s="27" t="s">
        <v>105</v>
      </c>
      <c r="B369" s="34"/>
      <c r="E369" s="29" t="s">
        <v>5784</v>
      </c>
      <c r="J369" s="35"/>
    </row>
    <row r="370" spans="1:16" x14ac:dyDescent="0.3">
      <c r="A370" s="27" t="s">
        <v>95</v>
      </c>
      <c r="B370" s="27">
        <v>13</v>
      </c>
      <c r="C370" s="28" t="s">
        <v>5780</v>
      </c>
      <c r="D370" s="27" t="s">
        <v>107</v>
      </c>
      <c r="E370" s="29" t="s">
        <v>5781</v>
      </c>
      <c r="F370" s="30" t="s">
        <v>248</v>
      </c>
      <c r="G370" s="31">
        <v>28.474</v>
      </c>
      <c r="H370" s="32">
        <v>0</v>
      </c>
      <c r="I370" s="32">
        <f>ROUND(28.474*H370,P4)</f>
        <v>0</v>
      </c>
      <c r="J370" s="30" t="s">
        <v>118</v>
      </c>
      <c r="O370" s="33">
        <f>I370*0.21</f>
        <v>0</v>
      </c>
      <c r="P370">
        <v>3</v>
      </c>
    </row>
    <row r="371" spans="1:16" ht="57.6" x14ac:dyDescent="0.3">
      <c r="A371" s="27" t="s">
        <v>101</v>
      </c>
      <c r="B371" s="34"/>
      <c r="E371" s="29" t="s">
        <v>5785</v>
      </c>
      <c r="J371" s="35"/>
    </row>
    <row r="372" spans="1:16" ht="28.8" x14ac:dyDescent="0.3">
      <c r="A372" s="27" t="s">
        <v>103</v>
      </c>
      <c r="B372" s="34"/>
      <c r="E372" s="36" t="s">
        <v>5786</v>
      </c>
      <c r="J372" s="35"/>
    </row>
    <row r="373" spans="1:16" ht="259.2" x14ac:dyDescent="0.3">
      <c r="A373" s="27" t="s">
        <v>105</v>
      </c>
      <c r="B373" s="34"/>
      <c r="E373" s="29" t="s">
        <v>5784</v>
      </c>
      <c r="J373" s="35"/>
    </row>
    <row r="374" spans="1:16" x14ac:dyDescent="0.3">
      <c r="A374" s="27" t="s">
        <v>95</v>
      </c>
      <c r="B374" s="27">
        <v>14</v>
      </c>
      <c r="C374" s="28" t="s">
        <v>5787</v>
      </c>
      <c r="D374" s="27" t="s">
        <v>97</v>
      </c>
      <c r="E374" s="29" t="s">
        <v>5788</v>
      </c>
      <c r="F374" s="30" t="s">
        <v>248</v>
      </c>
      <c r="G374" s="31">
        <v>65.58</v>
      </c>
      <c r="H374" s="32">
        <v>0</v>
      </c>
      <c r="I374" s="32">
        <f>ROUND(65.58*H374,P4)</f>
        <v>0</v>
      </c>
      <c r="J374" s="30" t="s">
        <v>118</v>
      </c>
      <c r="O374" s="33">
        <f>I374*0.21</f>
        <v>0</v>
      </c>
      <c r="P374">
        <v>3</v>
      </c>
    </row>
    <row r="375" spans="1:16" ht="86.4" x14ac:dyDescent="0.3">
      <c r="A375" s="27" t="s">
        <v>101</v>
      </c>
      <c r="B375" s="34"/>
      <c r="E375" s="29" t="s">
        <v>5789</v>
      </c>
      <c r="J375" s="35"/>
    </row>
    <row r="376" spans="1:16" ht="43.2" x14ac:dyDescent="0.3">
      <c r="A376" s="27" t="s">
        <v>103</v>
      </c>
      <c r="B376" s="34"/>
      <c r="E376" s="36" t="s">
        <v>5783</v>
      </c>
      <c r="J376" s="35"/>
    </row>
    <row r="377" spans="1:16" ht="43.2" x14ac:dyDescent="0.3">
      <c r="A377" s="27" t="s">
        <v>105</v>
      </c>
      <c r="B377" s="34"/>
      <c r="E377" s="29" t="s">
        <v>5790</v>
      </c>
      <c r="J377" s="35"/>
    </row>
    <row r="378" spans="1:16" x14ac:dyDescent="0.3">
      <c r="A378" s="27" t="s">
        <v>95</v>
      </c>
      <c r="B378" s="27">
        <v>15</v>
      </c>
      <c r="C378" s="28" t="s">
        <v>5787</v>
      </c>
      <c r="D378" s="27" t="s">
        <v>107</v>
      </c>
      <c r="E378" s="29" t="s">
        <v>5788</v>
      </c>
      <c r="F378" s="30" t="s">
        <v>248</v>
      </c>
      <c r="G378" s="31">
        <v>24.405999999999999</v>
      </c>
      <c r="H378" s="32">
        <v>0</v>
      </c>
      <c r="I378" s="32">
        <f>ROUND(24.406*H378,P4)</f>
        <v>0</v>
      </c>
      <c r="J378" s="30" t="s">
        <v>118</v>
      </c>
      <c r="O378" s="33">
        <f>I378*0.21</f>
        <v>0</v>
      </c>
      <c r="P378">
        <v>3</v>
      </c>
    </row>
    <row r="379" spans="1:16" ht="57.6" x14ac:dyDescent="0.3">
      <c r="A379" s="27" t="s">
        <v>101</v>
      </c>
      <c r="B379" s="34"/>
      <c r="E379" s="29" t="s">
        <v>5791</v>
      </c>
      <c r="J379" s="35"/>
    </row>
    <row r="380" spans="1:16" ht="28.8" x14ac:dyDescent="0.3">
      <c r="A380" s="27" t="s">
        <v>103</v>
      </c>
      <c r="B380" s="34"/>
      <c r="E380" s="36" t="s">
        <v>5792</v>
      </c>
      <c r="J380" s="35"/>
    </row>
    <row r="381" spans="1:16" ht="43.2" x14ac:dyDescent="0.3">
      <c r="A381" s="27" t="s">
        <v>105</v>
      </c>
      <c r="B381" s="34"/>
      <c r="E381" s="29" t="s">
        <v>5790</v>
      </c>
      <c r="J381" s="35"/>
    </row>
    <row r="382" spans="1:16" x14ac:dyDescent="0.3">
      <c r="A382" s="27" t="s">
        <v>95</v>
      </c>
      <c r="B382" s="27">
        <v>16</v>
      </c>
      <c r="C382" s="28" t="s">
        <v>5793</v>
      </c>
      <c r="D382" s="27" t="s">
        <v>129</v>
      </c>
      <c r="E382" s="29" t="s">
        <v>5794</v>
      </c>
      <c r="F382" s="30" t="s">
        <v>248</v>
      </c>
      <c r="G382" s="31">
        <v>54.25</v>
      </c>
      <c r="H382" s="32">
        <v>0</v>
      </c>
      <c r="I382" s="32">
        <f>ROUND(54.25*H382,P4)</f>
        <v>0</v>
      </c>
      <c r="J382" s="30" t="s">
        <v>118</v>
      </c>
      <c r="O382" s="33">
        <f>I382*0.21</f>
        <v>0</v>
      </c>
      <c r="P382">
        <v>3</v>
      </c>
    </row>
    <row r="383" spans="1:16" ht="43.2" x14ac:dyDescent="0.3">
      <c r="A383" s="27" t="s">
        <v>101</v>
      </c>
      <c r="B383" s="34"/>
      <c r="E383" s="29" t="s">
        <v>5795</v>
      </c>
      <c r="J383" s="35"/>
    </row>
    <row r="384" spans="1:16" x14ac:dyDescent="0.3">
      <c r="A384" s="27" t="s">
        <v>103</v>
      </c>
      <c r="B384" s="34"/>
      <c r="E384" s="36" t="s">
        <v>5796</v>
      </c>
      <c r="J384" s="35"/>
    </row>
    <row r="385" spans="1:16" ht="100.8" x14ac:dyDescent="0.3">
      <c r="A385" s="27" t="s">
        <v>105</v>
      </c>
      <c r="B385" s="34"/>
      <c r="E385" s="29" t="s">
        <v>5797</v>
      </c>
      <c r="J385" s="35"/>
    </row>
    <row r="386" spans="1:16" x14ac:dyDescent="0.3">
      <c r="A386" s="27" t="s">
        <v>95</v>
      </c>
      <c r="B386" s="27">
        <v>17</v>
      </c>
      <c r="C386" s="28" t="s">
        <v>5798</v>
      </c>
      <c r="D386" s="27" t="s">
        <v>129</v>
      </c>
      <c r="E386" s="29" t="s">
        <v>5799</v>
      </c>
      <c r="F386" s="30" t="s">
        <v>248</v>
      </c>
      <c r="G386" s="31">
        <v>65.58</v>
      </c>
      <c r="H386" s="32">
        <v>0</v>
      </c>
      <c r="I386" s="32">
        <f>ROUND(65.58*H386,P4)</f>
        <v>0</v>
      </c>
      <c r="J386" s="30" t="s">
        <v>118</v>
      </c>
      <c r="O386" s="33">
        <f>I386*0.21</f>
        <v>0</v>
      </c>
      <c r="P386">
        <v>3</v>
      </c>
    </row>
    <row r="387" spans="1:16" ht="129.6" x14ac:dyDescent="0.3">
      <c r="A387" s="27" t="s">
        <v>101</v>
      </c>
      <c r="B387" s="34"/>
      <c r="E387" s="29" t="s">
        <v>5800</v>
      </c>
      <c r="J387" s="35"/>
    </row>
    <row r="388" spans="1:16" ht="43.2" x14ac:dyDescent="0.3">
      <c r="A388" s="27" t="s">
        <v>103</v>
      </c>
      <c r="B388" s="34"/>
      <c r="E388" s="36" t="s">
        <v>5801</v>
      </c>
      <c r="J388" s="35"/>
    </row>
    <row r="389" spans="1:16" ht="57.6" x14ac:dyDescent="0.3">
      <c r="A389" s="27" t="s">
        <v>105</v>
      </c>
      <c r="B389" s="37"/>
      <c r="C389" s="38"/>
      <c r="D389" s="38"/>
      <c r="E389" s="29" t="s">
        <v>5802</v>
      </c>
      <c r="F389" s="38"/>
      <c r="G389" s="38"/>
      <c r="H389" s="38"/>
      <c r="I389" s="38"/>
      <c r="J389"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34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64</v>
      </c>
      <c r="I3" s="16">
        <f>SUMIFS(I8:I344,A8:A344,"SD")</f>
        <v>0</v>
      </c>
      <c r="J3" s="12"/>
      <c r="O3">
        <v>0</v>
      </c>
      <c r="P3">
        <v>2</v>
      </c>
    </row>
    <row r="4" spans="1:16" x14ac:dyDescent="0.3">
      <c r="A4" s="2" t="s">
        <v>79</v>
      </c>
      <c r="B4" s="13" t="s">
        <v>80</v>
      </c>
      <c r="C4" s="43" t="s">
        <v>64</v>
      </c>
      <c r="D4" s="44"/>
      <c r="E4" s="14" t="s">
        <v>65</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SUMIFS(I9:I74,A9:A74,"P")</f>
        <v>0</v>
      </c>
      <c r="J8" s="26"/>
    </row>
    <row r="9" spans="1:16" x14ac:dyDescent="0.3">
      <c r="A9" s="27" t="s">
        <v>95</v>
      </c>
      <c r="B9" s="27">
        <v>1</v>
      </c>
      <c r="C9" s="28" t="s">
        <v>5440</v>
      </c>
      <c r="D9" s="27" t="s">
        <v>129</v>
      </c>
      <c r="E9" s="29" t="s">
        <v>5441</v>
      </c>
      <c r="F9" s="30" t="s">
        <v>229</v>
      </c>
      <c r="G9" s="31">
        <v>26.632999999999999</v>
      </c>
      <c r="H9" s="32">
        <v>0</v>
      </c>
      <c r="I9" s="32">
        <f>ROUND(26.633*H9,P4)</f>
        <v>0</v>
      </c>
      <c r="J9" s="30" t="s">
        <v>118</v>
      </c>
      <c r="O9" s="33">
        <f>I9*0.21</f>
        <v>0</v>
      </c>
      <c r="P9">
        <v>3</v>
      </c>
    </row>
    <row r="10" spans="1:16" ht="115.2" x14ac:dyDescent="0.3">
      <c r="A10" s="27" t="s">
        <v>101</v>
      </c>
      <c r="B10" s="34"/>
      <c r="E10" s="29" t="s">
        <v>5442</v>
      </c>
      <c r="J10" s="35"/>
    </row>
    <row r="11" spans="1:16" ht="28.8" x14ac:dyDescent="0.3">
      <c r="A11" s="27" t="s">
        <v>103</v>
      </c>
      <c r="B11" s="34"/>
      <c r="E11" s="36" t="s">
        <v>5803</v>
      </c>
      <c r="J11" s="35"/>
    </row>
    <row r="12" spans="1:16" ht="28.8" x14ac:dyDescent="0.3">
      <c r="A12" s="27" t="s">
        <v>103</v>
      </c>
      <c r="B12" s="34"/>
      <c r="E12" s="36" t="s">
        <v>5804</v>
      </c>
      <c r="J12" s="35"/>
    </row>
    <row r="13" spans="1:16" ht="28.8" x14ac:dyDescent="0.3">
      <c r="A13" s="27" t="s">
        <v>103</v>
      </c>
      <c r="B13" s="34"/>
      <c r="E13" s="36" t="s">
        <v>5805</v>
      </c>
      <c r="J13" s="35"/>
    </row>
    <row r="14" spans="1:16" ht="28.8" x14ac:dyDescent="0.3">
      <c r="A14" s="27" t="s">
        <v>103</v>
      </c>
      <c r="B14" s="34"/>
      <c r="E14" s="36" t="s">
        <v>5806</v>
      </c>
      <c r="J14" s="35"/>
    </row>
    <row r="15" spans="1:16" ht="28.8" x14ac:dyDescent="0.3">
      <c r="A15" s="27" t="s">
        <v>103</v>
      </c>
      <c r="B15" s="34"/>
      <c r="E15" s="36" t="s">
        <v>5807</v>
      </c>
      <c r="J15" s="35"/>
    </row>
    <row r="16" spans="1:16" ht="28.8" x14ac:dyDescent="0.3">
      <c r="A16" s="27" t="s">
        <v>103</v>
      </c>
      <c r="B16" s="34"/>
      <c r="E16" s="36" t="s">
        <v>5808</v>
      </c>
      <c r="J16" s="35"/>
    </row>
    <row r="17" spans="1:10" ht="28.8" x14ac:dyDescent="0.3">
      <c r="A17" s="27" t="s">
        <v>103</v>
      </c>
      <c r="B17" s="34"/>
      <c r="E17" s="36" t="s">
        <v>5809</v>
      </c>
      <c r="J17" s="35"/>
    </row>
    <row r="18" spans="1:10" ht="28.8" x14ac:dyDescent="0.3">
      <c r="A18" s="27" t="s">
        <v>103</v>
      </c>
      <c r="B18" s="34"/>
      <c r="E18" s="36" t="s">
        <v>5810</v>
      </c>
      <c r="J18" s="35"/>
    </row>
    <row r="19" spans="1:10" ht="28.8" x14ac:dyDescent="0.3">
      <c r="A19" s="27" t="s">
        <v>103</v>
      </c>
      <c r="B19" s="34"/>
      <c r="E19" s="36" t="s">
        <v>5811</v>
      </c>
      <c r="J19" s="35"/>
    </row>
    <row r="20" spans="1:10" ht="28.8" x14ac:dyDescent="0.3">
      <c r="A20" s="27" t="s">
        <v>103</v>
      </c>
      <c r="B20" s="34"/>
      <c r="E20" s="36" t="s">
        <v>5812</v>
      </c>
      <c r="J20" s="35"/>
    </row>
    <row r="21" spans="1:10" ht="28.8" x14ac:dyDescent="0.3">
      <c r="A21" s="27" t="s">
        <v>103</v>
      </c>
      <c r="B21" s="34"/>
      <c r="E21" s="36" t="s">
        <v>5813</v>
      </c>
      <c r="J21" s="35"/>
    </row>
    <row r="22" spans="1:10" ht="28.8" x14ac:dyDescent="0.3">
      <c r="A22" s="27" t="s">
        <v>103</v>
      </c>
      <c r="B22" s="34"/>
      <c r="E22" s="36" t="s">
        <v>5814</v>
      </c>
      <c r="J22" s="35"/>
    </row>
    <row r="23" spans="1:10" ht="28.8" x14ac:dyDescent="0.3">
      <c r="A23" s="27" t="s">
        <v>103</v>
      </c>
      <c r="B23" s="34"/>
      <c r="E23" s="36" t="s">
        <v>5815</v>
      </c>
      <c r="J23" s="35"/>
    </row>
    <row r="24" spans="1:10" ht="28.8" x14ac:dyDescent="0.3">
      <c r="A24" s="27" t="s">
        <v>103</v>
      </c>
      <c r="B24" s="34"/>
      <c r="E24" s="36" t="s">
        <v>5816</v>
      </c>
      <c r="J24" s="35"/>
    </row>
    <row r="25" spans="1:10" ht="28.8" x14ac:dyDescent="0.3">
      <c r="A25" s="27" t="s">
        <v>103</v>
      </c>
      <c r="B25" s="34"/>
      <c r="E25" s="36" t="s">
        <v>5817</v>
      </c>
      <c r="J25" s="35"/>
    </row>
    <row r="26" spans="1:10" ht="28.8" x14ac:dyDescent="0.3">
      <c r="A26" s="27" t="s">
        <v>103</v>
      </c>
      <c r="B26" s="34"/>
      <c r="E26" s="36" t="s">
        <v>5818</v>
      </c>
      <c r="J26" s="35"/>
    </row>
    <row r="27" spans="1:10" ht="28.8" x14ac:dyDescent="0.3">
      <c r="A27" s="27" t="s">
        <v>103</v>
      </c>
      <c r="B27" s="34"/>
      <c r="E27" s="36" t="s">
        <v>5819</v>
      </c>
      <c r="J27" s="35"/>
    </row>
    <row r="28" spans="1:10" ht="28.8" x14ac:dyDescent="0.3">
      <c r="A28" s="27" t="s">
        <v>103</v>
      </c>
      <c r="B28" s="34"/>
      <c r="E28" s="36" t="s">
        <v>5820</v>
      </c>
      <c r="J28" s="35"/>
    </row>
    <row r="29" spans="1:10" ht="28.8" x14ac:dyDescent="0.3">
      <c r="A29" s="27" t="s">
        <v>103</v>
      </c>
      <c r="B29" s="34"/>
      <c r="E29" s="36" t="s">
        <v>5821</v>
      </c>
      <c r="J29" s="35"/>
    </row>
    <row r="30" spans="1:10" ht="28.8" x14ac:dyDescent="0.3">
      <c r="A30" s="27" t="s">
        <v>103</v>
      </c>
      <c r="B30" s="34"/>
      <c r="E30" s="36" t="s">
        <v>5822</v>
      </c>
      <c r="J30" s="35"/>
    </row>
    <row r="31" spans="1:10" ht="28.8" x14ac:dyDescent="0.3">
      <c r="A31" s="27" t="s">
        <v>103</v>
      </c>
      <c r="B31" s="34"/>
      <c r="E31" s="36" t="s">
        <v>5823</v>
      </c>
      <c r="J31" s="35"/>
    </row>
    <row r="32" spans="1:10" ht="28.8" x14ac:dyDescent="0.3">
      <c r="A32" s="27" t="s">
        <v>103</v>
      </c>
      <c r="B32" s="34"/>
      <c r="E32" s="36" t="s">
        <v>5824</v>
      </c>
      <c r="J32" s="35"/>
    </row>
    <row r="33" spans="1:16" ht="28.8" x14ac:dyDescent="0.3">
      <c r="A33" s="27" t="s">
        <v>103</v>
      </c>
      <c r="B33" s="34"/>
      <c r="E33" s="36" t="s">
        <v>5825</v>
      </c>
      <c r="J33" s="35"/>
    </row>
    <row r="34" spans="1:16" ht="28.8" x14ac:dyDescent="0.3">
      <c r="A34" s="27" t="s">
        <v>103</v>
      </c>
      <c r="B34" s="34"/>
      <c r="E34" s="36" t="s">
        <v>5826</v>
      </c>
      <c r="J34" s="35"/>
    </row>
    <row r="35" spans="1:16" ht="28.8" x14ac:dyDescent="0.3">
      <c r="A35" s="27" t="s">
        <v>103</v>
      </c>
      <c r="B35" s="34"/>
      <c r="E35" s="36" t="s">
        <v>5827</v>
      </c>
      <c r="J35" s="35"/>
    </row>
    <row r="36" spans="1:16" ht="28.8" x14ac:dyDescent="0.3">
      <c r="A36" s="27" t="s">
        <v>103</v>
      </c>
      <c r="B36" s="34"/>
      <c r="E36" s="36" t="s">
        <v>5828</v>
      </c>
      <c r="J36" s="35"/>
    </row>
    <row r="37" spans="1:16" ht="28.8" x14ac:dyDescent="0.3">
      <c r="A37" s="27" t="s">
        <v>103</v>
      </c>
      <c r="B37" s="34"/>
      <c r="E37" s="36" t="s">
        <v>5829</v>
      </c>
      <c r="J37" s="35"/>
    </row>
    <row r="38" spans="1:16" ht="28.8" x14ac:dyDescent="0.3">
      <c r="A38" s="27" t="s">
        <v>103</v>
      </c>
      <c r="B38" s="34"/>
      <c r="E38" s="36" t="s">
        <v>5830</v>
      </c>
      <c r="J38" s="35"/>
    </row>
    <row r="39" spans="1:16" ht="28.8" x14ac:dyDescent="0.3">
      <c r="A39" s="27" t="s">
        <v>103</v>
      </c>
      <c r="B39" s="34"/>
      <c r="E39" s="36" t="s">
        <v>5831</v>
      </c>
      <c r="J39" s="35"/>
    </row>
    <row r="40" spans="1:16" ht="28.8" x14ac:dyDescent="0.3">
      <c r="A40" s="27" t="s">
        <v>103</v>
      </c>
      <c r="B40" s="34"/>
      <c r="E40" s="36" t="s">
        <v>5832</v>
      </c>
      <c r="J40" s="35"/>
    </row>
    <row r="41" spans="1:16" ht="28.8" x14ac:dyDescent="0.3">
      <c r="A41" s="27" t="s">
        <v>103</v>
      </c>
      <c r="B41" s="34"/>
      <c r="E41" s="36" t="s">
        <v>5833</v>
      </c>
      <c r="J41" s="35"/>
    </row>
    <row r="42" spans="1:16" ht="28.8" x14ac:dyDescent="0.3">
      <c r="A42" s="27" t="s">
        <v>103</v>
      </c>
      <c r="B42" s="34"/>
      <c r="E42" s="36" t="s">
        <v>5834</v>
      </c>
      <c r="J42" s="35"/>
    </row>
    <row r="43" spans="1:16" ht="28.8" x14ac:dyDescent="0.3">
      <c r="A43" s="27" t="s">
        <v>103</v>
      </c>
      <c r="B43" s="34"/>
      <c r="E43" s="36" t="s">
        <v>5835</v>
      </c>
      <c r="J43" s="35"/>
    </row>
    <row r="44" spans="1:16" ht="28.8" x14ac:dyDescent="0.3">
      <c r="A44" s="27" t="s">
        <v>103</v>
      </c>
      <c r="B44" s="34"/>
      <c r="E44" s="36" t="s">
        <v>5836</v>
      </c>
      <c r="J44" s="35"/>
    </row>
    <row r="45" spans="1:16" ht="28.8" x14ac:dyDescent="0.3">
      <c r="A45" s="27" t="s">
        <v>103</v>
      </c>
      <c r="B45" s="34"/>
      <c r="E45" s="36" t="s">
        <v>5837</v>
      </c>
      <c r="J45" s="35"/>
    </row>
    <row r="46" spans="1:16" x14ac:dyDescent="0.3">
      <c r="A46" s="27" t="s">
        <v>103</v>
      </c>
      <c r="B46" s="34"/>
      <c r="E46" s="36" t="s">
        <v>5838</v>
      </c>
      <c r="J46" s="35"/>
    </row>
    <row r="47" spans="1:16" ht="388.8" x14ac:dyDescent="0.3">
      <c r="A47" s="27" t="s">
        <v>105</v>
      </c>
      <c r="B47" s="34"/>
      <c r="E47" s="29" t="s">
        <v>5296</v>
      </c>
      <c r="J47" s="35"/>
    </row>
    <row r="48" spans="1:16" x14ac:dyDescent="0.3">
      <c r="A48" s="27" t="s">
        <v>95</v>
      </c>
      <c r="B48" s="27">
        <v>2</v>
      </c>
      <c r="C48" s="28" t="s">
        <v>5485</v>
      </c>
      <c r="D48" s="27" t="s">
        <v>129</v>
      </c>
      <c r="E48" s="29" t="s">
        <v>5486</v>
      </c>
      <c r="F48" s="30" t="s">
        <v>229</v>
      </c>
      <c r="G48" s="31">
        <v>22.21</v>
      </c>
      <c r="H48" s="32">
        <v>0</v>
      </c>
      <c r="I48" s="32">
        <f>ROUND(22.21*H48,P4)</f>
        <v>0</v>
      </c>
      <c r="J48" s="30" t="s">
        <v>118</v>
      </c>
      <c r="O48" s="33">
        <f>I48*0.21</f>
        <v>0</v>
      </c>
      <c r="P48">
        <v>3</v>
      </c>
    </row>
    <row r="49" spans="1:10" ht="158.4" x14ac:dyDescent="0.3">
      <c r="A49" s="27" t="s">
        <v>101</v>
      </c>
      <c r="B49" s="34"/>
      <c r="E49" s="29" t="s">
        <v>5839</v>
      </c>
      <c r="J49" s="35"/>
    </row>
    <row r="50" spans="1:10" ht="28.8" x14ac:dyDescent="0.3">
      <c r="A50" s="27" t="s">
        <v>103</v>
      </c>
      <c r="B50" s="34"/>
      <c r="E50" s="36" t="s">
        <v>5840</v>
      </c>
      <c r="J50" s="35"/>
    </row>
    <row r="51" spans="1:10" ht="28.8" x14ac:dyDescent="0.3">
      <c r="A51" s="27" t="s">
        <v>103</v>
      </c>
      <c r="B51" s="34"/>
      <c r="E51" s="36" t="s">
        <v>5841</v>
      </c>
      <c r="J51" s="35"/>
    </row>
    <row r="52" spans="1:10" ht="28.8" x14ac:dyDescent="0.3">
      <c r="A52" s="27" t="s">
        <v>103</v>
      </c>
      <c r="B52" s="34"/>
      <c r="E52" s="36" t="s">
        <v>5842</v>
      </c>
      <c r="J52" s="35"/>
    </row>
    <row r="53" spans="1:10" ht="28.8" x14ac:dyDescent="0.3">
      <c r="A53" s="27" t="s">
        <v>103</v>
      </c>
      <c r="B53" s="34"/>
      <c r="E53" s="36" t="s">
        <v>5843</v>
      </c>
      <c r="J53" s="35"/>
    </row>
    <row r="54" spans="1:10" ht="28.8" x14ac:dyDescent="0.3">
      <c r="A54" s="27" t="s">
        <v>103</v>
      </c>
      <c r="B54" s="34"/>
      <c r="E54" s="36" t="s">
        <v>5844</v>
      </c>
      <c r="J54" s="35"/>
    </row>
    <row r="55" spans="1:10" ht="28.8" x14ac:dyDescent="0.3">
      <c r="A55" s="27" t="s">
        <v>103</v>
      </c>
      <c r="B55" s="34"/>
      <c r="E55" s="36" t="s">
        <v>5845</v>
      </c>
      <c r="J55" s="35"/>
    </row>
    <row r="56" spans="1:10" ht="28.8" x14ac:dyDescent="0.3">
      <c r="A56" s="27" t="s">
        <v>103</v>
      </c>
      <c r="B56" s="34"/>
      <c r="E56" s="36" t="s">
        <v>5846</v>
      </c>
      <c r="J56" s="35"/>
    </row>
    <row r="57" spans="1:10" ht="28.8" x14ac:dyDescent="0.3">
      <c r="A57" s="27" t="s">
        <v>103</v>
      </c>
      <c r="B57" s="34"/>
      <c r="E57" s="36" t="s">
        <v>5847</v>
      </c>
      <c r="J57" s="35"/>
    </row>
    <row r="58" spans="1:10" ht="28.8" x14ac:dyDescent="0.3">
      <c r="A58" s="27" t="s">
        <v>103</v>
      </c>
      <c r="B58" s="34"/>
      <c r="E58" s="36" t="s">
        <v>5848</v>
      </c>
      <c r="J58" s="35"/>
    </row>
    <row r="59" spans="1:10" ht="28.8" x14ac:dyDescent="0.3">
      <c r="A59" s="27" t="s">
        <v>103</v>
      </c>
      <c r="B59" s="34"/>
      <c r="E59" s="36" t="s">
        <v>5849</v>
      </c>
      <c r="J59" s="35"/>
    </row>
    <row r="60" spans="1:10" ht="28.8" x14ac:dyDescent="0.3">
      <c r="A60" s="27" t="s">
        <v>103</v>
      </c>
      <c r="B60" s="34"/>
      <c r="E60" s="36" t="s">
        <v>5850</v>
      </c>
      <c r="J60" s="35"/>
    </row>
    <row r="61" spans="1:10" ht="28.8" x14ac:dyDescent="0.3">
      <c r="A61" s="27" t="s">
        <v>103</v>
      </c>
      <c r="B61" s="34"/>
      <c r="E61" s="36" t="s">
        <v>5851</v>
      </c>
      <c r="J61" s="35"/>
    </row>
    <row r="62" spans="1:10" ht="28.8" x14ac:dyDescent="0.3">
      <c r="A62" s="27" t="s">
        <v>103</v>
      </c>
      <c r="B62" s="34"/>
      <c r="E62" s="36" t="s">
        <v>5852</v>
      </c>
      <c r="J62" s="35"/>
    </row>
    <row r="63" spans="1:10" ht="28.8" x14ac:dyDescent="0.3">
      <c r="A63" s="27" t="s">
        <v>103</v>
      </c>
      <c r="B63" s="34"/>
      <c r="E63" s="36" t="s">
        <v>5853</v>
      </c>
      <c r="J63" s="35"/>
    </row>
    <row r="64" spans="1:10" ht="28.8" x14ac:dyDescent="0.3">
      <c r="A64" s="27" t="s">
        <v>103</v>
      </c>
      <c r="B64" s="34"/>
      <c r="E64" s="36" t="s">
        <v>5854</v>
      </c>
      <c r="J64" s="35"/>
    </row>
    <row r="65" spans="1:16" ht="28.8" x14ac:dyDescent="0.3">
      <c r="A65" s="27" t="s">
        <v>103</v>
      </c>
      <c r="B65" s="34"/>
      <c r="E65" s="36" t="s">
        <v>5855</v>
      </c>
      <c r="J65" s="35"/>
    </row>
    <row r="66" spans="1:16" ht="28.8" x14ac:dyDescent="0.3">
      <c r="A66" s="27" t="s">
        <v>103</v>
      </c>
      <c r="B66" s="34"/>
      <c r="E66" s="36" t="s">
        <v>5856</v>
      </c>
      <c r="J66" s="35"/>
    </row>
    <row r="67" spans="1:16" ht="28.8" x14ac:dyDescent="0.3">
      <c r="A67" s="27" t="s">
        <v>103</v>
      </c>
      <c r="B67" s="34"/>
      <c r="E67" s="36" t="s">
        <v>5857</v>
      </c>
      <c r="J67" s="35"/>
    </row>
    <row r="68" spans="1:16" x14ac:dyDescent="0.3">
      <c r="A68" s="27" t="s">
        <v>103</v>
      </c>
      <c r="B68" s="34"/>
      <c r="E68" s="36" t="s">
        <v>5858</v>
      </c>
      <c r="J68" s="35"/>
    </row>
    <row r="69" spans="1:16" ht="273.60000000000002" x14ac:dyDescent="0.3">
      <c r="A69" s="27" t="s">
        <v>105</v>
      </c>
      <c r="B69" s="34"/>
      <c r="E69" s="29" t="s">
        <v>5510</v>
      </c>
      <c r="J69" s="35"/>
    </row>
    <row r="70" spans="1:16" x14ac:dyDescent="0.3">
      <c r="A70" s="27" t="s">
        <v>95</v>
      </c>
      <c r="B70" s="27">
        <v>3</v>
      </c>
      <c r="C70" s="28" t="s">
        <v>5511</v>
      </c>
      <c r="D70" s="27" t="s">
        <v>129</v>
      </c>
      <c r="E70" s="29" t="s">
        <v>5512</v>
      </c>
      <c r="F70" s="30" t="s">
        <v>117</v>
      </c>
      <c r="G70" s="31">
        <v>166</v>
      </c>
      <c r="H70" s="32">
        <v>0</v>
      </c>
      <c r="I70" s="32">
        <f>ROUND(166*H70,P4)</f>
        <v>0</v>
      </c>
      <c r="J70" s="30" t="s">
        <v>118</v>
      </c>
      <c r="O70" s="33">
        <f>I70*0.21</f>
        <v>0</v>
      </c>
      <c r="P70">
        <v>3</v>
      </c>
    </row>
    <row r="71" spans="1:16" ht="28.8" x14ac:dyDescent="0.3">
      <c r="A71" s="27" t="s">
        <v>101</v>
      </c>
      <c r="B71" s="34"/>
      <c r="E71" s="29" t="s">
        <v>5859</v>
      </c>
      <c r="J71" s="35"/>
    </row>
    <row r="72" spans="1:16" x14ac:dyDescent="0.3">
      <c r="A72" s="27" t="s">
        <v>103</v>
      </c>
      <c r="B72" s="34"/>
      <c r="E72" s="36" t="s">
        <v>5860</v>
      </c>
      <c r="J72" s="35"/>
    </row>
    <row r="73" spans="1:16" x14ac:dyDescent="0.3">
      <c r="A73" s="27" t="s">
        <v>103</v>
      </c>
      <c r="B73" s="34"/>
      <c r="E73" s="36" t="s">
        <v>5861</v>
      </c>
      <c r="J73" s="35"/>
    </row>
    <row r="74" spans="1:16" ht="100.8" x14ac:dyDescent="0.3">
      <c r="A74" s="27" t="s">
        <v>105</v>
      </c>
      <c r="B74" s="34"/>
      <c r="E74" s="29" t="s">
        <v>5516</v>
      </c>
      <c r="J74" s="35"/>
    </row>
    <row r="75" spans="1:16" x14ac:dyDescent="0.3">
      <c r="A75" s="21" t="s">
        <v>92</v>
      </c>
      <c r="B75" s="22"/>
      <c r="C75" s="23" t="s">
        <v>107</v>
      </c>
      <c r="D75" s="24"/>
      <c r="E75" s="21" t="s">
        <v>618</v>
      </c>
      <c r="F75" s="24"/>
      <c r="G75" s="24"/>
      <c r="H75" s="24"/>
      <c r="I75" s="25">
        <f>SUMIFS(I76:I163,A76:A163,"P")</f>
        <v>0</v>
      </c>
      <c r="J75" s="26"/>
    </row>
    <row r="76" spans="1:16" x14ac:dyDescent="0.3">
      <c r="A76" s="27" t="s">
        <v>95</v>
      </c>
      <c r="B76" s="27">
        <v>4</v>
      </c>
      <c r="C76" s="28" t="s">
        <v>5517</v>
      </c>
      <c r="D76" s="27" t="s">
        <v>129</v>
      </c>
      <c r="E76" s="29" t="s">
        <v>5518</v>
      </c>
      <c r="F76" s="30" t="s">
        <v>229</v>
      </c>
      <c r="G76" s="31">
        <v>8.7479999999999993</v>
      </c>
      <c r="H76" s="32">
        <v>0</v>
      </c>
      <c r="I76" s="32">
        <f>ROUND(8.748*H76,P4)</f>
        <v>0</v>
      </c>
      <c r="J76" s="30" t="s">
        <v>118</v>
      </c>
      <c r="O76" s="33">
        <f>I76*0.21</f>
        <v>0</v>
      </c>
      <c r="P76">
        <v>3</v>
      </c>
    </row>
    <row r="77" spans="1:16" ht="409.6" x14ac:dyDescent="0.3">
      <c r="A77" s="27" t="s">
        <v>101</v>
      </c>
      <c r="B77" s="34"/>
      <c r="E77" s="29" t="s">
        <v>5862</v>
      </c>
      <c r="J77" s="35"/>
    </row>
    <row r="78" spans="1:16" ht="28.8" x14ac:dyDescent="0.3">
      <c r="A78" s="27" t="s">
        <v>103</v>
      </c>
      <c r="B78" s="34"/>
      <c r="E78" s="36" t="s">
        <v>5863</v>
      </c>
      <c r="J78" s="35"/>
    </row>
    <row r="79" spans="1:16" ht="28.8" x14ac:dyDescent="0.3">
      <c r="A79" s="27" t="s">
        <v>103</v>
      </c>
      <c r="B79" s="34"/>
      <c r="E79" s="36" t="s">
        <v>5864</v>
      </c>
      <c r="J79" s="35"/>
    </row>
    <row r="80" spans="1:16" ht="28.8" x14ac:dyDescent="0.3">
      <c r="A80" s="27" t="s">
        <v>103</v>
      </c>
      <c r="B80" s="34"/>
      <c r="E80" s="36" t="s">
        <v>5865</v>
      </c>
      <c r="J80" s="35"/>
    </row>
    <row r="81" spans="1:10" ht="28.8" x14ac:dyDescent="0.3">
      <c r="A81" s="27" t="s">
        <v>103</v>
      </c>
      <c r="B81" s="34"/>
      <c r="E81" s="36" t="s">
        <v>5866</v>
      </c>
      <c r="J81" s="35"/>
    </row>
    <row r="82" spans="1:10" ht="28.8" x14ac:dyDescent="0.3">
      <c r="A82" s="27" t="s">
        <v>103</v>
      </c>
      <c r="B82" s="34"/>
      <c r="E82" s="36" t="s">
        <v>5867</v>
      </c>
      <c r="J82" s="35"/>
    </row>
    <row r="83" spans="1:10" ht="28.8" x14ac:dyDescent="0.3">
      <c r="A83" s="27" t="s">
        <v>103</v>
      </c>
      <c r="B83" s="34"/>
      <c r="E83" s="36" t="s">
        <v>5868</v>
      </c>
      <c r="J83" s="35"/>
    </row>
    <row r="84" spans="1:10" ht="28.8" x14ac:dyDescent="0.3">
      <c r="A84" s="27" t="s">
        <v>103</v>
      </c>
      <c r="B84" s="34"/>
      <c r="E84" s="36" t="s">
        <v>5869</v>
      </c>
      <c r="J84" s="35"/>
    </row>
    <row r="85" spans="1:10" ht="28.8" x14ac:dyDescent="0.3">
      <c r="A85" s="27" t="s">
        <v>103</v>
      </c>
      <c r="B85" s="34"/>
      <c r="E85" s="36" t="s">
        <v>5870</v>
      </c>
      <c r="J85" s="35"/>
    </row>
    <row r="86" spans="1:10" ht="28.8" x14ac:dyDescent="0.3">
      <c r="A86" s="27" t="s">
        <v>103</v>
      </c>
      <c r="B86" s="34"/>
      <c r="E86" s="36" t="s">
        <v>5871</v>
      </c>
      <c r="J86" s="35"/>
    </row>
    <row r="87" spans="1:10" ht="28.8" x14ac:dyDescent="0.3">
      <c r="A87" s="27" t="s">
        <v>103</v>
      </c>
      <c r="B87" s="34"/>
      <c r="E87" s="36" t="s">
        <v>5872</v>
      </c>
      <c r="J87" s="35"/>
    </row>
    <row r="88" spans="1:10" ht="28.8" x14ac:dyDescent="0.3">
      <c r="A88" s="27" t="s">
        <v>103</v>
      </c>
      <c r="B88" s="34"/>
      <c r="E88" s="36" t="s">
        <v>5873</v>
      </c>
      <c r="J88" s="35"/>
    </row>
    <row r="89" spans="1:10" ht="28.8" x14ac:dyDescent="0.3">
      <c r="A89" s="27" t="s">
        <v>103</v>
      </c>
      <c r="B89" s="34"/>
      <c r="E89" s="36" t="s">
        <v>5874</v>
      </c>
      <c r="J89" s="35"/>
    </row>
    <row r="90" spans="1:10" ht="28.8" x14ac:dyDescent="0.3">
      <c r="A90" s="27" t="s">
        <v>103</v>
      </c>
      <c r="B90" s="34"/>
      <c r="E90" s="36" t="s">
        <v>5875</v>
      </c>
      <c r="J90" s="35"/>
    </row>
    <row r="91" spans="1:10" ht="28.8" x14ac:dyDescent="0.3">
      <c r="A91" s="27" t="s">
        <v>103</v>
      </c>
      <c r="B91" s="34"/>
      <c r="E91" s="36" t="s">
        <v>5876</v>
      </c>
      <c r="J91" s="35"/>
    </row>
    <row r="92" spans="1:10" ht="28.8" x14ac:dyDescent="0.3">
      <c r="A92" s="27" t="s">
        <v>103</v>
      </c>
      <c r="B92" s="34"/>
      <c r="E92" s="36" t="s">
        <v>5877</v>
      </c>
      <c r="J92" s="35"/>
    </row>
    <row r="93" spans="1:10" ht="28.8" x14ac:dyDescent="0.3">
      <c r="A93" s="27" t="s">
        <v>103</v>
      </c>
      <c r="B93" s="34"/>
      <c r="E93" s="36" t="s">
        <v>5878</v>
      </c>
      <c r="J93" s="35"/>
    </row>
    <row r="94" spans="1:10" ht="28.8" x14ac:dyDescent="0.3">
      <c r="A94" s="27" t="s">
        <v>103</v>
      </c>
      <c r="B94" s="34"/>
      <c r="E94" s="36" t="s">
        <v>5879</v>
      </c>
      <c r="J94" s="35"/>
    </row>
    <row r="95" spans="1:10" ht="28.8" x14ac:dyDescent="0.3">
      <c r="A95" s="27" t="s">
        <v>103</v>
      </c>
      <c r="B95" s="34"/>
      <c r="E95" s="36" t="s">
        <v>5880</v>
      </c>
      <c r="J95" s="35"/>
    </row>
    <row r="96" spans="1:10" x14ac:dyDescent="0.3">
      <c r="A96" s="27" t="s">
        <v>103</v>
      </c>
      <c r="B96" s="34"/>
      <c r="E96" s="36" t="s">
        <v>5881</v>
      </c>
      <c r="J96" s="35"/>
    </row>
    <row r="97" spans="1:16" ht="409.6" x14ac:dyDescent="0.3">
      <c r="A97" s="27" t="s">
        <v>105</v>
      </c>
      <c r="B97" s="34"/>
      <c r="E97" s="29" t="s">
        <v>5542</v>
      </c>
      <c r="J97" s="35"/>
    </row>
    <row r="98" spans="1:16" x14ac:dyDescent="0.3">
      <c r="A98" s="27" t="s">
        <v>95</v>
      </c>
      <c r="B98" s="27">
        <v>5</v>
      </c>
      <c r="C98" s="28" t="s">
        <v>5543</v>
      </c>
      <c r="D98" s="27" t="s">
        <v>129</v>
      </c>
      <c r="E98" s="29" t="s">
        <v>5544</v>
      </c>
      <c r="F98" s="30" t="s">
        <v>131</v>
      </c>
      <c r="G98" s="31">
        <v>1.1339999999999999</v>
      </c>
      <c r="H98" s="32">
        <v>0</v>
      </c>
      <c r="I98" s="32">
        <f>ROUND(1.134*H98,P4)</f>
        <v>0</v>
      </c>
      <c r="J98" s="30" t="s">
        <v>118</v>
      </c>
      <c r="O98" s="33">
        <f>I98*0.21</f>
        <v>0</v>
      </c>
      <c r="P98">
        <v>3</v>
      </c>
    </row>
    <row r="99" spans="1:16" ht="409.6" x14ac:dyDescent="0.3">
      <c r="A99" s="27" t="s">
        <v>101</v>
      </c>
      <c r="B99" s="34"/>
      <c r="E99" s="29" t="s">
        <v>5862</v>
      </c>
      <c r="J99" s="35"/>
    </row>
    <row r="100" spans="1:16" ht="28.8" x14ac:dyDescent="0.3">
      <c r="A100" s="27" t="s">
        <v>103</v>
      </c>
      <c r="B100" s="34"/>
      <c r="E100" s="36" t="s">
        <v>5882</v>
      </c>
      <c r="J100" s="35"/>
    </row>
    <row r="101" spans="1:16" ht="28.8" x14ac:dyDescent="0.3">
      <c r="A101" s="27" t="s">
        <v>103</v>
      </c>
      <c r="B101" s="34"/>
      <c r="E101" s="36" t="s">
        <v>5883</v>
      </c>
      <c r="J101" s="35"/>
    </row>
    <row r="102" spans="1:16" ht="28.8" x14ac:dyDescent="0.3">
      <c r="A102" s="27" t="s">
        <v>103</v>
      </c>
      <c r="B102" s="34"/>
      <c r="E102" s="36" t="s">
        <v>5884</v>
      </c>
      <c r="J102" s="35"/>
    </row>
    <row r="103" spans="1:16" ht="28.8" x14ac:dyDescent="0.3">
      <c r="A103" s="27" t="s">
        <v>103</v>
      </c>
      <c r="B103" s="34"/>
      <c r="E103" s="36" t="s">
        <v>5885</v>
      </c>
      <c r="J103" s="35"/>
    </row>
    <row r="104" spans="1:16" ht="28.8" x14ac:dyDescent="0.3">
      <c r="A104" s="27" t="s">
        <v>103</v>
      </c>
      <c r="B104" s="34"/>
      <c r="E104" s="36" t="s">
        <v>5886</v>
      </c>
      <c r="J104" s="35"/>
    </row>
    <row r="105" spans="1:16" ht="28.8" x14ac:dyDescent="0.3">
      <c r="A105" s="27" t="s">
        <v>103</v>
      </c>
      <c r="B105" s="34"/>
      <c r="E105" s="36" t="s">
        <v>5887</v>
      </c>
      <c r="J105" s="35"/>
    </row>
    <row r="106" spans="1:16" ht="28.8" x14ac:dyDescent="0.3">
      <c r="A106" s="27" t="s">
        <v>103</v>
      </c>
      <c r="B106" s="34"/>
      <c r="E106" s="36" t="s">
        <v>5888</v>
      </c>
      <c r="J106" s="35"/>
    </row>
    <row r="107" spans="1:16" ht="28.8" x14ac:dyDescent="0.3">
      <c r="A107" s="27" t="s">
        <v>103</v>
      </c>
      <c r="B107" s="34"/>
      <c r="E107" s="36" t="s">
        <v>5889</v>
      </c>
      <c r="J107" s="35"/>
    </row>
    <row r="108" spans="1:16" ht="28.8" x14ac:dyDescent="0.3">
      <c r="A108" s="27" t="s">
        <v>103</v>
      </c>
      <c r="B108" s="34"/>
      <c r="E108" s="36" t="s">
        <v>5890</v>
      </c>
      <c r="J108" s="35"/>
    </row>
    <row r="109" spans="1:16" ht="28.8" x14ac:dyDescent="0.3">
      <c r="A109" s="27" t="s">
        <v>103</v>
      </c>
      <c r="B109" s="34"/>
      <c r="E109" s="36" t="s">
        <v>5891</v>
      </c>
      <c r="J109" s="35"/>
    </row>
    <row r="110" spans="1:16" ht="28.8" x14ac:dyDescent="0.3">
      <c r="A110" s="27" t="s">
        <v>103</v>
      </c>
      <c r="B110" s="34"/>
      <c r="E110" s="36" t="s">
        <v>5892</v>
      </c>
      <c r="J110" s="35"/>
    </row>
    <row r="111" spans="1:16" ht="28.8" x14ac:dyDescent="0.3">
      <c r="A111" s="27" t="s">
        <v>103</v>
      </c>
      <c r="B111" s="34"/>
      <c r="E111" s="36" t="s">
        <v>5893</v>
      </c>
      <c r="J111" s="35"/>
    </row>
    <row r="112" spans="1:16" ht="28.8" x14ac:dyDescent="0.3">
      <c r="A112" s="27" t="s">
        <v>103</v>
      </c>
      <c r="B112" s="34"/>
      <c r="E112" s="36" t="s">
        <v>5894</v>
      </c>
      <c r="J112" s="35"/>
    </row>
    <row r="113" spans="1:16" ht="28.8" x14ac:dyDescent="0.3">
      <c r="A113" s="27" t="s">
        <v>103</v>
      </c>
      <c r="B113" s="34"/>
      <c r="E113" s="36" t="s">
        <v>5895</v>
      </c>
      <c r="J113" s="35"/>
    </row>
    <row r="114" spans="1:16" ht="28.8" x14ac:dyDescent="0.3">
      <c r="A114" s="27" t="s">
        <v>103</v>
      </c>
      <c r="B114" s="34"/>
      <c r="E114" s="36" t="s">
        <v>5896</v>
      </c>
      <c r="J114" s="35"/>
    </row>
    <row r="115" spans="1:16" ht="28.8" x14ac:dyDescent="0.3">
      <c r="A115" s="27" t="s">
        <v>103</v>
      </c>
      <c r="B115" s="34"/>
      <c r="E115" s="36" t="s">
        <v>5897</v>
      </c>
      <c r="J115" s="35"/>
    </row>
    <row r="116" spans="1:16" ht="28.8" x14ac:dyDescent="0.3">
      <c r="A116" s="27" t="s">
        <v>103</v>
      </c>
      <c r="B116" s="34"/>
      <c r="E116" s="36" t="s">
        <v>5898</v>
      </c>
      <c r="J116" s="35"/>
    </row>
    <row r="117" spans="1:16" ht="28.8" x14ac:dyDescent="0.3">
      <c r="A117" s="27" t="s">
        <v>103</v>
      </c>
      <c r="B117" s="34"/>
      <c r="E117" s="36" t="s">
        <v>5899</v>
      </c>
      <c r="J117" s="35"/>
    </row>
    <row r="118" spans="1:16" x14ac:dyDescent="0.3">
      <c r="A118" s="27" t="s">
        <v>103</v>
      </c>
      <c r="B118" s="34"/>
      <c r="E118" s="36" t="s">
        <v>5900</v>
      </c>
      <c r="J118" s="35"/>
    </row>
    <row r="119" spans="1:16" ht="302.39999999999998" x14ac:dyDescent="0.3">
      <c r="A119" s="27" t="s">
        <v>105</v>
      </c>
      <c r="B119" s="34"/>
      <c r="E119" s="29" t="s">
        <v>5567</v>
      </c>
      <c r="J119" s="35"/>
    </row>
    <row r="120" spans="1:16" x14ac:dyDescent="0.3">
      <c r="A120" s="27" t="s">
        <v>95</v>
      </c>
      <c r="B120" s="27">
        <v>6</v>
      </c>
      <c r="C120" s="28" t="s">
        <v>5568</v>
      </c>
      <c r="D120" s="27" t="s">
        <v>129</v>
      </c>
      <c r="E120" s="29" t="s">
        <v>5569</v>
      </c>
      <c r="F120" s="30" t="s">
        <v>237</v>
      </c>
      <c r="G120" s="31">
        <v>41.4</v>
      </c>
      <c r="H120" s="32">
        <v>0</v>
      </c>
      <c r="I120" s="32">
        <f>ROUND(41.4*H120,P4)</f>
        <v>0</v>
      </c>
      <c r="J120" s="30" t="s">
        <v>118</v>
      </c>
      <c r="O120" s="33">
        <f>I120*0.21</f>
        <v>0</v>
      </c>
      <c r="P120">
        <v>3</v>
      </c>
    </row>
    <row r="121" spans="1:16" ht="409.6" x14ac:dyDescent="0.3">
      <c r="A121" s="27" t="s">
        <v>101</v>
      </c>
      <c r="B121" s="34"/>
      <c r="E121" s="29" t="s">
        <v>5862</v>
      </c>
      <c r="J121" s="35"/>
    </row>
    <row r="122" spans="1:16" ht="28.8" x14ac:dyDescent="0.3">
      <c r="A122" s="27" t="s">
        <v>103</v>
      </c>
      <c r="B122" s="34"/>
      <c r="E122" s="36" t="s">
        <v>5901</v>
      </c>
      <c r="J122" s="35"/>
    </row>
    <row r="123" spans="1:16" ht="28.8" x14ac:dyDescent="0.3">
      <c r="A123" s="27" t="s">
        <v>103</v>
      </c>
      <c r="B123" s="34"/>
      <c r="E123" s="36" t="s">
        <v>5902</v>
      </c>
      <c r="J123" s="35"/>
    </row>
    <row r="124" spans="1:16" ht="28.8" x14ac:dyDescent="0.3">
      <c r="A124" s="27" t="s">
        <v>103</v>
      </c>
      <c r="B124" s="34"/>
      <c r="E124" s="36" t="s">
        <v>5903</v>
      </c>
      <c r="J124" s="35"/>
    </row>
    <row r="125" spans="1:16" ht="28.8" x14ac:dyDescent="0.3">
      <c r="A125" s="27" t="s">
        <v>103</v>
      </c>
      <c r="B125" s="34"/>
      <c r="E125" s="36" t="s">
        <v>5904</v>
      </c>
      <c r="J125" s="35"/>
    </row>
    <row r="126" spans="1:16" ht="28.8" x14ac:dyDescent="0.3">
      <c r="A126" s="27" t="s">
        <v>103</v>
      </c>
      <c r="B126" s="34"/>
      <c r="E126" s="36" t="s">
        <v>5905</v>
      </c>
      <c r="J126" s="35"/>
    </row>
    <row r="127" spans="1:16" ht="28.8" x14ac:dyDescent="0.3">
      <c r="A127" s="27" t="s">
        <v>103</v>
      </c>
      <c r="B127" s="34"/>
      <c r="E127" s="36" t="s">
        <v>5906</v>
      </c>
      <c r="J127" s="35"/>
    </row>
    <row r="128" spans="1:16" ht="28.8" x14ac:dyDescent="0.3">
      <c r="A128" s="27" t="s">
        <v>103</v>
      </c>
      <c r="B128" s="34"/>
      <c r="E128" s="36" t="s">
        <v>5907</v>
      </c>
      <c r="J128" s="35"/>
    </row>
    <row r="129" spans="1:16" ht="28.8" x14ac:dyDescent="0.3">
      <c r="A129" s="27" t="s">
        <v>103</v>
      </c>
      <c r="B129" s="34"/>
      <c r="E129" s="36" t="s">
        <v>5908</v>
      </c>
      <c r="J129" s="35"/>
    </row>
    <row r="130" spans="1:16" ht="28.8" x14ac:dyDescent="0.3">
      <c r="A130" s="27" t="s">
        <v>103</v>
      </c>
      <c r="B130" s="34"/>
      <c r="E130" s="36" t="s">
        <v>5909</v>
      </c>
      <c r="J130" s="35"/>
    </row>
    <row r="131" spans="1:16" ht="28.8" x14ac:dyDescent="0.3">
      <c r="A131" s="27" t="s">
        <v>103</v>
      </c>
      <c r="B131" s="34"/>
      <c r="E131" s="36" t="s">
        <v>5910</v>
      </c>
      <c r="J131" s="35"/>
    </row>
    <row r="132" spans="1:16" ht="28.8" x14ac:dyDescent="0.3">
      <c r="A132" s="27" t="s">
        <v>103</v>
      </c>
      <c r="B132" s="34"/>
      <c r="E132" s="36" t="s">
        <v>5911</v>
      </c>
      <c r="J132" s="35"/>
    </row>
    <row r="133" spans="1:16" ht="28.8" x14ac:dyDescent="0.3">
      <c r="A133" s="27" t="s">
        <v>103</v>
      </c>
      <c r="B133" s="34"/>
      <c r="E133" s="36" t="s">
        <v>5912</v>
      </c>
      <c r="J133" s="35"/>
    </row>
    <row r="134" spans="1:16" ht="28.8" x14ac:dyDescent="0.3">
      <c r="A134" s="27" t="s">
        <v>103</v>
      </c>
      <c r="B134" s="34"/>
      <c r="E134" s="36" t="s">
        <v>5913</v>
      </c>
      <c r="J134" s="35"/>
    </row>
    <row r="135" spans="1:16" ht="28.8" x14ac:dyDescent="0.3">
      <c r="A135" s="27" t="s">
        <v>103</v>
      </c>
      <c r="B135" s="34"/>
      <c r="E135" s="36" t="s">
        <v>5914</v>
      </c>
      <c r="J135" s="35"/>
    </row>
    <row r="136" spans="1:16" ht="28.8" x14ac:dyDescent="0.3">
      <c r="A136" s="27" t="s">
        <v>103</v>
      </c>
      <c r="B136" s="34"/>
      <c r="E136" s="36" t="s">
        <v>5915</v>
      </c>
      <c r="J136" s="35"/>
    </row>
    <row r="137" spans="1:16" ht="28.8" x14ac:dyDescent="0.3">
      <c r="A137" s="27" t="s">
        <v>103</v>
      </c>
      <c r="B137" s="34"/>
      <c r="E137" s="36" t="s">
        <v>5916</v>
      </c>
      <c r="J137" s="35"/>
    </row>
    <row r="138" spans="1:16" ht="28.8" x14ac:dyDescent="0.3">
      <c r="A138" s="27" t="s">
        <v>103</v>
      </c>
      <c r="B138" s="34"/>
      <c r="E138" s="36" t="s">
        <v>5917</v>
      </c>
      <c r="J138" s="35"/>
    </row>
    <row r="139" spans="1:16" ht="28.8" x14ac:dyDescent="0.3">
      <c r="A139" s="27" t="s">
        <v>103</v>
      </c>
      <c r="B139" s="34"/>
      <c r="E139" s="36" t="s">
        <v>5918</v>
      </c>
      <c r="J139" s="35"/>
    </row>
    <row r="140" spans="1:16" x14ac:dyDescent="0.3">
      <c r="A140" s="27" t="s">
        <v>103</v>
      </c>
      <c r="B140" s="34"/>
      <c r="E140" s="36" t="s">
        <v>5919</v>
      </c>
      <c r="J140" s="35"/>
    </row>
    <row r="141" spans="1:16" ht="216" x14ac:dyDescent="0.3">
      <c r="A141" s="27" t="s">
        <v>105</v>
      </c>
      <c r="B141" s="34"/>
      <c r="E141" s="29" t="s">
        <v>5592</v>
      </c>
      <c r="J141" s="35"/>
    </row>
    <row r="142" spans="1:16" x14ac:dyDescent="0.3">
      <c r="A142" s="27" t="s">
        <v>95</v>
      </c>
      <c r="B142" s="27">
        <v>7</v>
      </c>
      <c r="C142" s="28" t="s">
        <v>5593</v>
      </c>
      <c r="D142" s="27" t="s">
        <v>129</v>
      </c>
      <c r="E142" s="29" t="s">
        <v>5594</v>
      </c>
      <c r="F142" s="30" t="s">
        <v>229</v>
      </c>
      <c r="G142" s="31">
        <v>2.6709999999999998</v>
      </c>
      <c r="H142" s="32">
        <v>0</v>
      </c>
      <c r="I142" s="32">
        <f>ROUND(2.671*H142,P4)</f>
        <v>0</v>
      </c>
      <c r="J142" s="30" t="s">
        <v>118</v>
      </c>
      <c r="O142" s="33">
        <f>I142*0.21</f>
        <v>0</v>
      </c>
      <c r="P142">
        <v>3</v>
      </c>
    </row>
    <row r="143" spans="1:16" ht="409.6" x14ac:dyDescent="0.3">
      <c r="A143" s="27" t="s">
        <v>101</v>
      </c>
      <c r="B143" s="34"/>
      <c r="E143" s="29" t="s">
        <v>5920</v>
      </c>
      <c r="J143" s="35"/>
    </row>
    <row r="144" spans="1:16" ht="28.8" x14ac:dyDescent="0.3">
      <c r="A144" s="27" t="s">
        <v>103</v>
      </c>
      <c r="B144" s="34"/>
      <c r="E144" s="36" t="s">
        <v>5921</v>
      </c>
      <c r="J144" s="35"/>
    </row>
    <row r="145" spans="1:10" ht="28.8" x14ac:dyDescent="0.3">
      <c r="A145" s="27" t="s">
        <v>103</v>
      </c>
      <c r="B145" s="34"/>
      <c r="E145" s="36" t="s">
        <v>5922</v>
      </c>
      <c r="J145" s="35"/>
    </row>
    <row r="146" spans="1:10" ht="28.8" x14ac:dyDescent="0.3">
      <c r="A146" s="27" t="s">
        <v>103</v>
      </c>
      <c r="B146" s="34"/>
      <c r="E146" s="36" t="s">
        <v>5923</v>
      </c>
      <c r="J146" s="35"/>
    </row>
    <row r="147" spans="1:10" ht="28.8" x14ac:dyDescent="0.3">
      <c r="A147" s="27" t="s">
        <v>103</v>
      </c>
      <c r="B147" s="34"/>
      <c r="E147" s="36" t="s">
        <v>5924</v>
      </c>
      <c r="J147" s="35"/>
    </row>
    <row r="148" spans="1:10" ht="28.8" x14ac:dyDescent="0.3">
      <c r="A148" s="27" t="s">
        <v>103</v>
      </c>
      <c r="B148" s="34"/>
      <c r="E148" s="36" t="s">
        <v>5925</v>
      </c>
      <c r="J148" s="35"/>
    </row>
    <row r="149" spans="1:10" ht="28.8" x14ac:dyDescent="0.3">
      <c r="A149" s="27" t="s">
        <v>103</v>
      </c>
      <c r="B149" s="34"/>
      <c r="E149" s="36" t="s">
        <v>5926</v>
      </c>
      <c r="J149" s="35"/>
    </row>
    <row r="150" spans="1:10" ht="28.8" x14ac:dyDescent="0.3">
      <c r="A150" s="27" t="s">
        <v>103</v>
      </c>
      <c r="B150" s="34"/>
      <c r="E150" s="36" t="s">
        <v>5927</v>
      </c>
      <c r="J150" s="35"/>
    </row>
    <row r="151" spans="1:10" ht="28.8" x14ac:dyDescent="0.3">
      <c r="A151" s="27" t="s">
        <v>103</v>
      </c>
      <c r="B151" s="34"/>
      <c r="E151" s="36" t="s">
        <v>5928</v>
      </c>
      <c r="J151" s="35"/>
    </row>
    <row r="152" spans="1:10" ht="28.8" x14ac:dyDescent="0.3">
      <c r="A152" s="27" t="s">
        <v>103</v>
      </c>
      <c r="B152" s="34"/>
      <c r="E152" s="36" t="s">
        <v>5929</v>
      </c>
      <c r="J152" s="35"/>
    </row>
    <row r="153" spans="1:10" ht="28.8" x14ac:dyDescent="0.3">
      <c r="A153" s="27" t="s">
        <v>103</v>
      </c>
      <c r="B153" s="34"/>
      <c r="E153" s="36" t="s">
        <v>5930</v>
      </c>
      <c r="J153" s="35"/>
    </row>
    <row r="154" spans="1:10" ht="28.8" x14ac:dyDescent="0.3">
      <c r="A154" s="27" t="s">
        <v>103</v>
      </c>
      <c r="B154" s="34"/>
      <c r="E154" s="36" t="s">
        <v>5931</v>
      </c>
      <c r="J154" s="35"/>
    </row>
    <row r="155" spans="1:10" ht="28.8" x14ac:dyDescent="0.3">
      <c r="A155" s="27" t="s">
        <v>103</v>
      </c>
      <c r="B155" s="34"/>
      <c r="E155" s="36" t="s">
        <v>5932</v>
      </c>
      <c r="J155" s="35"/>
    </row>
    <row r="156" spans="1:10" ht="28.8" x14ac:dyDescent="0.3">
      <c r="A156" s="27" t="s">
        <v>103</v>
      </c>
      <c r="B156" s="34"/>
      <c r="E156" s="36" t="s">
        <v>5933</v>
      </c>
      <c r="J156" s="35"/>
    </row>
    <row r="157" spans="1:10" ht="28.8" x14ac:dyDescent="0.3">
      <c r="A157" s="27" t="s">
        <v>103</v>
      </c>
      <c r="B157" s="34"/>
      <c r="E157" s="36" t="s">
        <v>5934</v>
      </c>
      <c r="J157" s="35"/>
    </row>
    <row r="158" spans="1:10" ht="28.8" x14ac:dyDescent="0.3">
      <c r="A158" s="27" t="s">
        <v>103</v>
      </c>
      <c r="B158" s="34"/>
      <c r="E158" s="36" t="s">
        <v>5935</v>
      </c>
      <c r="J158" s="35"/>
    </row>
    <row r="159" spans="1:10" ht="28.8" x14ac:dyDescent="0.3">
      <c r="A159" s="27" t="s">
        <v>103</v>
      </c>
      <c r="B159" s="34"/>
      <c r="E159" s="36" t="s">
        <v>5936</v>
      </c>
      <c r="J159" s="35"/>
    </row>
    <row r="160" spans="1:10" ht="28.8" x14ac:dyDescent="0.3">
      <c r="A160" s="27" t="s">
        <v>103</v>
      </c>
      <c r="B160" s="34"/>
      <c r="E160" s="36" t="s">
        <v>5937</v>
      </c>
      <c r="J160" s="35"/>
    </row>
    <row r="161" spans="1:16" ht="28.8" x14ac:dyDescent="0.3">
      <c r="A161" s="27" t="s">
        <v>103</v>
      </c>
      <c r="B161" s="34"/>
      <c r="E161" s="36" t="s">
        <v>5938</v>
      </c>
      <c r="J161" s="35"/>
    </row>
    <row r="162" spans="1:16" x14ac:dyDescent="0.3">
      <c r="A162" s="27" t="s">
        <v>103</v>
      </c>
      <c r="B162" s="34"/>
      <c r="E162" s="36" t="s">
        <v>5939</v>
      </c>
      <c r="J162" s="35"/>
    </row>
    <row r="163" spans="1:16" ht="409.6" x14ac:dyDescent="0.3">
      <c r="A163" s="27" t="s">
        <v>105</v>
      </c>
      <c r="B163" s="34"/>
      <c r="E163" s="29" t="s">
        <v>5618</v>
      </c>
      <c r="J163" s="35"/>
    </row>
    <row r="164" spans="1:16" x14ac:dyDescent="0.3">
      <c r="A164" s="21" t="s">
        <v>92</v>
      </c>
      <c r="B164" s="22"/>
      <c r="C164" s="23" t="s">
        <v>116</v>
      </c>
      <c r="D164" s="24"/>
      <c r="E164" s="21" t="s">
        <v>5619</v>
      </c>
      <c r="F164" s="24"/>
      <c r="G164" s="24"/>
      <c r="H164" s="24"/>
      <c r="I164" s="25">
        <f>SUMIFS(I165:I296,A165:A296,"P")</f>
        <v>0</v>
      </c>
      <c r="J164" s="26"/>
    </row>
    <row r="165" spans="1:16" x14ac:dyDescent="0.3">
      <c r="A165" s="27" t="s">
        <v>95</v>
      </c>
      <c r="B165" s="27">
        <v>8</v>
      </c>
      <c r="C165" s="28" t="s">
        <v>5620</v>
      </c>
      <c r="D165" s="27" t="s">
        <v>129</v>
      </c>
      <c r="E165" s="29" t="s">
        <v>5621</v>
      </c>
      <c r="F165" s="30" t="s">
        <v>229</v>
      </c>
      <c r="G165" s="31">
        <v>7.202</v>
      </c>
      <c r="H165" s="32">
        <v>0</v>
      </c>
      <c r="I165" s="32">
        <f>ROUND(7.202*H165,P4)</f>
        <v>0</v>
      </c>
      <c r="J165" s="30" t="s">
        <v>118</v>
      </c>
      <c r="O165" s="33">
        <f>I165*0.21</f>
        <v>0</v>
      </c>
      <c r="P165">
        <v>3</v>
      </c>
    </row>
    <row r="166" spans="1:16" ht="158.4" x14ac:dyDescent="0.3">
      <c r="A166" s="27" t="s">
        <v>101</v>
      </c>
      <c r="B166" s="34"/>
      <c r="E166" s="29" t="s">
        <v>5940</v>
      </c>
      <c r="J166" s="35"/>
    </row>
    <row r="167" spans="1:16" ht="28.8" x14ac:dyDescent="0.3">
      <c r="A167" s="27" t="s">
        <v>103</v>
      </c>
      <c r="B167" s="34"/>
      <c r="E167" s="36" t="s">
        <v>5941</v>
      </c>
      <c r="J167" s="35"/>
    </row>
    <row r="168" spans="1:16" ht="28.8" x14ac:dyDescent="0.3">
      <c r="A168" s="27" t="s">
        <v>103</v>
      </c>
      <c r="B168" s="34"/>
      <c r="E168" s="36" t="s">
        <v>5942</v>
      </c>
      <c r="J168" s="35"/>
    </row>
    <row r="169" spans="1:16" ht="28.8" x14ac:dyDescent="0.3">
      <c r="A169" s="27" t="s">
        <v>103</v>
      </c>
      <c r="B169" s="34"/>
      <c r="E169" s="36" t="s">
        <v>5943</v>
      </c>
      <c r="J169" s="35"/>
    </row>
    <row r="170" spans="1:16" ht="28.8" x14ac:dyDescent="0.3">
      <c r="A170" s="27" t="s">
        <v>103</v>
      </c>
      <c r="B170" s="34"/>
      <c r="E170" s="36" t="s">
        <v>5944</v>
      </c>
      <c r="J170" s="35"/>
    </row>
    <row r="171" spans="1:16" ht="28.8" x14ac:dyDescent="0.3">
      <c r="A171" s="27" t="s">
        <v>103</v>
      </c>
      <c r="B171" s="34"/>
      <c r="E171" s="36" t="s">
        <v>5945</v>
      </c>
      <c r="J171" s="35"/>
    </row>
    <row r="172" spans="1:16" ht="28.8" x14ac:dyDescent="0.3">
      <c r="A172" s="27" t="s">
        <v>103</v>
      </c>
      <c r="B172" s="34"/>
      <c r="E172" s="36" t="s">
        <v>5946</v>
      </c>
      <c r="J172" s="35"/>
    </row>
    <row r="173" spans="1:16" ht="28.8" x14ac:dyDescent="0.3">
      <c r="A173" s="27" t="s">
        <v>103</v>
      </c>
      <c r="B173" s="34"/>
      <c r="E173" s="36" t="s">
        <v>5947</v>
      </c>
      <c r="J173" s="35"/>
    </row>
    <row r="174" spans="1:16" ht="28.8" x14ac:dyDescent="0.3">
      <c r="A174" s="27" t="s">
        <v>103</v>
      </c>
      <c r="B174" s="34"/>
      <c r="E174" s="36" t="s">
        <v>5948</v>
      </c>
      <c r="J174" s="35"/>
    </row>
    <row r="175" spans="1:16" ht="28.8" x14ac:dyDescent="0.3">
      <c r="A175" s="27" t="s">
        <v>103</v>
      </c>
      <c r="B175" s="34"/>
      <c r="E175" s="36" t="s">
        <v>5949</v>
      </c>
      <c r="J175" s="35"/>
    </row>
    <row r="176" spans="1:16" ht="28.8" x14ac:dyDescent="0.3">
      <c r="A176" s="27" t="s">
        <v>103</v>
      </c>
      <c r="B176" s="34"/>
      <c r="E176" s="36" t="s">
        <v>5950</v>
      </c>
      <c r="J176" s="35"/>
    </row>
    <row r="177" spans="1:16" ht="28.8" x14ac:dyDescent="0.3">
      <c r="A177" s="27" t="s">
        <v>103</v>
      </c>
      <c r="B177" s="34"/>
      <c r="E177" s="36" t="s">
        <v>5951</v>
      </c>
      <c r="J177" s="35"/>
    </row>
    <row r="178" spans="1:16" ht="28.8" x14ac:dyDescent="0.3">
      <c r="A178" s="27" t="s">
        <v>103</v>
      </c>
      <c r="B178" s="34"/>
      <c r="E178" s="36" t="s">
        <v>5952</v>
      </c>
      <c r="J178" s="35"/>
    </row>
    <row r="179" spans="1:16" ht="28.8" x14ac:dyDescent="0.3">
      <c r="A179" s="27" t="s">
        <v>103</v>
      </c>
      <c r="B179" s="34"/>
      <c r="E179" s="36" t="s">
        <v>5953</v>
      </c>
      <c r="J179" s="35"/>
    </row>
    <row r="180" spans="1:16" ht="28.8" x14ac:dyDescent="0.3">
      <c r="A180" s="27" t="s">
        <v>103</v>
      </c>
      <c r="B180" s="34"/>
      <c r="E180" s="36" t="s">
        <v>5954</v>
      </c>
      <c r="J180" s="35"/>
    </row>
    <row r="181" spans="1:16" ht="28.8" x14ac:dyDescent="0.3">
      <c r="A181" s="27" t="s">
        <v>103</v>
      </c>
      <c r="B181" s="34"/>
      <c r="E181" s="36" t="s">
        <v>5955</v>
      </c>
      <c r="J181" s="35"/>
    </row>
    <row r="182" spans="1:16" ht="28.8" x14ac:dyDescent="0.3">
      <c r="A182" s="27" t="s">
        <v>103</v>
      </c>
      <c r="B182" s="34"/>
      <c r="E182" s="36" t="s">
        <v>5956</v>
      </c>
      <c r="J182" s="35"/>
    </row>
    <row r="183" spans="1:16" ht="28.8" x14ac:dyDescent="0.3">
      <c r="A183" s="27" t="s">
        <v>103</v>
      </c>
      <c r="B183" s="34"/>
      <c r="E183" s="36" t="s">
        <v>5957</v>
      </c>
      <c r="J183" s="35"/>
    </row>
    <row r="184" spans="1:16" x14ac:dyDescent="0.3">
      <c r="A184" s="27" t="s">
        <v>103</v>
      </c>
      <c r="B184" s="34"/>
      <c r="E184" s="36" t="s">
        <v>5958</v>
      </c>
      <c r="J184" s="35"/>
    </row>
    <row r="185" spans="1:16" ht="288" x14ac:dyDescent="0.3">
      <c r="A185" s="27" t="s">
        <v>105</v>
      </c>
      <c r="B185" s="34"/>
      <c r="E185" s="29" t="s">
        <v>5644</v>
      </c>
      <c r="J185" s="35"/>
    </row>
    <row r="186" spans="1:16" x14ac:dyDescent="0.3">
      <c r="A186" s="27" t="s">
        <v>95</v>
      </c>
      <c r="B186" s="27">
        <v>9</v>
      </c>
      <c r="C186" s="28" t="s">
        <v>5645</v>
      </c>
      <c r="D186" s="27" t="s">
        <v>129</v>
      </c>
      <c r="E186" s="29" t="s">
        <v>5646</v>
      </c>
      <c r="F186" s="30" t="s">
        <v>131</v>
      </c>
      <c r="G186" s="31">
        <v>6.1379999999999999</v>
      </c>
      <c r="H186" s="32">
        <v>0</v>
      </c>
      <c r="I186" s="32">
        <f>ROUND(6.138*H186,P4)</f>
        <v>0</v>
      </c>
      <c r="J186" s="30" t="s">
        <v>118</v>
      </c>
      <c r="O186" s="33">
        <f>I186*0.21</f>
        <v>0</v>
      </c>
      <c r="P186">
        <v>3</v>
      </c>
    </row>
    <row r="187" spans="1:16" ht="288" x14ac:dyDescent="0.3">
      <c r="A187" s="27" t="s">
        <v>101</v>
      </c>
      <c r="B187" s="34"/>
      <c r="E187" s="29" t="s">
        <v>5959</v>
      </c>
      <c r="J187" s="35"/>
    </row>
    <row r="188" spans="1:16" ht="28.8" x14ac:dyDescent="0.3">
      <c r="A188" s="27" t="s">
        <v>103</v>
      </c>
      <c r="B188" s="34"/>
      <c r="E188" s="36" t="s">
        <v>5960</v>
      </c>
      <c r="J188" s="35"/>
    </row>
    <row r="189" spans="1:16" ht="28.8" x14ac:dyDescent="0.3">
      <c r="A189" s="27" t="s">
        <v>103</v>
      </c>
      <c r="B189" s="34"/>
      <c r="E189" s="36" t="s">
        <v>5961</v>
      </c>
      <c r="J189" s="35"/>
    </row>
    <row r="190" spans="1:16" ht="28.8" x14ac:dyDescent="0.3">
      <c r="A190" s="27" t="s">
        <v>103</v>
      </c>
      <c r="B190" s="34"/>
      <c r="E190" s="36" t="s">
        <v>5962</v>
      </c>
      <c r="J190" s="35"/>
    </row>
    <row r="191" spans="1:16" ht="28.8" x14ac:dyDescent="0.3">
      <c r="A191" s="27" t="s">
        <v>103</v>
      </c>
      <c r="B191" s="34"/>
      <c r="E191" s="36" t="s">
        <v>5963</v>
      </c>
      <c r="J191" s="35"/>
    </row>
    <row r="192" spans="1:16" ht="28.8" x14ac:dyDescent="0.3">
      <c r="A192" s="27" t="s">
        <v>103</v>
      </c>
      <c r="B192" s="34"/>
      <c r="E192" s="36" t="s">
        <v>5964</v>
      </c>
      <c r="J192" s="35"/>
    </row>
    <row r="193" spans="1:16" ht="28.8" x14ac:dyDescent="0.3">
      <c r="A193" s="27" t="s">
        <v>103</v>
      </c>
      <c r="B193" s="34"/>
      <c r="E193" s="36" t="s">
        <v>5965</v>
      </c>
      <c r="J193" s="35"/>
    </row>
    <row r="194" spans="1:16" ht="28.8" x14ac:dyDescent="0.3">
      <c r="A194" s="27" t="s">
        <v>103</v>
      </c>
      <c r="B194" s="34"/>
      <c r="E194" s="36" t="s">
        <v>5966</v>
      </c>
      <c r="J194" s="35"/>
    </row>
    <row r="195" spans="1:16" ht="28.8" x14ac:dyDescent="0.3">
      <c r="A195" s="27" t="s">
        <v>103</v>
      </c>
      <c r="B195" s="34"/>
      <c r="E195" s="36" t="s">
        <v>5967</v>
      </c>
      <c r="J195" s="35"/>
    </row>
    <row r="196" spans="1:16" ht="28.8" x14ac:dyDescent="0.3">
      <c r="A196" s="27" t="s">
        <v>103</v>
      </c>
      <c r="B196" s="34"/>
      <c r="E196" s="36" t="s">
        <v>5968</v>
      </c>
      <c r="J196" s="35"/>
    </row>
    <row r="197" spans="1:16" ht="28.8" x14ac:dyDescent="0.3">
      <c r="A197" s="27" t="s">
        <v>103</v>
      </c>
      <c r="B197" s="34"/>
      <c r="E197" s="36" t="s">
        <v>5969</v>
      </c>
      <c r="J197" s="35"/>
    </row>
    <row r="198" spans="1:16" ht="28.8" x14ac:dyDescent="0.3">
      <c r="A198" s="27" t="s">
        <v>103</v>
      </c>
      <c r="B198" s="34"/>
      <c r="E198" s="36" t="s">
        <v>5970</v>
      </c>
      <c r="J198" s="35"/>
    </row>
    <row r="199" spans="1:16" ht="28.8" x14ac:dyDescent="0.3">
      <c r="A199" s="27" t="s">
        <v>103</v>
      </c>
      <c r="B199" s="34"/>
      <c r="E199" s="36" t="s">
        <v>5971</v>
      </c>
      <c r="J199" s="35"/>
    </row>
    <row r="200" spans="1:16" ht="28.8" x14ac:dyDescent="0.3">
      <c r="A200" s="27" t="s">
        <v>103</v>
      </c>
      <c r="B200" s="34"/>
      <c r="E200" s="36" t="s">
        <v>5972</v>
      </c>
      <c r="J200" s="35"/>
    </row>
    <row r="201" spans="1:16" ht="28.8" x14ac:dyDescent="0.3">
      <c r="A201" s="27" t="s">
        <v>103</v>
      </c>
      <c r="B201" s="34"/>
      <c r="E201" s="36" t="s">
        <v>5973</v>
      </c>
      <c r="J201" s="35"/>
    </row>
    <row r="202" spans="1:16" ht="28.8" x14ac:dyDescent="0.3">
      <c r="A202" s="27" t="s">
        <v>103</v>
      </c>
      <c r="B202" s="34"/>
      <c r="E202" s="36" t="s">
        <v>5974</v>
      </c>
      <c r="J202" s="35"/>
    </row>
    <row r="203" spans="1:16" ht="28.8" x14ac:dyDescent="0.3">
      <c r="A203" s="27" t="s">
        <v>103</v>
      </c>
      <c r="B203" s="34"/>
      <c r="E203" s="36" t="s">
        <v>5975</v>
      </c>
      <c r="J203" s="35"/>
    </row>
    <row r="204" spans="1:16" ht="28.8" x14ac:dyDescent="0.3">
      <c r="A204" s="27" t="s">
        <v>103</v>
      </c>
      <c r="B204" s="34"/>
      <c r="E204" s="36" t="s">
        <v>5976</v>
      </c>
      <c r="J204" s="35"/>
    </row>
    <row r="205" spans="1:16" ht="28.8" x14ac:dyDescent="0.3">
      <c r="A205" s="27" t="s">
        <v>103</v>
      </c>
      <c r="B205" s="34"/>
      <c r="E205" s="36" t="s">
        <v>5977</v>
      </c>
      <c r="J205" s="35"/>
    </row>
    <row r="206" spans="1:16" x14ac:dyDescent="0.3">
      <c r="A206" s="27" t="s">
        <v>103</v>
      </c>
      <c r="B206" s="34"/>
      <c r="E206" s="36" t="s">
        <v>5978</v>
      </c>
      <c r="J206" s="35"/>
    </row>
    <row r="207" spans="1:16" ht="345.6" x14ac:dyDescent="0.3">
      <c r="A207" s="27" t="s">
        <v>105</v>
      </c>
      <c r="B207" s="34"/>
      <c r="E207" s="29" t="s">
        <v>5670</v>
      </c>
      <c r="J207" s="35"/>
    </row>
    <row r="208" spans="1:16" x14ac:dyDescent="0.3">
      <c r="A208" s="27" t="s">
        <v>95</v>
      </c>
      <c r="B208" s="27">
        <v>10</v>
      </c>
      <c r="C208" s="28" t="s">
        <v>5671</v>
      </c>
      <c r="D208" s="27" t="s">
        <v>129</v>
      </c>
      <c r="E208" s="29" t="s">
        <v>5672</v>
      </c>
      <c r="F208" s="30" t="s">
        <v>248</v>
      </c>
      <c r="G208" s="31">
        <v>416</v>
      </c>
      <c r="H208" s="32">
        <v>0</v>
      </c>
      <c r="I208" s="32">
        <f>ROUND(416*H208,P4)</f>
        <v>0</v>
      </c>
      <c r="J208" s="30" t="s">
        <v>118</v>
      </c>
      <c r="O208" s="33">
        <f>I208*0.21</f>
        <v>0</v>
      </c>
      <c r="P208">
        <v>3</v>
      </c>
    </row>
    <row r="209" spans="1:10" ht="288" x14ac:dyDescent="0.3">
      <c r="A209" s="27" t="s">
        <v>101</v>
      </c>
      <c r="B209" s="34"/>
      <c r="E209" s="29" t="s">
        <v>5979</v>
      </c>
      <c r="J209" s="35"/>
    </row>
    <row r="210" spans="1:10" ht="28.8" x14ac:dyDescent="0.3">
      <c r="A210" s="27" t="s">
        <v>103</v>
      </c>
      <c r="B210" s="34"/>
      <c r="E210" s="36" t="s">
        <v>5980</v>
      </c>
      <c r="J210" s="35"/>
    </row>
    <row r="211" spans="1:10" ht="28.8" x14ac:dyDescent="0.3">
      <c r="A211" s="27" t="s">
        <v>103</v>
      </c>
      <c r="B211" s="34"/>
      <c r="E211" s="36" t="s">
        <v>5981</v>
      </c>
      <c r="J211" s="35"/>
    </row>
    <row r="212" spans="1:10" ht="28.8" x14ac:dyDescent="0.3">
      <c r="A212" s="27" t="s">
        <v>103</v>
      </c>
      <c r="B212" s="34"/>
      <c r="E212" s="36" t="s">
        <v>5982</v>
      </c>
      <c r="J212" s="35"/>
    </row>
    <row r="213" spans="1:10" ht="28.8" x14ac:dyDescent="0.3">
      <c r="A213" s="27" t="s">
        <v>103</v>
      </c>
      <c r="B213" s="34"/>
      <c r="E213" s="36" t="s">
        <v>5983</v>
      </c>
      <c r="J213" s="35"/>
    </row>
    <row r="214" spans="1:10" ht="28.8" x14ac:dyDescent="0.3">
      <c r="A214" s="27" t="s">
        <v>103</v>
      </c>
      <c r="B214" s="34"/>
      <c r="E214" s="36" t="s">
        <v>5984</v>
      </c>
      <c r="J214" s="35"/>
    </row>
    <row r="215" spans="1:10" x14ac:dyDescent="0.3">
      <c r="A215" s="27" t="s">
        <v>103</v>
      </c>
      <c r="B215" s="34"/>
      <c r="E215" s="36" t="s">
        <v>5985</v>
      </c>
      <c r="J215" s="35"/>
    </row>
    <row r="216" spans="1:10" ht="28.8" x14ac:dyDescent="0.3">
      <c r="A216" s="27" t="s">
        <v>103</v>
      </c>
      <c r="B216" s="34"/>
      <c r="E216" s="36" t="s">
        <v>5986</v>
      </c>
      <c r="J216" s="35"/>
    </row>
    <row r="217" spans="1:10" ht="28.8" x14ac:dyDescent="0.3">
      <c r="A217" s="27" t="s">
        <v>103</v>
      </c>
      <c r="B217" s="34"/>
      <c r="E217" s="36" t="s">
        <v>5987</v>
      </c>
      <c r="J217" s="35"/>
    </row>
    <row r="218" spans="1:10" x14ac:dyDescent="0.3">
      <c r="A218" s="27" t="s">
        <v>103</v>
      </c>
      <c r="B218" s="34"/>
      <c r="E218" s="36" t="s">
        <v>5988</v>
      </c>
      <c r="J218" s="35"/>
    </row>
    <row r="219" spans="1:10" ht="28.8" x14ac:dyDescent="0.3">
      <c r="A219" s="27" t="s">
        <v>103</v>
      </c>
      <c r="B219" s="34"/>
      <c r="E219" s="36" t="s">
        <v>5989</v>
      </c>
      <c r="J219" s="35"/>
    </row>
    <row r="220" spans="1:10" ht="28.8" x14ac:dyDescent="0.3">
      <c r="A220" s="27" t="s">
        <v>103</v>
      </c>
      <c r="B220" s="34"/>
      <c r="E220" s="36" t="s">
        <v>5990</v>
      </c>
      <c r="J220" s="35"/>
    </row>
    <row r="221" spans="1:10" ht="28.8" x14ac:dyDescent="0.3">
      <c r="A221" s="27" t="s">
        <v>103</v>
      </c>
      <c r="B221" s="34"/>
      <c r="E221" s="36" t="s">
        <v>5991</v>
      </c>
      <c r="J221" s="35"/>
    </row>
    <row r="222" spans="1:10" x14ac:dyDescent="0.3">
      <c r="A222" s="27" t="s">
        <v>103</v>
      </c>
      <c r="B222" s="34"/>
      <c r="E222" s="36" t="s">
        <v>5992</v>
      </c>
      <c r="J222" s="35"/>
    </row>
    <row r="223" spans="1:10" ht="28.8" x14ac:dyDescent="0.3">
      <c r="A223" s="27" t="s">
        <v>103</v>
      </c>
      <c r="B223" s="34"/>
      <c r="E223" s="36" t="s">
        <v>5993</v>
      </c>
      <c r="J223" s="35"/>
    </row>
    <row r="224" spans="1:10" ht="28.8" x14ac:dyDescent="0.3">
      <c r="A224" s="27" t="s">
        <v>103</v>
      </c>
      <c r="B224" s="34"/>
      <c r="E224" s="36" t="s">
        <v>5994</v>
      </c>
      <c r="J224" s="35"/>
    </row>
    <row r="225" spans="1:10" ht="28.8" x14ac:dyDescent="0.3">
      <c r="A225" s="27" t="s">
        <v>103</v>
      </c>
      <c r="B225" s="34"/>
      <c r="E225" s="36" t="s">
        <v>5995</v>
      </c>
      <c r="J225" s="35"/>
    </row>
    <row r="226" spans="1:10" ht="28.8" x14ac:dyDescent="0.3">
      <c r="A226" s="27" t="s">
        <v>103</v>
      </c>
      <c r="B226" s="34"/>
      <c r="E226" s="36" t="s">
        <v>5996</v>
      </c>
      <c r="J226" s="35"/>
    </row>
    <row r="227" spans="1:10" ht="28.8" x14ac:dyDescent="0.3">
      <c r="A227" s="27" t="s">
        <v>103</v>
      </c>
      <c r="B227" s="34"/>
      <c r="E227" s="36" t="s">
        <v>5997</v>
      </c>
      <c r="J227" s="35"/>
    </row>
    <row r="228" spans="1:10" ht="28.8" x14ac:dyDescent="0.3">
      <c r="A228" s="27" t="s">
        <v>103</v>
      </c>
      <c r="B228" s="34"/>
      <c r="E228" s="36" t="s">
        <v>5998</v>
      </c>
      <c r="J228" s="35"/>
    </row>
    <row r="229" spans="1:10" ht="28.8" x14ac:dyDescent="0.3">
      <c r="A229" s="27" t="s">
        <v>103</v>
      </c>
      <c r="B229" s="34"/>
      <c r="E229" s="36" t="s">
        <v>5999</v>
      </c>
      <c r="J229" s="35"/>
    </row>
    <row r="230" spans="1:10" ht="28.8" x14ac:dyDescent="0.3">
      <c r="A230" s="27" t="s">
        <v>103</v>
      </c>
      <c r="B230" s="34"/>
      <c r="E230" s="36" t="s">
        <v>6000</v>
      </c>
      <c r="J230" s="35"/>
    </row>
    <row r="231" spans="1:10" x14ac:dyDescent="0.3">
      <c r="A231" s="27" t="s">
        <v>103</v>
      </c>
      <c r="B231" s="34"/>
      <c r="E231" s="36" t="s">
        <v>6001</v>
      </c>
      <c r="J231" s="35"/>
    </row>
    <row r="232" spans="1:10" ht="28.8" x14ac:dyDescent="0.3">
      <c r="A232" s="27" t="s">
        <v>103</v>
      </c>
      <c r="B232" s="34"/>
      <c r="E232" s="36" t="s">
        <v>6002</v>
      </c>
      <c r="J232" s="35"/>
    </row>
    <row r="233" spans="1:10" ht="28.8" x14ac:dyDescent="0.3">
      <c r="A233" s="27" t="s">
        <v>103</v>
      </c>
      <c r="B233" s="34"/>
      <c r="E233" s="36" t="s">
        <v>6003</v>
      </c>
      <c r="J233" s="35"/>
    </row>
    <row r="234" spans="1:10" ht="28.8" x14ac:dyDescent="0.3">
      <c r="A234" s="27" t="s">
        <v>103</v>
      </c>
      <c r="B234" s="34"/>
      <c r="E234" s="36" t="s">
        <v>6004</v>
      </c>
      <c r="J234" s="35"/>
    </row>
    <row r="235" spans="1:10" x14ac:dyDescent="0.3">
      <c r="A235" s="27" t="s">
        <v>103</v>
      </c>
      <c r="B235" s="34"/>
      <c r="E235" s="36" t="s">
        <v>6005</v>
      </c>
      <c r="J235" s="35"/>
    </row>
    <row r="236" spans="1:10" ht="28.8" x14ac:dyDescent="0.3">
      <c r="A236" s="27" t="s">
        <v>103</v>
      </c>
      <c r="B236" s="34"/>
      <c r="E236" s="36" t="s">
        <v>6006</v>
      </c>
      <c r="J236" s="35"/>
    </row>
    <row r="237" spans="1:10" ht="28.8" x14ac:dyDescent="0.3">
      <c r="A237" s="27" t="s">
        <v>103</v>
      </c>
      <c r="B237" s="34"/>
      <c r="E237" s="36" t="s">
        <v>6007</v>
      </c>
      <c r="J237" s="35"/>
    </row>
    <row r="238" spans="1:10" ht="28.8" x14ac:dyDescent="0.3">
      <c r="A238" s="27" t="s">
        <v>103</v>
      </c>
      <c r="B238" s="34"/>
      <c r="E238" s="36" t="s">
        <v>6008</v>
      </c>
      <c r="J238" s="35"/>
    </row>
    <row r="239" spans="1:10" x14ac:dyDescent="0.3">
      <c r="A239" s="27" t="s">
        <v>103</v>
      </c>
      <c r="B239" s="34"/>
      <c r="E239" s="36" t="s">
        <v>6009</v>
      </c>
      <c r="J239" s="35"/>
    </row>
    <row r="240" spans="1:10" ht="28.8" x14ac:dyDescent="0.3">
      <c r="A240" s="27" t="s">
        <v>103</v>
      </c>
      <c r="B240" s="34"/>
      <c r="E240" s="36" t="s">
        <v>6010</v>
      </c>
      <c r="J240" s="35"/>
    </row>
    <row r="241" spans="1:10" x14ac:dyDescent="0.3">
      <c r="A241" s="27" t="s">
        <v>103</v>
      </c>
      <c r="B241" s="34"/>
      <c r="E241" s="36" t="s">
        <v>6011</v>
      </c>
      <c r="J241" s="35"/>
    </row>
    <row r="242" spans="1:10" ht="28.8" x14ac:dyDescent="0.3">
      <c r="A242" s="27" t="s">
        <v>103</v>
      </c>
      <c r="B242" s="34"/>
      <c r="E242" s="36" t="s">
        <v>6012</v>
      </c>
      <c r="J242" s="35"/>
    </row>
    <row r="243" spans="1:10" ht="28.8" x14ac:dyDescent="0.3">
      <c r="A243" s="27" t="s">
        <v>103</v>
      </c>
      <c r="B243" s="34"/>
      <c r="E243" s="36" t="s">
        <v>6013</v>
      </c>
      <c r="J243" s="35"/>
    </row>
    <row r="244" spans="1:10" ht="28.8" x14ac:dyDescent="0.3">
      <c r="A244" s="27" t="s">
        <v>103</v>
      </c>
      <c r="B244" s="34"/>
      <c r="E244" s="36" t="s">
        <v>6014</v>
      </c>
      <c r="J244" s="35"/>
    </row>
    <row r="245" spans="1:10" ht="28.8" x14ac:dyDescent="0.3">
      <c r="A245" s="27" t="s">
        <v>103</v>
      </c>
      <c r="B245" s="34"/>
      <c r="E245" s="36" t="s">
        <v>6015</v>
      </c>
      <c r="J245" s="35"/>
    </row>
    <row r="246" spans="1:10" ht="28.8" x14ac:dyDescent="0.3">
      <c r="A246" s="27" t="s">
        <v>103</v>
      </c>
      <c r="B246" s="34"/>
      <c r="E246" s="36" t="s">
        <v>6016</v>
      </c>
      <c r="J246" s="35"/>
    </row>
    <row r="247" spans="1:10" ht="28.8" x14ac:dyDescent="0.3">
      <c r="A247" s="27" t="s">
        <v>103</v>
      </c>
      <c r="B247" s="34"/>
      <c r="E247" s="36" t="s">
        <v>6017</v>
      </c>
      <c r="J247" s="35"/>
    </row>
    <row r="248" spans="1:10" ht="28.8" x14ac:dyDescent="0.3">
      <c r="A248" s="27" t="s">
        <v>103</v>
      </c>
      <c r="B248" s="34"/>
      <c r="E248" s="36" t="s">
        <v>6018</v>
      </c>
      <c r="J248" s="35"/>
    </row>
    <row r="249" spans="1:10" ht="28.8" x14ac:dyDescent="0.3">
      <c r="A249" s="27" t="s">
        <v>103</v>
      </c>
      <c r="B249" s="34"/>
      <c r="E249" s="36" t="s">
        <v>6019</v>
      </c>
      <c r="J249" s="35"/>
    </row>
    <row r="250" spans="1:10" ht="28.8" x14ac:dyDescent="0.3">
      <c r="A250" s="27" t="s">
        <v>103</v>
      </c>
      <c r="B250" s="34"/>
      <c r="E250" s="36" t="s">
        <v>6020</v>
      </c>
      <c r="J250" s="35"/>
    </row>
    <row r="251" spans="1:10" ht="28.8" x14ac:dyDescent="0.3">
      <c r="A251" s="27" t="s">
        <v>103</v>
      </c>
      <c r="B251" s="34"/>
      <c r="E251" s="36" t="s">
        <v>6021</v>
      </c>
      <c r="J251" s="35"/>
    </row>
    <row r="252" spans="1:10" ht="28.8" x14ac:dyDescent="0.3">
      <c r="A252" s="27" t="s">
        <v>103</v>
      </c>
      <c r="B252" s="34"/>
      <c r="E252" s="36" t="s">
        <v>6022</v>
      </c>
      <c r="J252" s="35"/>
    </row>
    <row r="253" spans="1:10" ht="28.8" x14ac:dyDescent="0.3">
      <c r="A253" s="27" t="s">
        <v>103</v>
      </c>
      <c r="B253" s="34"/>
      <c r="E253" s="36" t="s">
        <v>6023</v>
      </c>
      <c r="J253" s="35"/>
    </row>
    <row r="254" spans="1:10" ht="28.8" x14ac:dyDescent="0.3">
      <c r="A254" s="27" t="s">
        <v>103</v>
      </c>
      <c r="B254" s="34"/>
      <c r="E254" s="36" t="s">
        <v>6024</v>
      </c>
      <c r="J254" s="35"/>
    </row>
    <row r="255" spans="1:10" ht="28.8" x14ac:dyDescent="0.3">
      <c r="A255" s="27" t="s">
        <v>103</v>
      </c>
      <c r="B255" s="34"/>
      <c r="E255" s="36" t="s">
        <v>6025</v>
      </c>
      <c r="J255" s="35"/>
    </row>
    <row r="256" spans="1:10" ht="28.8" x14ac:dyDescent="0.3">
      <c r="A256" s="27" t="s">
        <v>103</v>
      </c>
      <c r="B256" s="34"/>
      <c r="E256" s="36" t="s">
        <v>6026</v>
      </c>
      <c r="J256" s="35"/>
    </row>
    <row r="257" spans="1:10" ht="28.8" x14ac:dyDescent="0.3">
      <c r="A257" s="27" t="s">
        <v>103</v>
      </c>
      <c r="B257" s="34"/>
      <c r="E257" s="36" t="s">
        <v>6027</v>
      </c>
      <c r="J257" s="35"/>
    </row>
    <row r="258" spans="1:10" ht="28.8" x14ac:dyDescent="0.3">
      <c r="A258" s="27" t="s">
        <v>103</v>
      </c>
      <c r="B258" s="34"/>
      <c r="E258" s="36" t="s">
        <v>6028</v>
      </c>
      <c r="J258" s="35"/>
    </row>
    <row r="259" spans="1:10" ht="28.8" x14ac:dyDescent="0.3">
      <c r="A259" s="27" t="s">
        <v>103</v>
      </c>
      <c r="B259" s="34"/>
      <c r="E259" s="36" t="s">
        <v>6029</v>
      </c>
      <c r="J259" s="35"/>
    </row>
    <row r="260" spans="1:10" ht="28.8" x14ac:dyDescent="0.3">
      <c r="A260" s="27" t="s">
        <v>103</v>
      </c>
      <c r="B260" s="34"/>
      <c r="E260" s="36" t="s">
        <v>6030</v>
      </c>
      <c r="J260" s="35"/>
    </row>
    <row r="261" spans="1:10" ht="28.8" x14ac:dyDescent="0.3">
      <c r="A261" s="27" t="s">
        <v>103</v>
      </c>
      <c r="B261" s="34"/>
      <c r="E261" s="36" t="s">
        <v>6031</v>
      </c>
      <c r="J261" s="35"/>
    </row>
    <row r="262" spans="1:10" ht="28.8" x14ac:dyDescent="0.3">
      <c r="A262" s="27" t="s">
        <v>103</v>
      </c>
      <c r="B262" s="34"/>
      <c r="E262" s="36" t="s">
        <v>6032</v>
      </c>
      <c r="J262" s="35"/>
    </row>
    <row r="263" spans="1:10" ht="28.8" x14ac:dyDescent="0.3">
      <c r="A263" s="27" t="s">
        <v>103</v>
      </c>
      <c r="B263" s="34"/>
      <c r="E263" s="36" t="s">
        <v>6033</v>
      </c>
      <c r="J263" s="35"/>
    </row>
    <row r="264" spans="1:10" ht="28.8" x14ac:dyDescent="0.3">
      <c r="A264" s="27" t="s">
        <v>103</v>
      </c>
      <c r="B264" s="34"/>
      <c r="E264" s="36" t="s">
        <v>6034</v>
      </c>
      <c r="J264" s="35"/>
    </row>
    <row r="265" spans="1:10" ht="28.8" x14ac:dyDescent="0.3">
      <c r="A265" s="27" t="s">
        <v>103</v>
      </c>
      <c r="B265" s="34"/>
      <c r="E265" s="36" t="s">
        <v>6035</v>
      </c>
      <c r="J265" s="35"/>
    </row>
    <row r="266" spans="1:10" ht="28.8" x14ac:dyDescent="0.3">
      <c r="A266" s="27" t="s">
        <v>103</v>
      </c>
      <c r="B266" s="34"/>
      <c r="E266" s="36" t="s">
        <v>6036</v>
      </c>
      <c r="J266" s="35"/>
    </row>
    <row r="267" spans="1:10" ht="28.8" x14ac:dyDescent="0.3">
      <c r="A267" s="27" t="s">
        <v>103</v>
      </c>
      <c r="B267" s="34"/>
      <c r="E267" s="36" t="s">
        <v>6037</v>
      </c>
      <c r="J267" s="35"/>
    </row>
    <row r="268" spans="1:10" ht="28.8" x14ac:dyDescent="0.3">
      <c r="A268" s="27" t="s">
        <v>103</v>
      </c>
      <c r="B268" s="34"/>
      <c r="E268" s="36" t="s">
        <v>6038</v>
      </c>
      <c r="J268" s="35"/>
    </row>
    <row r="269" spans="1:10" ht="28.8" x14ac:dyDescent="0.3">
      <c r="A269" s="27" t="s">
        <v>103</v>
      </c>
      <c r="B269" s="34"/>
      <c r="E269" s="36" t="s">
        <v>6039</v>
      </c>
      <c r="J269" s="35"/>
    </row>
    <row r="270" spans="1:10" ht="28.8" x14ac:dyDescent="0.3">
      <c r="A270" s="27" t="s">
        <v>103</v>
      </c>
      <c r="B270" s="34"/>
      <c r="E270" s="36" t="s">
        <v>6040</v>
      </c>
      <c r="J270" s="35"/>
    </row>
    <row r="271" spans="1:10" ht="28.8" x14ac:dyDescent="0.3">
      <c r="A271" s="27" t="s">
        <v>103</v>
      </c>
      <c r="B271" s="34"/>
      <c r="E271" s="36" t="s">
        <v>6041</v>
      </c>
      <c r="J271" s="35"/>
    </row>
    <row r="272" spans="1:10" ht="28.8" x14ac:dyDescent="0.3">
      <c r="A272" s="27" t="s">
        <v>103</v>
      </c>
      <c r="B272" s="34"/>
      <c r="E272" s="36" t="s">
        <v>6042</v>
      </c>
      <c r="J272" s="35"/>
    </row>
    <row r="273" spans="1:10" ht="28.8" x14ac:dyDescent="0.3">
      <c r="A273" s="27" t="s">
        <v>103</v>
      </c>
      <c r="B273" s="34"/>
      <c r="E273" s="36" t="s">
        <v>6043</v>
      </c>
      <c r="J273" s="35"/>
    </row>
    <row r="274" spans="1:10" ht="28.8" x14ac:dyDescent="0.3">
      <c r="A274" s="27" t="s">
        <v>103</v>
      </c>
      <c r="B274" s="34"/>
      <c r="E274" s="36" t="s">
        <v>6044</v>
      </c>
      <c r="J274" s="35"/>
    </row>
    <row r="275" spans="1:10" ht="28.8" x14ac:dyDescent="0.3">
      <c r="A275" s="27" t="s">
        <v>103</v>
      </c>
      <c r="B275" s="34"/>
      <c r="E275" s="36" t="s">
        <v>6045</v>
      </c>
      <c r="J275" s="35"/>
    </row>
    <row r="276" spans="1:10" x14ac:dyDescent="0.3">
      <c r="A276" s="27" t="s">
        <v>103</v>
      </c>
      <c r="B276" s="34"/>
      <c r="E276" s="36" t="s">
        <v>6046</v>
      </c>
      <c r="J276" s="35"/>
    </row>
    <row r="277" spans="1:10" ht="28.8" x14ac:dyDescent="0.3">
      <c r="A277" s="27" t="s">
        <v>103</v>
      </c>
      <c r="B277" s="34"/>
      <c r="E277" s="36" t="s">
        <v>6047</v>
      </c>
      <c r="J277" s="35"/>
    </row>
    <row r="278" spans="1:10" ht="28.8" x14ac:dyDescent="0.3">
      <c r="A278" s="27" t="s">
        <v>103</v>
      </c>
      <c r="B278" s="34"/>
      <c r="E278" s="36" t="s">
        <v>6048</v>
      </c>
      <c r="J278" s="35"/>
    </row>
    <row r="279" spans="1:10" ht="28.8" x14ac:dyDescent="0.3">
      <c r="A279" s="27" t="s">
        <v>103</v>
      </c>
      <c r="B279" s="34"/>
      <c r="E279" s="36" t="s">
        <v>6049</v>
      </c>
      <c r="J279" s="35"/>
    </row>
    <row r="280" spans="1:10" ht="28.8" x14ac:dyDescent="0.3">
      <c r="A280" s="27" t="s">
        <v>103</v>
      </c>
      <c r="B280" s="34"/>
      <c r="E280" s="36" t="s">
        <v>6050</v>
      </c>
      <c r="J280" s="35"/>
    </row>
    <row r="281" spans="1:10" ht="28.8" x14ac:dyDescent="0.3">
      <c r="A281" s="27" t="s">
        <v>103</v>
      </c>
      <c r="B281" s="34"/>
      <c r="E281" s="36" t="s">
        <v>6051</v>
      </c>
      <c r="J281" s="35"/>
    </row>
    <row r="282" spans="1:10" ht="28.8" x14ac:dyDescent="0.3">
      <c r="A282" s="27" t="s">
        <v>103</v>
      </c>
      <c r="B282" s="34"/>
      <c r="E282" s="36" t="s">
        <v>6052</v>
      </c>
      <c r="J282" s="35"/>
    </row>
    <row r="283" spans="1:10" ht="28.8" x14ac:dyDescent="0.3">
      <c r="A283" s="27" t="s">
        <v>103</v>
      </c>
      <c r="B283" s="34"/>
      <c r="E283" s="36" t="s">
        <v>6053</v>
      </c>
      <c r="J283" s="35"/>
    </row>
    <row r="284" spans="1:10" ht="28.8" x14ac:dyDescent="0.3">
      <c r="A284" s="27" t="s">
        <v>103</v>
      </c>
      <c r="B284" s="34"/>
      <c r="E284" s="36" t="s">
        <v>6054</v>
      </c>
      <c r="J284" s="35"/>
    </row>
    <row r="285" spans="1:10" ht="28.8" x14ac:dyDescent="0.3">
      <c r="A285" s="27" t="s">
        <v>103</v>
      </c>
      <c r="B285" s="34"/>
      <c r="E285" s="36" t="s">
        <v>6055</v>
      </c>
      <c r="J285" s="35"/>
    </row>
    <row r="286" spans="1:10" ht="28.8" x14ac:dyDescent="0.3">
      <c r="A286" s="27" t="s">
        <v>103</v>
      </c>
      <c r="B286" s="34"/>
      <c r="E286" s="36" t="s">
        <v>6056</v>
      </c>
      <c r="J286" s="35"/>
    </row>
    <row r="287" spans="1:10" ht="28.8" x14ac:dyDescent="0.3">
      <c r="A287" s="27" t="s">
        <v>103</v>
      </c>
      <c r="B287" s="34"/>
      <c r="E287" s="36" t="s">
        <v>6057</v>
      </c>
      <c r="J287" s="35"/>
    </row>
    <row r="288" spans="1:10" ht="28.8" x14ac:dyDescent="0.3">
      <c r="A288" s="27" t="s">
        <v>103</v>
      </c>
      <c r="B288" s="34"/>
      <c r="E288" s="36" t="s">
        <v>6058</v>
      </c>
      <c r="J288" s="35"/>
    </row>
    <row r="289" spans="1:16" ht="28.8" x14ac:dyDescent="0.3">
      <c r="A289" s="27" t="s">
        <v>103</v>
      </c>
      <c r="B289" s="34"/>
      <c r="E289" s="36" t="s">
        <v>6059</v>
      </c>
      <c r="J289" s="35"/>
    </row>
    <row r="290" spans="1:16" ht="28.8" x14ac:dyDescent="0.3">
      <c r="A290" s="27" t="s">
        <v>103</v>
      </c>
      <c r="B290" s="34"/>
      <c r="E290" s="36" t="s">
        <v>6060</v>
      </c>
      <c r="J290" s="35"/>
    </row>
    <row r="291" spans="1:16" ht="28.8" x14ac:dyDescent="0.3">
      <c r="A291" s="27" t="s">
        <v>103</v>
      </c>
      <c r="B291" s="34"/>
      <c r="E291" s="36" t="s">
        <v>6061</v>
      </c>
      <c r="J291" s="35"/>
    </row>
    <row r="292" spans="1:16" ht="28.8" x14ac:dyDescent="0.3">
      <c r="A292" s="27" t="s">
        <v>103</v>
      </c>
      <c r="B292" s="34"/>
      <c r="E292" s="36" t="s">
        <v>6062</v>
      </c>
      <c r="J292" s="35"/>
    </row>
    <row r="293" spans="1:16" ht="28.8" x14ac:dyDescent="0.3">
      <c r="A293" s="27" t="s">
        <v>103</v>
      </c>
      <c r="B293" s="34"/>
      <c r="E293" s="36" t="s">
        <v>6063</v>
      </c>
      <c r="J293" s="35"/>
    </row>
    <row r="294" spans="1:16" ht="28.8" x14ac:dyDescent="0.3">
      <c r="A294" s="27" t="s">
        <v>103</v>
      </c>
      <c r="B294" s="34"/>
      <c r="E294" s="36" t="s">
        <v>6064</v>
      </c>
      <c r="J294" s="35"/>
    </row>
    <row r="295" spans="1:16" x14ac:dyDescent="0.3">
      <c r="A295" s="27" t="s">
        <v>103</v>
      </c>
      <c r="B295" s="34"/>
      <c r="E295" s="36" t="s">
        <v>6065</v>
      </c>
      <c r="J295" s="35"/>
    </row>
    <row r="296" spans="1:16" ht="259.2" x14ac:dyDescent="0.3">
      <c r="A296" s="27" t="s">
        <v>105</v>
      </c>
      <c r="B296" s="34"/>
      <c r="E296" s="29" t="s">
        <v>5775</v>
      </c>
      <c r="J296" s="35"/>
    </row>
    <row r="297" spans="1:16" x14ac:dyDescent="0.3">
      <c r="A297" s="21" t="s">
        <v>92</v>
      </c>
      <c r="B297" s="22"/>
      <c r="C297" s="23" t="s">
        <v>121</v>
      </c>
      <c r="D297" s="24"/>
      <c r="E297" s="21" t="s">
        <v>669</v>
      </c>
      <c r="F297" s="24"/>
      <c r="G297" s="24"/>
      <c r="H297" s="24"/>
      <c r="I297" s="25">
        <f>SUMIFS(I298:I319,A298:A319,"P")</f>
        <v>0</v>
      </c>
      <c r="J297" s="26"/>
    </row>
    <row r="298" spans="1:16" x14ac:dyDescent="0.3">
      <c r="A298" s="27" t="s">
        <v>95</v>
      </c>
      <c r="B298" s="27">
        <v>11</v>
      </c>
      <c r="C298" s="28" t="s">
        <v>5776</v>
      </c>
      <c r="D298" s="27" t="s">
        <v>129</v>
      </c>
      <c r="E298" s="29" t="s">
        <v>5777</v>
      </c>
      <c r="F298" s="30" t="s">
        <v>229</v>
      </c>
      <c r="G298" s="31">
        <v>0.252</v>
      </c>
      <c r="H298" s="32">
        <v>0</v>
      </c>
      <c r="I298" s="32">
        <f>ROUND(0.252*H298,P4)</f>
        <v>0</v>
      </c>
      <c r="J298" s="30" t="s">
        <v>118</v>
      </c>
      <c r="O298" s="33">
        <f>I298*0.21</f>
        <v>0</v>
      </c>
      <c r="P298">
        <v>3</v>
      </c>
    </row>
    <row r="299" spans="1:16" ht="158.4" x14ac:dyDescent="0.3">
      <c r="A299" s="27" t="s">
        <v>101</v>
      </c>
      <c r="B299" s="34"/>
      <c r="E299" s="29" t="s">
        <v>5940</v>
      </c>
      <c r="J299" s="35"/>
    </row>
    <row r="300" spans="1:16" ht="28.8" x14ac:dyDescent="0.3">
      <c r="A300" s="27" t="s">
        <v>103</v>
      </c>
      <c r="B300" s="34"/>
      <c r="E300" s="36" t="s">
        <v>5941</v>
      </c>
      <c r="J300" s="35"/>
    </row>
    <row r="301" spans="1:16" ht="28.8" x14ac:dyDescent="0.3">
      <c r="A301" s="27" t="s">
        <v>103</v>
      </c>
      <c r="B301" s="34"/>
      <c r="E301" s="36" t="s">
        <v>5942</v>
      </c>
      <c r="J301" s="35"/>
    </row>
    <row r="302" spans="1:16" ht="28.8" x14ac:dyDescent="0.3">
      <c r="A302" s="27" t="s">
        <v>103</v>
      </c>
      <c r="B302" s="34"/>
      <c r="E302" s="36" t="s">
        <v>5943</v>
      </c>
      <c r="J302" s="35"/>
    </row>
    <row r="303" spans="1:16" ht="28.8" x14ac:dyDescent="0.3">
      <c r="A303" s="27" t="s">
        <v>103</v>
      </c>
      <c r="B303" s="34"/>
      <c r="E303" s="36" t="s">
        <v>5944</v>
      </c>
      <c r="J303" s="35"/>
    </row>
    <row r="304" spans="1:16" ht="28.8" x14ac:dyDescent="0.3">
      <c r="A304" s="27" t="s">
        <v>103</v>
      </c>
      <c r="B304" s="34"/>
      <c r="E304" s="36" t="s">
        <v>5945</v>
      </c>
      <c r="J304" s="35"/>
    </row>
    <row r="305" spans="1:10" ht="28.8" x14ac:dyDescent="0.3">
      <c r="A305" s="27" t="s">
        <v>103</v>
      </c>
      <c r="B305" s="34"/>
      <c r="E305" s="36" t="s">
        <v>5946</v>
      </c>
      <c r="J305" s="35"/>
    </row>
    <row r="306" spans="1:10" ht="28.8" x14ac:dyDescent="0.3">
      <c r="A306" s="27" t="s">
        <v>103</v>
      </c>
      <c r="B306" s="34"/>
      <c r="E306" s="36" t="s">
        <v>5947</v>
      </c>
      <c r="J306" s="35"/>
    </row>
    <row r="307" spans="1:10" ht="28.8" x14ac:dyDescent="0.3">
      <c r="A307" s="27" t="s">
        <v>103</v>
      </c>
      <c r="B307" s="34"/>
      <c r="E307" s="36" t="s">
        <v>5948</v>
      </c>
      <c r="J307" s="35"/>
    </row>
    <row r="308" spans="1:10" ht="28.8" x14ac:dyDescent="0.3">
      <c r="A308" s="27" t="s">
        <v>103</v>
      </c>
      <c r="B308" s="34"/>
      <c r="E308" s="36" t="s">
        <v>5949</v>
      </c>
      <c r="J308" s="35"/>
    </row>
    <row r="309" spans="1:10" ht="28.8" x14ac:dyDescent="0.3">
      <c r="A309" s="27" t="s">
        <v>103</v>
      </c>
      <c r="B309" s="34"/>
      <c r="E309" s="36" t="s">
        <v>5950</v>
      </c>
      <c r="J309" s="35"/>
    </row>
    <row r="310" spans="1:10" ht="28.8" x14ac:dyDescent="0.3">
      <c r="A310" s="27" t="s">
        <v>103</v>
      </c>
      <c r="B310" s="34"/>
      <c r="E310" s="36" t="s">
        <v>5951</v>
      </c>
      <c r="J310" s="35"/>
    </row>
    <row r="311" spans="1:10" ht="28.8" x14ac:dyDescent="0.3">
      <c r="A311" s="27" t="s">
        <v>103</v>
      </c>
      <c r="B311" s="34"/>
      <c r="E311" s="36" t="s">
        <v>5952</v>
      </c>
      <c r="J311" s="35"/>
    </row>
    <row r="312" spans="1:10" ht="28.8" x14ac:dyDescent="0.3">
      <c r="A312" s="27" t="s">
        <v>103</v>
      </c>
      <c r="B312" s="34"/>
      <c r="E312" s="36" t="s">
        <v>5953</v>
      </c>
      <c r="J312" s="35"/>
    </row>
    <row r="313" spans="1:10" ht="28.8" x14ac:dyDescent="0.3">
      <c r="A313" s="27" t="s">
        <v>103</v>
      </c>
      <c r="B313" s="34"/>
      <c r="E313" s="36" t="s">
        <v>5954</v>
      </c>
      <c r="J313" s="35"/>
    </row>
    <row r="314" spans="1:10" ht="28.8" x14ac:dyDescent="0.3">
      <c r="A314" s="27" t="s">
        <v>103</v>
      </c>
      <c r="B314" s="34"/>
      <c r="E314" s="36" t="s">
        <v>5955</v>
      </c>
      <c r="J314" s="35"/>
    </row>
    <row r="315" spans="1:10" ht="28.8" x14ac:dyDescent="0.3">
      <c r="A315" s="27" t="s">
        <v>103</v>
      </c>
      <c r="B315" s="34"/>
      <c r="E315" s="36" t="s">
        <v>5956</v>
      </c>
      <c r="J315" s="35"/>
    </row>
    <row r="316" spans="1:10" ht="28.8" x14ac:dyDescent="0.3">
      <c r="A316" s="27" t="s">
        <v>103</v>
      </c>
      <c r="B316" s="34"/>
      <c r="E316" s="36" t="s">
        <v>5957</v>
      </c>
      <c r="J316" s="35"/>
    </row>
    <row r="317" spans="1:10" x14ac:dyDescent="0.3">
      <c r="A317" s="27" t="s">
        <v>103</v>
      </c>
      <c r="B317" s="34"/>
      <c r="E317" s="36" t="s">
        <v>6066</v>
      </c>
      <c r="J317" s="35"/>
    </row>
    <row r="318" spans="1:10" x14ac:dyDescent="0.3">
      <c r="A318" s="27" t="s">
        <v>103</v>
      </c>
      <c r="B318" s="34"/>
      <c r="E318" s="36" t="s">
        <v>6067</v>
      </c>
      <c r="J318" s="35"/>
    </row>
    <row r="319" spans="1:10" ht="409.6" x14ac:dyDescent="0.3">
      <c r="A319" s="27" t="s">
        <v>105</v>
      </c>
      <c r="B319" s="34"/>
      <c r="E319" s="29" t="s">
        <v>680</v>
      </c>
      <c r="J319" s="35"/>
    </row>
    <row r="320" spans="1:10" x14ac:dyDescent="0.3">
      <c r="A320" s="21" t="s">
        <v>92</v>
      </c>
      <c r="B320" s="22"/>
      <c r="C320" s="23" t="s">
        <v>233</v>
      </c>
      <c r="D320" s="24"/>
      <c r="E320" s="21" t="s">
        <v>234</v>
      </c>
      <c r="F320" s="24"/>
      <c r="G320" s="24"/>
      <c r="H320" s="24"/>
      <c r="I320" s="25">
        <f>SUMIFS(I321:I344,A321:A344,"P")</f>
        <v>0</v>
      </c>
      <c r="J320" s="26"/>
    </row>
    <row r="321" spans="1:16" x14ac:dyDescent="0.3">
      <c r="A321" s="27" t="s">
        <v>95</v>
      </c>
      <c r="B321" s="27">
        <v>12</v>
      </c>
      <c r="C321" s="28" t="s">
        <v>5780</v>
      </c>
      <c r="D321" s="27" t="s">
        <v>97</v>
      </c>
      <c r="E321" s="29" t="s">
        <v>5781</v>
      </c>
      <c r="F321" s="30" t="s">
        <v>248</v>
      </c>
      <c r="G321" s="31">
        <v>71.477999999999994</v>
      </c>
      <c r="H321" s="32">
        <v>0</v>
      </c>
      <c r="I321" s="32">
        <f>ROUND(71.478*H321,P4)</f>
        <v>0</v>
      </c>
      <c r="J321" s="30" t="s">
        <v>118</v>
      </c>
      <c r="O321" s="33">
        <f>I321*0.21</f>
        <v>0</v>
      </c>
      <c r="P321">
        <v>3</v>
      </c>
    </row>
    <row r="322" spans="1:16" ht="115.2" x14ac:dyDescent="0.3">
      <c r="A322" s="27" t="s">
        <v>101</v>
      </c>
      <c r="B322" s="34"/>
      <c r="E322" s="29" t="s">
        <v>6068</v>
      </c>
      <c r="J322" s="35"/>
    </row>
    <row r="323" spans="1:16" ht="43.2" x14ac:dyDescent="0.3">
      <c r="A323" s="27" t="s">
        <v>103</v>
      </c>
      <c r="B323" s="34"/>
      <c r="E323" s="36" t="s">
        <v>6069</v>
      </c>
      <c r="J323" s="35"/>
    </row>
    <row r="324" spans="1:16" ht="259.2" x14ac:dyDescent="0.3">
      <c r="A324" s="27" t="s">
        <v>105</v>
      </c>
      <c r="B324" s="34"/>
      <c r="E324" s="29" t="s">
        <v>5784</v>
      </c>
      <c r="J324" s="35"/>
    </row>
    <row r="325" spans="1:16" x14ac:dyDescent="0.3">
      <c r="A325" s="27" t="s">
        <v>95</v>
      </c>
      <c r="B325" s="27">
        <v>13</v>
      </c>
      <c r="C325" s="28" t="s">
        <v>5780</v>
      </c>
      <c r="D325" s="27" t="s">
        <v>107</v>
      </c>
      <c r="E325" s="29" t="s">
        <v>5781</v>
      </c>
      <c r="F325" s="30" t="s">
        <v>248</v>
      </c>
      <c r="G325" s="31">
        <v>24.405999999999999</v>
      </c>
      <c r="H325" s="32">
        <v>0</v>
      </c>
      <c r="I325" s="32">
        <f>ROUND(24.406*H325,P4)</f>
        <v>0</v>
      </c>
      <c r="J325" s="30" t="s">
        <v>118</v>
      </c>
      <c r="O325" s="33">
        <f>I325*0.21</f>
        <v>0</v>
      </c>
      <c r="P325">
        <v>3</v>
      </c>
    </row>
    <row r="326" spans="1:16" ht="57.6" x14ac:dyDescent="0.3">
      <c r="A326" s="27" t="s">
        <v>101</v>
      </c>
      <c r="B326" s="34"/>
      <c r="E326" s="29" t="s">
        <v>6070</v>
      </c>
      <c r="J326" s="35"/>
    </row>
    <row r="327" spans="1:16" ht="28.8" x14ac:dyDescent="0.3">
      <c r="A327" s="27" t="s">
        <v>103</v>
      </c>
      <c r="B327" s="34"/>
      <c r="E327" s="36" t="s">
        <v>5792</v>
      </c>
      <c r="J327" s="35"/>
    </row>
    <row r="328" spans="1:16" ht="259.2" x14ac:dyDescent="0.3">
      <c r="A328" s="27" t="s">
        <v>105</v>
      </c>
      <c r="B328" s="34"/>
      <c r="E328" s="29" t="s">
        <v>5784</v>
      </c>
      <c r="J328" s="35"/>
    </row>
    <row r="329" spans="1:16" x14ac:dyDescent="0.3">
      <c r="A329" s="27" t="s">
        <v>95</v>
      </c>
      <c r="B329" s="27">
        <v>14</v>
      </c>
      <c r="C329" s="28" t="s">
        <v>5787</v>
      </c>
      <c r="D329" s="27" t="s">
        <v>97</v>
      </c>
      <c r="E329" s="29" t="s">
        <v>5788</v>
      </c>
      <c r="F329" s="30" t="s">
        <v>248</v>
      </c>
      <c r="G329" s="31">
        <v>71.477999999999994</v>
      </c>
      <c r="H329" s="32">
        <v>0</v>
      </c>
      <c r="I329" s="32">
        <f>ROUND(71.478*H329,P4)</f>
        <v>0</v>
      </c>
      <c r="J329" s="30" t="s">
        <v>118</v>
      </c>
      <c r="O329" s="33">
        <f>I329*0.21</f>
        <v>0</v>
      </c>
      <c r="P329">
        <v>3</v>
      </c>
    </row>
    <row r="330" spans="1:16" ht="100.8" x14ac:dyDescent="0.3">
      <c r="A330" s="27" t="s">
        <v>101</v>
      </c>
      <c r="B330" s="34"/>
      <c r="E330" s="29" t="s">
        <v>6071</v>
      </c>
      <c r="J330" s="35"/>
    </row>
    <row r="331" spans="1:16" ht="43.2" x14ac:dyDescent="0.3">
      <c r="A331" s="27" t="s">
        <v>103</v>
      </c>
      <c r="B331" s="34"/>
      <c r="E331" s="36" t="s">
        <v>6069</v>
      </c>
      <c r="J331" s="35"/>
    </row>
    <row r="332" spans="1:16" ht="43.2" x14ac:dyDescent="0.3">
      <c r="A332" s="27" t="s">
        <v>105</v>
      </c>
      <c r="B332" s="34"/>
      <c r="E332" s="29" t="s">
        <v>5790</v>
      </c>
      <c r="J332" s="35"/>
    </row>
    <row r="333" spans="1:16" x14ac:dyDescent="0.3">
      <c r="A333" s="27" t="s">
        <v>95</v>
      </c>
      <c r="B333" s="27">
        <v>15</v>
      </c>
      <c r="C333" s="28" t="s">
        <v>5787</v>
      </c>
      <c r="D333" s="27" t="s">
        <v>107</v>
      </c>
      <c r="E333" s="29" t="s">
        <v>5788</v>
      </c>
      <c r="F333" s="30" t="s">
        <v>248</v>
      </c>
      <c r="G333" s="31">
        <v>24.405999999999999</v>
      </c>
      <c r="H333" s="32">
        <v>0</v>
      </c>
      <c r="I333" s="32">
        <f>ROUND(24.406*H333,P4)</f>
        <v>0</v>
      </c>
      <c r="J333" s="30" t="s">
        <v>118</v>
      </c>
      <c r="O333" s="33">
        <f>I333*0.21</f>
        <v>0</v>
      </c>
      <c r="P333">
        <v>3</v>
      </c>
    </row>
    <row r="334" spans="1:16" ht="57.6" x14ac:dyDescent="0.3">
      <c r="A334" s="27" t="s">
        <v>101</v>
      </c>
      <c r="B334" s="34"/>
      <c r="E334" s="29" t="s">
        <v>6072</v>
      </c>
      <c r="J334" s="35"/>
    </row>
    <row r="335" spans="1:16" ht="28.8" x14ac:dyDescent="0.3">
      <c r="A335" s="27" t="s">
        <v>103</v>
      </c>
      <c r="B335" s="34"/>
      <c r="E335" s="36" t="s">
        <v>5792</v>
      </c>
      <c r="J335" s="35"/>
    </row>
    <row r="336" spans="1:16" ht="43.2" x14ac:dyDescent="0.3">
      <c r="A336" s="27" t="s">
        <v>105</v>
      </c>
      <c r="B336" s="34"/>
      <c r="E336" s="29" t="s">
        <v>5790</v>
      </c>
      <c r="J336" s="35"/>
    </row>
    <row r="337" spans="1:16" x14ac:dyDescent="0.3">
      <c r="A337" s="27" t="s">
        <v>95</v>
      </c>
      <c r="B337" s="27">
        <v>16</v>
      </c>
      <c r="C337" s="28" t="s">
        <v>5793</v>
      </c>
      <c r="D337" s="27" t="s">
        <v>129</v>
      </c>
      <c r="E337" s="29" t="s">
        <v>5794</v>
      </c>
      <c r="F337" s="30" t="s">
        <v>248</v>
      </c>
      <c r="G337" s="31">
        <v>60.017000000000003</v>
      </c>
      <c r="H337" s="32">
        <v>0</v>
      </c>
      <c r="I337" s="32">
        <f>ROUND(60.017*H337,P4)</f>
        <v>0</v>
      </c>
      <c r="J337" s="30" t="s">
        <v>118</v>
      </c>
      <c r="O337" s="33">
        <f>I337*0.21</f>
        <v>0</v>
      </c>
      <c r="P337">
        <v>3</v>
      </c>
    </row>
    <row r="338" spans="1:16" ht="43.2" x14ac:dyDescent="0.3">
      <c r="A338" s="27" t="s">
        <v>101</v>
      </c>
      <c r="B338" s="34"/>
      <c r="E338" s="29" t="s">
        <v>6073</v>
      </c>
      <c r="J338" s="35"/>
    </row>
    <row r="339" spans="1:16" x14ac:dyDescent="0.3">
      <c r="A339" s="27" t="s">
        <v>103</v>
      </c>
      <c r="B339" s="34"/>
      <c r="E339" s="36" t="s">
        <v>6074</v>
      </c>
      <c r="J339" s="35"/>
    </row>
    <row r="340" spans="1:16" ht="100.8" x14ac:dyDescent="0.3">
      <c r="A340" s="27" t="s">
        <v>105</v>
      </c>
      <c r="B340" s="34"/>
      <c r="E340" s="29" t="s">
        <v>5797</v>
      </c>
      <c r="J340" s="35"/>
    </row>
    <row r="341" spans="1:16" x14ac:dyDescent="0.3">
      <c r="A341" s="27" t="s">
        <v>95</v>
      </c>
      <c r="B341" s="27">
        <v>17</v>
      </c>
      <c r="C341" s="28" t="s">
        <v>5798</v>
      </c>
      <c r="D341" s="27" t="s">
        <v>129</v>
      </c>
      <c r="E341" s="29" t="s">
        <v>5799</v>
      </c>
      <c r="F341" s="30" t="s">
        <v>248</v>
      </c>
      <c r="G341" s="31">
        <v>71.477999999999994</v>
      </c>
      <c r="H341" s="32">
        <v>0</v>
      </c>
      <c r="I341" s="32">
        <f>ROUND(71.478*H341,P4)</f>
        <v>0</v>
      </c>
      <c r="J341" s="30" t="s">
        <v>118</v>
      </c>
      <c r="O341" s="33">
        <f>I341*0.21</f>
        <v>0</v>
      </c>
      <c r="P341">
        <v>3</v>
      </c>
    </row>
    <row r="342" spans="1:16" ht="57.6" x14ac:dyDescent="0.3">
      <c r="A342" s="27" t="s">
        <v>101</v>
      </c>
      <c r="B342" s="34"/>
      <c r="E342" s="29" t="s">
        <v>6075</v>
      </c>
      <c r="J342" s="35"/>
    </row>
    <row r="343" spans="1:16" ht="43.2" x14ac:dyDescent="0.3">
      <c r="A343" s="27" t="s">
        <v>103</v>
      </c>
      <c r="B343" s="34"/>
      <c r="E343" s="36" t="s">
        <v>6076</v>
      </c>
      <c r="J343" s="35"/>
    </row>
    <row r="344" spans="1:16" ht="57.6" x14ac:dyDescent="0.3">
      <c r="A344" s="27" t="s">
        <v>105</v>
      </c>
      <c r="B344" s="37"/>
      <c r="C344" s="38"/>
      <c r="D344" s="38"/>
      <c r="E344" s="29" t="s">
        <v>5802</v>
      </c>
      <c r="F344" s="38"/>
      <c r="G344" s="38"/>
      <c r="H344" s="38"/>
      <c r="I344" s="38"/>
      <c r="J344"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96"/>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66</v>
      </c>
      <c r="I3" s="16">
        <f>SUMIFS(I8:I96,A8:A96,"SD")</f>
        <v>0</v>
      </c>
      <c r="J3" s="12"/>
      <c r="O3">
        <v>0</v>
      </c>
      <c r="P3">
        <v>2</v>
      </c>
    </row>
    <row r="4" spans="1:16" x14ac:dyDescent="0.3">
      <c r="A4" s="2" t="s">
        <v>79</v>
      </c>
      <c r="B4" s="13" t="s">
        <v>80</v>
      </c>
      <c r="C4" s="43" t="s">
        <v>66</v>
      </c>
      <c r="D4" s="44"/>
      <c r="E4" s="14" t="s">
        <v>67</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SUMIFS(I9:I96,A9:A96,"P")</f>
        <v>0</v>
      </c>
      <c r="J8" s="26"/>
    </row>
    <row r="9" spans="1:16" x14ac:dyDescent="0.3">
      <c r="A9" s="27" t="s">
        <v>95</v>
      </c>
      <c r="B9" s="27">
        <v>1</v>
      </c>
      <c r="C9" s="28" t="s">
        <v>6077</v>
      </c>
      <c r="D9" s="27" t="s">
        <v>129</v>
      </c>
      <c r="E9" s="29" t="s">
        <v>6078</v>
      </c>
      <c r="F9" s="30" t="s">
        <v>248</v>
      </c>
      <c r="G9" s="31">
        <v>60</v>
      </c>
      <c r="H9" s="32">
        <v>0</v>
      </c>
      <c r="I9" s="32">
        <f>ROUND(60*H9,P4)</f>
        <v>0</v>
      </c>
      <c r="J9" s="30" t="s">
        <v>6079</v>
      </c>
      <c r="O9" s="33">
        <f>I9*0.21</f>
        <v>0</v>
      </c>
      <c r="P9">
        <v>3</v>
      </c>
    </row>
    <row r="10" spans="1:16" ht="216" x14ac:dyDescent="0.3">
      <c r="A10" s="27" t="s">
        <v>101</v>
      </c>
      <c r="B10" s="34"/>
      <c r="E10" s="29" t="s">
        <v>6080</v>
      </c>
      <c r="J10" s="35"/>
    </row>
    <row r="11" spans="1:16" x14ac:dyDescent="0.3">
      <c r="A11" s="27" t="s">
        <v>103</v>
      </c>
      <c r="B11" s="34"/>
      <c r="E11" s="36" t="s">
        <v>6081</v>
      </c>
      <c r="J11" s="35"/>
    </row>
    <row r="12" spans="1:16" x14ac:dyDescent="0.3">
      <c r="A12" s="27" t="s">
        <v>103</v>
      </c>
      <c r="B12" s="34"/>
      <c r="E12" s="36" t="s">
        <v>6082</v>
      </c>
      <c r="J12" s="35"/>
    </row>
    <row r="13" spans="1:16" ht="43.2" x14ac:dyDescent="0.3">
      <c r="A13" s="27" t="s">
        <v>105</v>
      </c>
      <c r="B13" s="34"/>
      <c r="E13" s="29" t="s">
        <v>6083</v>
      </c>
      <c r="J13" s="35"/>
    </row>
    <row r="14" spans="1:16" ht="28.8" x14ac:dyDescent="0.3">
      <c r="A14" s="27" t="s">
        <v>95</v>
      </c>
      <c r="B14" s="27">
        <v>2</v>
      </c>
      <c r="C14" s="28" t="s">
        <v>6084</v>
      </c>
      <c r="D14" s="27" t="s">
        <v>97</v>
      </c>
      <c r="E14" s="29" t="s">
        <v>6085</v>
      </c>
      <c r="F14" s="30" t="s">
        <v>117</v>
      </c>
      <c r="G14" s="31">
        <v>7</v>
      </c>
      <c r="H14" s="32">
        <v>0</v>
      </c>
      <c r="I14" s="32">
        <f>ROUND(7*H14,P4)</f>
        <v>0</v>
      </c>
      <c r="J14" s="30" t="s">
        <v>6079</v>
      </c>
      <c r="O14" s="33">
        <f>I14*0.21</f>
        <v>0</v>
      </c>
      <c r="P14">
        <v>3</v>
      </c>
    </row>
    <row r="15" spans="1:16" ht="244.8" x14ac:dyDescent="0.3">
      <c r="A15" s="27" t="s">
        <v>101</v>
      </c>
      <c r="B15" s="34"/>
      <c r="E15" s="29" t="s">
        <v>6086</v>
      </c>
      <c r="J15" s="35"/>
    </row>
    <row r="16" spans="1:16" x14ac:dyDescent="0.3">
      <c r="A16" s="27" t="s">
        <v>103</v>
      </c>
      <c r="B16" s="34"/>
      <c r="E16" s="36" t="s">
        <v>6087</v>
      </c>
      <c r="J16" s="35"/>
    </row>
    <row r="17" spans="1:16" x14ac:dyDescent="0.3">
      <c r="A17" s="27" t="s">
        <v>103</v>
      </c>
      <c r="B17" s="34"/>
      <c r="E17" s="36" t="s">
        <v>6088</v>
      </c>
      <c r="J17" s="35"/>
    </row>
    <row r="18" spans="1:16" x14ac:dyDescent="0.3">
      <c r="A18" s="27" t="s">
        <v>103</v>
      </c>
      <c r="B18" s="34"/>
      <c r="E18" s="36" t="s">
        <v>6089</v>
      </c>
      <c r="J18" s="35"/>
    </row>
    <row r="19" spans="1:16" x14ac:dyDescent="0.3">
      <c r="A19" s="27" t="s">
        <v>103</v>
      </c>
      <c r="B19" s="34"/>
      <c r="E19" s="36" t="s">
        <v>6090</v>
      </c>
      <c r="J19" s="35"/>
    </row>
    <row r="20" spans="1:16" x14ac:dyDescent="0.3">
      <c r="A20" s="27" t="s">
        <v>103</v>
      </c>
      <c r="B20" s="34"/>
      <c r="E20" s="36" t="s">
        <v>6091</v>
      </c>
      <c r="J20" s="35"/>
    </row>
    <row r="21" spans="1:16" x14ac:dyDescent="0.3">
      <c r="A21" s="27" t="s">
        <v>103</v>
      </c>
      <c r="B21" s="34"/>
      <c r="E21" s="36" t="s">
        <v>6092</v>
      </c>
      <c r="J21" s="35"/>
    </row>
    <row r="22" spans="1:16" x14ac:dyDescent="0.3">
      <c r="A22" s="27" t="s">
        <v>103</v>
      </c>
      <c r="B22" s="34"/>
      <c r="E22" s="36" t="s">
        <v>6093</v>
      </c>
      <c r="J22" s="35"/>
    </row>
    <row r="23" spans="1:16" x14ac:dyDescent="0.3">
      <c r="A23" s="27" t="s">
        <v>103</v>
      </c>
      <c r="B23" s="34"/>
      <c r="E23" s="36" t="s">
        <v>1195</v>
      </c>
      <c r="J23" s="35"/>
    </row>
    <row r="24" spans="1:16" ht="187.2" x14ac:dyDescent="0.3">
      <c r="A24" s="27" t="s">
        <v>105</v>
      </c>
      <c r="B24" s="34"/>
      <c r="E24" s="29" t="s">
        <v>6094</v>
      </c>
      <c r="J24" s="35"/>
    </row>
    <row r="25" spans="1:16" ht="28.8" x14ac:dyDescent="0.3">
      <c r="A25" s="27" t="s">
        <v>95</v>
      </c>
      <c r="B25" s="27">
        <v>3</v>
      </c>
      <c r="C25" s="28" t="s">
        <v>6084</v>
      </c>
      <c r="D25" s="27" t="s">
        <v>107</v>
      </c>
      <c r="E25" s="29" t="s">
        <v>6085</v>
      </c>
      <c r="F25" s="30" t="s">
        <v>117</v>
      </c>
      <c r="G25" s="31">
        <v>29</v>
      </c>
      <c r="H25" s="32">
        <v>0</v>
      </c>
      <c r="I25" s="32">
        <f>ROUND(29*H25,P4)</f>
        <v>0</v>
      </c>
      <c r="J25" s="30" t="s">
        <v>6079</v>
      </c>
      <c r="O25" s="33">
        <f>I25*0.21</f>
        <v>0</v>
      </c>
      <c r="P25">
        <v>3</v>
      </c>
    </row>
    <row r="26" spans="1:16" ht="273.60000000000002" x14ac:dyDescent="0.3">
      <c r="A26" s="27" t="s">
        <v>101</v>
      </c>
      <c r="B26" s="34"/>
      <c r="E26" s="29" t="s">
        <v>6095</v>
      </c>
      <c r="J26" s="35"/>
    </row>
    <row r="27" spans="1:16" x14ac:dyDescent="0.3">
      <c r="A27" s="27" t="s">
        <v>103</v>
      </c>
      <c r="B27" s="34"/>
      <c r="E27" s="36" t="s">
        <v>6096</v>
      </c>
      <c r="J27" s="35"/>
    </row>
    <row r="28" spans="1:16" x14ac:dyDescent="0.3">
      <c r="A28" s="27" t="s">
        <v>103</v>
      </c>
      <c r="B28" s="34"/>
      <c r="E28" s="36" t="s">
        <v>6097</v>
      </c>
      <c r="J28" s="35"/>
    </row>
    <row r="29" spans="1:16" x14ac:dyDescent="0.3">
      <c r="A29" s="27" t="s">
        <v>103</v>
      </c>
      <c r="B29" s="34"/>
      <c r="E29" s="36" t="s">
        <v>6098</v>
      </c>
      <c r="J29" s="35"/>
    </row>
    <row r="30" spans="1:16" x14ac:dyDescent="0.3">
      <c r="A30" s="27" t="s">
        <v>103</v>
      </c>
      <c r="B30" s="34"/>
      <c r="E30" s="36" t="s">
        <v>6099</v>
      </c>
      <c r="J30" s="35"/>
    </row>
    <row r="31" spans="1:16" x14ac:dyDescent="0.3">
      <c r="A31" s="27" t="s">
        <v>103</v>
      </c>
      <c r="B31" s="34"/>
      <c r="E31" s="36" t="s">
        <v>6100</v>
      </c>
      <c r="J31" s="35"/>
    </row>
    <row r="32" spans="1:16" x14ac:dyDescent="0.3">
      <c r="A32" s="27" t="s">
        <v>103</v>
      </c>
      <c r="B32" s="34"/>
      <c r="E32" s="36" t="s">
        <v>6101</v>
      </c>
      <c r="J32" s="35"/>
    </row>
    <row r="33" spans="1:10" x14ac:dyDescent="0.3">
      <c r="A33" s="27" t="s">
        <v>103</v>
      </c>
      <c r="B33" s="34"/>
      <c r="E33" s="36" t="s">
        <v>6102</v>
      </c>
      <c r="J33" s="35"/>
    </row>
    <row r="34" spans="1:10" x14ac:dyDescent="0.3">
      <c r="A34" s="27" t="s">
        <v>103</v>
      </c>
      <c r="B34" s="34"/>
      <c r="E34" s="36" t="s">
        <v>6103</v>
      </c>
      <c r="J34" s="35"/>
    </row>
    <row r="35" spans="1:10" x14ac:dyDescent="0.3">
      <c r="A35" s="27" t="s">
        <v>103</v>
      </c>
      <c r="B35" s="34"/>
      <c r="E35" s="36" t="s">
        <v>6104</v>
      </c>
      <c r="J35" s="35"/>
    </row>
    <row r="36" spans="1:10" x14ac:dyDescent="0.3">
      <c r="A36" s="27" t="s">
        <v>103</v>
      </c>
      <c r="B36" s="34"/>
      <c r="E36" s="36" t="s">
        <v>6105</v>
      </c>
      <c r="J36" s="35"/>
    </row>
    <row r="37" spans="1:10" x14ac:dyDescent="0.3">
      <c r="A37" s="27" t="s">
        <v>103</v>
      </c>
      <c r="B37" s="34"/>
      <c r="E37" s="36" t="s">
        <v>6106</v>
      </c>
      <c r="J37" s="35"/>
    </row>
    <row r="38" spans="1:10" x14ac:dyDescent="0.3">
      <c r="A38" s="27" t="s">
        <v>103</v>
      </c>
      <c r="B38" s="34"/>
      <c r="E38" s="36" t="s">
        <v>6107</v>
      </c>
      <c r="J38" s="35"/>
    </row>
    <row r="39" spans="1:10" x14ac:dyDescent="0.3">
      <c r="A39" s="27" t="s">
        <v>103</v>
      </c>
      <c r="B39" s="34"/>
      <c r="E39" s="36" t="s">
        <v>6108</v>
      </c>
      <c r="J39" s="35"/>
    </row>
    <row r="40" spans="1:10" x14ac:dyDescent="0.3">
      <c r="A40" s="27" t="s">
        <v>103</v>
      </c>
      <c r="B40" s="34"/>
      <c r="E40" s="36" t="s">
        <v>6109</v>
      </c>
      <c r="J40" s="35"/>
    </row>
    <row r="41" spans="1:10" x14ac:dyDescent="0.3">
      <c r="A41" s="27" t="s">
        <v>103</v>
      </c>
      <c r="B41" s="34"/>
      <c r="E41" s="36" t="s">
        <v>6110</v>
      </c>
      <c r="J41" s="35"/>
    </row>
    <row r="42" spans="1:10" x14ac:dyDescent="0.3">
      <c r="A42" s="27" t="s">
        <v>103</v>
      </c>
      <c r="B42" s="34"/>
      <c r="E42" s="36" t="s">
        <v>6111</v>
      </c>
      <c r="J42" s="35"/>
    </row>
    <row r="43" spans="1:10" x14ac:dyDescent="0.3">
      <c r="A43" s="27" t="s">
        <v>103</v>
      </c>
      <c r="B43" s="34"/>
      <c r="E43" s="36" t="s">
        <v>6112</v>
      </c>
      <c r="J43" s="35"/>
    </row>
    <row r="44" spans="1:10" x14ac:dyDescent="0.3">
      <c r="A44" s="27" t="s">
        <v>103</v>
      </c>
      <c r="B44" s="34"/>
      <c r="E44" s="36" t="s">
        <v>6113</v>
      </c>
      <c r="J44" s="35"/>
    </row>
    <row r="45" spans="1:10" x14ac:dyDescent="0.3">
      <c r="A45" s="27" t="s">
        <v>103</v>
      </c>
      <c r="B45" s="34"/>
      <c r="E45" s="36" t="s">
        <v>6114</v>
      </c>
      <c r="J45" s="35"/>
    </row>
    <row r="46" spans="1:10" x14ac:dyDescent="0.3">
      <c r="A46" s="27" t="s">
        <v>103</v>
      </c>
      <c r="B46" s="34"/>
      <c r="E46" s="36" t="s">
        <v>6115</v>
      </c>
      <c r="J46" s="35"/>
    </row>
    <row r="47" spans="1:10" x14ac:dyDescent="0.3">
      <c r="A47" s="27" t="s">
        <v>103</v>
      </c>
      <c r="B47" s="34"/>
      <c r="E47" s="36" t="s">
        <v>6116</v>
      </c>
      <c r="J47" s="35"/>
    </row>
    <row r="48" spans="1:10" x14ac:dyDescent="0.3">
      <c r="A48" s="27" t="s">
        <v>103</v>
      </c>
      <c r="B48" s="34"/>
      <c r="E48" s="36" t="s">
        <v>6117</v>
      </c>
      <c r="J48" s="35"/>
    </row>
    <row r="49" spans="1:16" x14ac:dyDescent="0.3">
      <c r="A49" s="27" t="s">
        <v>103</v>
      </c>
      <c r="B49" s="34"/>
      <c r="E49" s="36" t="s">
        <v>6118</v>
      </c>
      <c r="J49" s="35"/>
    </row>
    <row r="50" spans="1:16" x14ac:dyDescent="0.3">
      <c r="A50" s="27" t="s">
        <v>103</v>
      </c>
      <c r="B50" s="34"/>
      <c r="E50" s="36" t="s">
        <v>6119</v>
      </c>
      <c r="J50" s="35"/>
    </row>
    <row r="51" spans="1:16" x14ac:dyDescent="0.3">
      <c r="A51" s="27" t="s">
        <v>103</v>
      </c>
      <c r="B51" s="34"/>
      <c r="E51" s="36" t="s">
        <v>6120</v>
      </c>
      <c r="J51" s="35"/>
    </row>
    <row r="52" spans="1:16" x14ac:dyDescent="0.3">
      <c r="A52" s="27" t="s">
        <v>103</v>
      </c>
      <c r="B52" s="34"/>
      <c r="E52" s="36" t="s">
        <v>6121</v>
      </c>
      <c r="J52" s="35"/>
    </row>
    <row r="53" spans="1:16" x14ac:dyDescent="0.3">
      <c r="A53" s="27" t="s">
        <v>103</v>
      </c>
      <c r="B53" s="34"/>
      <c r="E53" s="36" t="s">
        <v>6122</v>
      </c>
      <c r="J53" s="35"/>
    </row>
    <row r="54" spans="1:16" x14ac:dyDescent="0.3">
      <c r="A54" s="27" t="s">
        <v>103</v>
      </c>
      <c r="B54" s="34"/>
      <c r="E54" s="36" t="s">
        <v>6123</v>
      </c>
      <c r="J54" s="35"/>
    </row>
    <row r="55" spans="1:16" x14ac:dyDescent="0.3">
      <c r="A55" s="27" t="s">
        <v>103</v>
      </c>
      <c r="B55" s="34"/>
      <c r="E55" s="36" t="s">
        <v>6124</v>
      </c>
      <c r="J55" s="35"/>
    </row>
    <row r="56" spans="1:16" x14ac:dyDescent="0.3">
      <c r="A56" s="27" t="s">
        <v>103</v>
      </c>
      <c r="B56" s="34"/>
      <c r="E56" s="36" t="s">
        <v>6125</v>
      </c>
      <c r="J56" s="35"/>
    </row>
    <row r="57" spans="1:16" ht="187.2" x14ac:dyDescent="0.3">
      <c r="A57" s="27" t="s">
        <v>105</v>
      </c>
      <c r="B57" s="34"/>
      <c r="E57" s="29" t="s">
        <v>6094</v>
      </c>
      <c r="J57" s="35"/>
    </row>
    <row r="58" spans="1:16" ht="28.8" x14ac:dyDescent="0.3">
      <c r="A58" s="27" t="s">
        <v>95</v>
      </c>
      <c r="B58" s="27">
        <v>4</v>
      </c>
      <c r="C58" s="28" t="s">
        <v>6126</v>
      </c>
      <c r="D58" s="27" t="s">
        <v>97</v>
      </c>
      <c r="E58" s="29" t="s">
        <v>6127</v>
      </c>
      <c r="F58" s="30" t="s">
        <v>117</v>
      </c>
      <c r="G58" s="31">
        <v>3</v>
      </c>
      <c r="H58" s="32">
        <v>0</v>
      </c>
      <c r="I58" s="32">
        <f>ROUND(3*H58,P4)</f>
        <v>0</v>
      </c>
      <c r="J58" s="30" t="s">
        <v>6079</v>
      </c>
      <c r="O58" s="33">
        <f>I58*0.21</f>
        <v>0</v>
      </c>
      <c r="P58">
        <v>3</v>
      </c>
    </row>
    <row r="59" spans="1:16" ht="244.8" x14ac:dyDescent="0.3">
      <c r="A59" s="27" t="s">
        <v>101</v>
      </c>
      <c r="B59" s="34"/>
      <c r="E59" s="29" t="s">
        <v>6086</v>
      </c>
      <c r="J59" s="35"/>
    </row>
    <row r="60" spans="1:16" x14ac:dyDescent="0.3">
      <c r="A60" s="27" t="s">
        <v>103</v>
      </c>
      <c r="B60" s="34"/>
      <c r="E60" s="36" t="s">
        <v>6128</v>
      </c>
      <c r="J60" s="35"/>
    </row>
    <row r="61" spans="1:16" x14ac:dyDescent="0.3">
      <c r="A61" s="27" t="s">
        <v>103</v>
      </c>
      <c r="B61" s="34"/>
      <c r="E61" s="36" t="s">
        <v>6129</v>
      </c>
      <c r="J61" s="35"/>
    </row>
    <row r="62" spans="1:16" x14ac:dyDescent="0.3">
      <c r="A62" s="27" t="s">
        <v>103</v>
      </c>
      <c r="B62" s="34"/>
      <c r="E62" s="36" t="s">
        <v>6130</v>
      </c>
      <c r="J62" s="35"/>
    </row>
    <row r="63" spans="1:16" x14ac:dyDescent="0.3">
      <c r="A63" s="27" t="s">
        <v>103</v>
      </c>
      <c r="B63" s="34"/>
      <c r="E63" s="36" t="s">
        <v>1187</v>
      </c>
      <c r="J63" s="35"/>
    </row>
    <row r="64" spans="1:16" ht="187.2" x14ac:dyDescent="0.3">
      <c r="A64" s="27" t="s">
        <v>105</v>
      </c>
      <c r="B64" s="34"/>
      <c r="E64" s="29" t="s">
        <v>6094</v>
      </c>
      <c r="J64" s="35"/>
    </row>
    <row r="65" spans="1:16" x14ac:dyDescent="0.3">
      <c r="A65" s="27" t="s">
        <v>95</v>
      </c>
      <c r="B65" s="27">
        <v>5</v>
      </c>
      <c r="C65" s="28" t="s">
        <v>6131</v>
      </c>
      <c r="D65" s="27" t="s">
        <v>97</v>
      </c>
      <c r="E65" s="29" t="s">
        <v>6132</v>
      </c>
      <c r="F65" s="30" t="s">
        <v>117</v>
      </c>
      <c r="G65" s="31">
        <v>1</v>
      </c>
      <c r="H65" s="32">
        <v>0</v>
      </c>
      <c r="I65" s="32">
        <f>ROUND(1*H65,P4)</f>
        <v>0</v>
      </c>
      <c r="J65" s="30" t="s">
        <v>6079</v>
      </c>
      <c r="O65" s="33">
        <f>I65*0.21</f>
        <v>0</v>
      </c>
      <c r="P65">
        <v>3</v>
      </c>
    </row>
    <row r="66" spans="1:16" ht="244.8" x14ac:dyDescent="0.3">
      <c r="A66" s="27" t="s">
        <v>101</v>
      </c>
      <c r="B66" s="34"/>
      <c r="E66" s="29" t="s">
        <v>6086</v>
      </c>
      <c r="J66" s="35"/>
    </row>
    <row r="67" spans="1:16" x14ac:dyDescent="0.3">
      <c r="A67" s="27" t="s">
        <v>103</v>
      </c>
      <c r="B67" s="34"/>
      <c r="E67" s="36" t="s">
        <v>6133</v>
      </c>
      <c r="J67" s="35"/>
    </row>
    <row r="68" spans="1:16" x14ac:dyDescent="0.3">
      <c r="A68" s="27" t="s">
        <v>103</v>
      </c>
      <c r="B68" s="34"/>
      <c r="E68" s="36" t="s">
        <v>358</v>
      </c>
      <c r="J68" s="35"/>
    </row>
    <row r="69" spans="1:16" ht="187.2" x14ac:dyDescent="0.3">
      <c r="A69" s="27" t="s">
        <v>105</v>
      </c>
      <c r="B69" s="34"/>
      <c r="E69" s="29" t="s">
        <v>6094</v>
      </c>
      <c r="J69" s="35"/>
    </row>
    <row r="70" spans="1:16" ht="28.8" x14ac:dyDescent="0.3">
      <c r="A70" s="27" t="s">
        <v>95</v>
      </c>
      <c r="B70" s="27">
        <v>6</v>
      </c>
      <c r="C70" s="28" t="s">
        <v>6134</v>
      </c>
      <c r="D70" s="27" t="s">
        <v>97</v>
      </c>
      <c r="E70" s="29" t="s">
        <v>6135</v>
      </c>
      <c r="F70" s="30" t="s">
        <v>117</v>
      </c>
      <c r="G70" s="31">
        <v>2</v>
      </c>
      <c r="H70" s="32">
        <v>0</v>
      </c>
      <c r="I70" s="32">
        <f>ROUND(2*H70,P4)</f>
        <v>0</v>
      </c>
      <c r="J70" s="30" t="s">
        <v>6079</v>
      </c>
      <c r="O70" s="33">
        <f>I70*0.21</f>
        <v>0</v>
      </c>
      <c r="P70">
        <v>3</v>
      </c>
    </row>
    <row r="71" spans="1:16" ht="244.8" x14ac:dyDescent="0.3">
      <c r="A71" s="27" t="s">
        <v>101</v>
      </c>
      <c r="B71" s="34"/>
      <c r="E71" s="29" t="s">
        <v>6086</v>
      </c>
      <c r="J71" s="35"/>
    </row>
    <row r="72" spans="1:16" x14ac:dyDescent="0.3">
      <c r="A72" s="27" t="s">
        <v>103</v>
      </c>
      <c r="B72" s="34"/>
      <c r="E72" s="36" t="s">
        <v>6136</v>
      </c>
      <c r="J72" s="35"/>
    </row>
    <row r="73" spans="1:16" x14ac:dyDescent="0.3">
      <c r="A73" s="27" t="s">
        <v>103</v>
      </c>
      <c r="B73" s="34"/>
      <c r="E73" s="36" t="s">
        <v>6137</v>
      </c>
      <c r="J73" s="35"/>
    </row>
    <row r="74" spans="1:16" x14ac:dyDescent="0.3">
      <c r="A74" s="27" t="s">
        <v>103</v>
      </c>
      <c r="B74" s="34"/>
      <c r="E74" s="36" t="s">
        <v>352</v>
      </c>
      <c r="J74" s="35"/>
    </row>
    <row r="75" spans="1:16" ht="187.2" x14ac:dyDescent="0.3">
      <c r="A75" s="27" t="s">
        <v>105</v>
      </c>
      <c r="B75" s="34"/>
      <c r="E75" s="29" t="s">
        <v>6094</v>
      </c>
      <c r="J75" s="35"/>
    </row>
    <row r="76" spans="1:16" ht="28.8" x14ac:dyDescent="0.3">
      <c r="A76" s="27" t="s">
        <v>95</v>
      </c>
      <c r="B76" s="27">
        <v>7</v>
      </c>
      <c r="C76" s="28" t="s">
        <v>6134</v>
      </c>
      <c r="D76" s="27" t="s">
        <v>107</v>
      </c>
      <c r="E76" s="29" t="s">
        <v>6135</v>
      </c>
      <c r="F76" s="30" t="s">
        <v>117</v>
      </c>
      <c r="G76" s="31">
        <v>17</v>
      </c>
      <c r="H76" s="32">
        <v>0</v>
      </c>
      <c r="I76" s="32">
        <f>ROUND(17*H76,P4)</f>
        <v>0</v>
      </c>
      <c r="J76" s="30" t="s">
        <v>6079</v>
      </c>
      <c r="O76" s="33">
        <f>I76*0.21</f>
        <v>0</v>
      </c>
      <c r="P76">
        <v>3</v>
      </c>
    </row>
    <row r="77" spans="1:16" ht="244.8" x14ac:dyDescent="0.3">
      <c r="A77" s="27" t="s">
        <v>101</v>
      </c>
      <c r="B77" s="34"/>
      <c r="E77" s="29" t="s">
        <v>6138</v>
      </c>
      <c r="J77" s="35"/>
    </row>
    <row r="78" spans="1:16" x14ac:dyDescent="0.3">
      <c r="A78" s="27" t="s">
        <v>103</v>
      </c>
      <c r="B78" s="34"/>
      <c r="E78" s="36" t="s">
        <v>6139</v>
      </c>
      <c r="J78" s="35"/>
    </row>
    <row r="79" spans="1:16" x14ac:dyDescent="0.3">
      <c r="A79" s="27" t="s">
        <v>103</v>
      </c>
      <c r="B79" s="34"/>
      <c r="E79" s="36" t="s">
        <v>6140</v>
      </c>
      <c r="J79" s="35"/>
    </row>
    <row r="80" spans="1:16" x14ac:dyDescent="0.3">
      <c r="A80" s="27" t="s">
        <v>103</v>
      </c>
      <c r="B80" s="34"/>
      <c r="E80" s="36" t="s">
        <v>6141</v>
      </c>
      <c r="J80" s="35"/>
    </row>
    <row r="81" spans="1:10" x14ac:dyDescent="0.3">
      <c r="A81" s="27" t="s">
        <v>103</v>
      </c>
      <c r="B81" s="34"/>
      <c r="E81" s="36" t="s">
        <v>6142</v>
      </c>
      <c r="J81" s="35"/>
    </row>
    <row r="82" spans="1:10" x14ac:dyDescent="0.3">
      <c r="A82" s="27" t="s">
        <v>103</v>
      </c>
      <c r="B82" s="34"/>
      <c r="E82" s="36" t="s">
        <v>6143</v>
      </c>
      <c r="J82" s="35"/>
    </row>
    <row r="83" spans="1:10" x14ac:dyDescent="0.3">
      <c r="A83" s="27" t="s">
        <v>103</v>
      </c>
      <c r="B83" s="34"/>
      <c r="E83" s="36" t="s">
        <v>6144</v>
      </c>
      <c r="J83" s="35"/>
    </row>
    <row r="84" spans="1:10" x14ac:dyDescent="0.3">
      <c r="A84" s="27" t="s">
        <v>103</v>
      </c>
      <c r="B84" s="34"/>
      <c r="E84" s="36" t="s">
        <v>6145</v>
      </c>
      <c r="J84" s="35"/>
    </row>
    <row r="85" spans="1:10" x14ac:dyDescent="0.3">
      <c r="A85" s="27" t="s">
        <v>103</v>
      </c>
      <c r="B85" s="34"/>
      <c r="E85" s="36" t="s">
        <v>6146</v>
      </c>
      <c r="J85" s="35"/>
    </row>
    <row r="86" spans="1:10" x14ac:dyDescent="0.3">
      <c r="A86" s="27" t="s">
        <v>103</v>
      </c>
      <c r="B86" s="34"/>
      <c r="E86" s="36" t="s">
        <v>6147</v>
      </c>
      <c r="J86" s="35"/>
    </row>
    <row r="87" spans="1:10" x14ac:dyDescent="0.3">
      <c r="A87" s="27" t="s">
        <v>103</v>
      </c>
      <c r="B87" s="34"/>
      <c r="E87" s="36" t="s">
        <v>6148</v>
      </c>
      <c r="J87" s="35"/>
    </row>
    <row r="88" spans="1:10" x14ac:dyDescent="0.3">
      <c r="A88" s="27" t="s">
        <v>103</v>
      </c>
      <c r="B88" s="34"/>
      <c r="E88" s="36" t="s">
        <v>6149</v>
      </c>
      <c r="J88" s="35"/>
    </row>
    <row r="89" spans="1:10" x14ac:dyDescent="0.3">
      <c r="A89" s="27" t="s">
        <v>103</v>
      </c>
      <c r="B89" s="34"/>
      <c r="E89" s="36" t="s">
        <v>6150</v>
      </c>
      <c r="J89" s="35"/>
    </row>
    <row r="90" spans="1:10" x14ac:dyDescent="0.3">
      <c r="A90" s="27" t="s">
        <v>103</v>
      </c>
      <c r="B90" s="34"/>
      <c r="E90" s="36" t="s">
        <v>6151</v>
      </c>
      <c r="J90" s="35"/>
    </row>
    <row r="91" spans="1:10" x14ac:dyDescent="0.3">
      <c r="A91" s="27" t="s">
        <v>103</v>
      </c>
      <c r="B91" s="34"/>
      <c r="E91" s="36" t="s">
        <v>6152</v>
      </c>
      <c r="J91" s="35"/>
    </row>
    <row r="92" spans="1:10" x14ac:dyDescent="0.3">
      <c r="A92" s="27" t="s">
        <v>103</v>
      </c>
      <c r="B92" s="34"/>
      <c r="E92" s="36" t="s">
        <v>6153</v>
      </c>
      <c r="J92" s="35"/>
    </row>
    <row r="93" spans="1:10" x14ac:dyDescent="0.3">
      <c r="A93" s="27" t="s">
        <v>103</v>
      </c>
      <c r="B93" s="34"/>
      <c r="E93" s="36" t="s">
        <v>6154</v>
      </c>
      <c r="J93" s="35"/>
    </row>
    <row r="94" spans="1:10" x14ac:dyDescent="0.3">
      <c r="A94" s="27" t="s">
        <v>103</v>
      </c>
      <c r="B94" s="34"/>
      <c r="E94" s="36" t="s">
        <v>6155</v>
      </c>
      <c r="J94" s="35"/>
    </row>
    <row r="95" spans="1:10" x14ac:dyDescent="0.3">
      <c r="A95" s="27" t="s">
        <v>103</v>
      </c>
      <c r="B95" s="34"/>
      <c r="E95" s="36" t="s">
        <v>6156</v>
      </c>
      <c r="J95" s="35"/>
    </row>
    <row r="96" spans="1:10" ht="187.2" x14ac:dyDescent="0.3">
      <c r="A96" s="27" t="s">
        <v>105</v>
      </c>
      <c r="B96" s="37"/>
      <c r="C96" s="38"/>
      <c r="D96" s="38"/>
      <c r="E96" s="29" t="s">
        <v>6094</v>
      </c>
      <c r="F96" s="38"/>
      <c r="G96" s="38"/>
      <c r="H96" s="38"/>
      <c r="I96" s="38"/>
      <c r="J96"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89"/>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68</v>
      </c>
      <c r="I3" s="16">
        <f>SUMIFS(I8:I89,A8:A89,"SD")</f>
        <v>0</v>
      </c>
      <c r="J3" s="12"/>
      <c r="O3">
        <v>0</v>
      </c>
      <c r="P3">
        <v>2</v>
      </c>
    </row>
    <row r="4" spans="1:16" x14ac:dyDescent="0.3">
      <c r="A4" s="2" t="s">
        <v>79</v>
      </c>
      <c r="B4" s="13" t="s">
        <v>80</v>
      </c>
      <c r="C4" s="43" t="s">
        <v>68</v>
      </c>
      <c r="D4" s="44"/>
      <c r="E4" s="14" t="s">
        <v>69</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SUMIFS(I9:I89,A9:A89,"P")</f>
        <v>0</v>
      </c>
      <c r="J8" s="26"/>
    </row>
    <row r="9" spans="1:16" x14ac:dyDescent="0.3">
      <c r="A9" s="27" t="s">
        <v>95</v>
      </c>
      <c r="B9" s="27">
        <v>1</v>
      </c>
      <c r="C9" s="28" t="s">
        <v>5511</v>
      </c>
      <c r="D9" s="27" t="s">
        <v>129</v>
      </c>
      <c r="E9" s="29" t="s">
        <v>5512</v>
      </c>
      <c r="F9" s="30" t="s">
        <v>117</v>
      </c>
      <c r="G9" s="31">
        <v>18</v>
      </c>
      <c r="H9" s="32">
        <v>0</v>
      </c>
      <c r="I9" s="32">
        <f>ROUND(18*H9,P4)</f>
        <v>0</v>
      </c>
      <c r="J9" s="30" t="s">
        <v>118</v>
      </c>
      <c r="O9" s="33">
        <f>I9*0.21</f>
        <v>0</v>
      </c>
      <c r="P9">
        <v>3</v>
      </c>
    </row>
    <row r="10" spans="1:16" ht="288" x14ac:dyDescent="0.3">
      <c r="A10" s="27" t="s">
        <v>101</v>
      </c>
      <c r="B10" s="34"/>
      <c r="E10" s="29" t="s">
        <v>6157</v>
      </c>
      <c r="J10" s="35"/>
    </row>
    <row r="11" spans="1:16" x14ac:dyDescent="0.3">
      <c r="A11" s="27" t="s">
        <v>103</v>
      </c>
      <c r="B11" s="34"/>
      <c r="E11" s="36" t="s">
        <v>6158</v>
      </c>
      <c r="J11" s="35"/>
    </row>
    <row r="12" spans="1:16" x14ac:dyDescent="0.3">
      <c r="A12" s="27" t="s">
        <v>103</v>
      </c>
      <c r="B12" s="34"/>
      <c r="E12" s="36" t="s">
        <v>6159</v>
      </c>
      <c r="J12" s="35"/>
    </row>
    <row r="13" spans="1:16" x14ac:dyDescent="0.3">
      <c r="A13" s="27" t="s">
        <v>103</v>
      </c>
      <c r="B13" s="34"/>
      <c r="E13" s="36" t="s">
        <v>6160</v>
      </c>
      <c r="J13" s="35"/>
    </row>
    <row r="14" spans="1:16" x14ac:dyDescent="0.3">
      <c r="A14" s="27" t="s">
        <v>103</v>
      </c>
      <c r="B14" s="34"/>
      <c r="E14" s="36" t="s">
        <v>6161</v>
      </c>
      <c r="J14" s="35"/>
    </row>
    <row r="15" spans="1:16" x14ac:dyDescent="0.3">
      <c r="A15" s="27" t="s">
        <v>103</v>
      </c>
      <c r="B15" s="34"/>
      <c r="E15" s="36" t="s">
        <v>6162</v>
      </c>
      <c r="J15" s="35"/>
    </row>
    <row r="16" spans="1:16" x14ac:dyDescent="0.3">
      <c r="A16" s="27" t="s">
        <v>103</v>
      </c>
      <c r="B16" s="34"/>
      <c r="E16" s="36" t="s">
        <v>6163</v>
      </c>
      <c r="J16" s="35"/>
    </row>
    <row r="17" spans="1:16" x14ac:dyDescent="0.3">
      <c r="A17" s="27" t="s">
        <v>103</v>
      </c>
      <c r="B17" s="34"/>
      <c r="E17" s="36" t="s">
        <v>6164</v>
      </c>
      <c r="J17" s="35"/>
    </row>
    <row r="18" spans="1:16" x14ac:dyDescent="0.3">
      <c r="A18" s="27" t="s">
        <v>103</v>
      </c>
      <c r="B18" s="34"/>
      <c r="E18" s="36" t="s">
        <v>6165</v>
      </c>
      <c r="J18" s="35"/>
    </row>
    <row r="19" spans="1:16" x14ac:dyDescent="0.3">
      <c r="A19" s="27" t="s">
        <v>103</v>
      </c>
      <c r="B19" s="34"/>
      <c r="E19" s="36" t="s">
        <v>6166</v>
      </c>
      <c r="J19" s="35"/>
    </row>
    <row r="20" spans="1:16" x14ac:dyDescent="0.3">
      <c r="A20" s="27" t="s">
        <v>103</v>
      </c>
      <c r="B20" s="34"/>
      <c r="E20" s="36" t="s">
        <v>6167</v>
      </c>
      <c r="J20" s="35"/>
    </row>
    <row r="21" spans="1:16" x14ac:dyDescent="0.3">
      <c r="A21" s="27" t="s">
        <v>103</v>
      </c>
      <c r="B21" s="34"/>
      <c r="E21" s="36" t="s">
        <v>6168</v>
      </c>
      <c r="J21" s="35"/>
    </row>
    <row r="22" spans="1:16" x14ac:dyDescent="0.3">
      <c r="A22" s="27" t="s">
        <v>103</v>
      </c>
      <c r="B22" s="34"/>
      <c r="E22" s="36" t="s">
        <v>6169</v>
      </c>
      <c r="J22" s="35"/>
    </row>
    <row r="23" spans="1:16" x14ac:dyDescent="0.3">
      <c r="A23" s="27" t="s">
        <v>103</v>
      </c>
      <c r="B23" s="34"/>
      <c r="E23" s="36" t="s">
        <v>6170</v>
      </c>
      <c r="J23" s="35"/>
    </row>
    <row r="24" spans="1:16" x14ac:dyDescent="0.3">
      <c r="A24" s="27" t="s">
        <v>103</v>
      </c>
      <c r="B24" s="34"/>
      <c r="E24" s="36" t="s">
        <v>6171</v>
      </c>
      <c r="J24" s="35"/>
    </row>
    <row r="25" spans="1:16" x14ac:dyDescent="0.3">
      <c r="A25" s="27" t="s">
        <v>103</v>
      </c>
      <c r="B25" s="34"/>
      <c r="E25" s="36" t="s">
        <v>6172</v>
      </c>
      <c r="J25" s="35"/>
    </row>
    <row r="26" spans="1:16" x14ac:dyDescent="0.3">
      <c r="A26" s="27" t="s">
        <v>103</v>
      </c>
      <c r="B26" s="34"/>
      <c r="E26" s="36" t="s">
        <v>6173</v>
      </c>
      <c r="J26" s="35"/>
    </row>
    <row r="27" spans="1:16" x14ac:dyDescent="0.3">
      <c r="A27" s="27" t="s">
        <v>103</v>
      </c>
      <c r="B27" s="34"/>
      <c r="E27" s="36" t="s">
        <v>6174</v>
      </c>
      <c r="J27" s="35"/>
    </row>
    <row r="28" spans="1:16" x14ac:dyDescent="0.3">
      <c r="A28" s="27" t="s">
        <v>103</v>
      </c>
      <c r="B28" s="34"/>
      <c r="E28" s="36" t="s">
        <v>6175</v>
      </c>
      <c r="J28" s="35"/>
    </row>
    <row r="29" spans="1:16" x14ac:dyDescent="0.3">
      <c r="A29" s="27" t="s">
        <v>103</v>
      </c>
      <c r="B29" s="34"/>
      <c r="E29" s="36" t="s">
        <v>6176</v>
      </c>
      <c r="J29" s="35"/>
    </row>
    <row r="30" spans="1:16" ht="100.8" x14ac:dyDescent="0.3">
      <c r="A30" s="27" t="s">
        <v>105</v>
      </c>
      <c r="B30" s="34"/>
      <c r="E30" s="29" t="s">
        <v>5516</v>
      </c>
      <c r="J30" s="35"/>
    </row>
    <row r="31" spans="1:16" ht="28.8" x14ac:dyDescent="0.3">
      <c r="A31" s="27" t="s">
        <v>95</v>
      </c>
      <c r="B31" s="27">
        <v>2</v>
      </c>
      <c r="C31" s="28" t="s">
        <v>6177</v>
      </c>
      <c r="D31" s="27" t="s">
        <v>97</v>
      </c>
      <c r="E31" s="29" t="s">
        <v>6178</v>
      </c>
      <c r="F31" s="30" t="s">
        <v>117</v>
      </c>
      <c r="G31" s="31">
        <v>14</v>
      </c>
      <c r="H31" s="32">
        <v>0</v>
      </c>
      <c r="I31" s="32">
        <f>ROUND(14*H31,P4)</f>
        <v>0</v>
      </c>
      <c r="J31" s="30" t="s">
        <v>118</v>
      </c>
      <c r="O31" s="33">
        <f>I31*0.21</f>
        <v>0</v>
      </c>
      <c r="P31">
        <v>3</v>
      </c>
    </row>
    <row r="32" spans="1:16" ht="316.8" x14ac:dyDescent="0.3">
      <c r="A32" s="27" t="s">
        <v>101</v>
      </c>
      <c r="B32" s="34"/>
      <c r="E32" s="29" t="s">
        <v>6179</v>
      </c>
      <c r="J32" s="35"/>
    </row>
    <row r="33" spans="1:10" x14ac:dyDescent="0.3">
      <c r="A33" s="27" t="s">
        <v>103</v>
      </c>
      <c r="B33" s="34"/>
      <c r="E33" s="36" t="s">
        <v>6180</v>
      </c>
      <c r="J33" s="35"/>
    </row>
    <row r="34" spans="1:10" x14ac:dyDescent="0.3">
      <c r="A34" s="27" t="s">
        <v>103</v>
      </c>
      <c r="B34" s="34"/>
      <c r="E34" s="36" t="s">
        <v>6181</v>
      </c>
      <c r="J34" s="35"/>
    </row>
    <row r="35" spans="1:10" x14ac:dyDescent="0.3">
      <c r="A35" s="27" t="s">
        <v>103</v>
      </c>
      <c r="B35" s="34"/>
      <c r="E35" s="36" t="s">
        <v>6182</v>
      </c>
      <c r="J35" s="35"/>
    </row>
    <row r="36" spans="1:10" x14ac:dyDescent="0.3">
      <c r="A36" s="27" t="s">
        <v>103</v>
      </c>
      <c r="B36" s="34"/>
      <c r="E36" s="36" t="s">
        <v>6183</v>
      </c>
      <c r="J36" s="35"/>
    </row>
    <row r="37" spans="1:10" x14ac:dyDescent="0.3">
      <c r="A37" s="27" t="s">
        <v>103</v>
      </c>
      <c r="B37" s="34"/>
      <c r="E37" s="36" t="s">
        <v>6184</v>
      </c>
      <c r="J37" s="35"/>
    </row>
    <row r="38" spans="1:10" x14ac:dyDescent="0.3">
      <c r="A38" s="27" t="s">
        <v>103</v>
      </c>
      <c r="B38" s="34"/>
      <c r="E38" s="36" t="s">
        <v>6185</v>
      </c>
      <c r="J38" s="35"/>
    </row>
    <row r="39" spans="1:10" x14ac:dyDescent="0.3">
      <c r="A39" s="27" t="s">
        <v>103</v>
      </c>
      <c r="B39" s="34"/>
      <c r="E39" s="36" t="s">
        <v>6186</v>
      </c>
      <c r="J39" s="35"/>
    </row>
    <row r="40" spans="1:10" x14ac:dyDescent="0.3">
      <c r="A40" s="27" t="s">
        <v>103</v>
      </c>
      <c r="B40" s="34"/>
      <c r="E40" s="36" t="s">
        <v>6187</v>
      </c>
      <c r="J40" s="35"/>
    </row>
    <row r="41" spans="1:10" x14ac:dyDescent="0.3">
      <c r="A41" s="27" t="s">
        <v>103</v>
      </c>
      <c r="B41" s="34"/>
      <c r="E41" s="36" t="s">
        <v>6188</v>
      </c>
      <c r="J41" s="35"/>
    </row>
    <row r="42" spans="1:10" x14ac:dyDescent="0.3">
      <c r="A42" s="27" t="s">
        <v>103</v>
      </c>
      <c r="B42" s="34"/>
      <c r="E42" s="36" t="s">
        <v>6189</v>
      </c>
      <c r="J42" s="35"/>
    </row>
    <row r="43" spans="1:10" x14ac:dyDescent="0.3">
      <c r="A43" s="27" t="s">
        <v>103</v>
      </c>
      <c r="B43" s="34"/>
      <c r="E43" s="36" t="s">
        <v>6190</v>
      </c>
      <c r="J43" s="35"/>
    </row>
    <row r="44" spans="1:10" x14ac:dyDescent="0.3">
      <c r="A44" s="27" t="s">
        <v>103</v>
      </c>
      <c r="B44" s="34"/>
      <c r="E44" s="36" t="s">
        <v>6191</v>
      </c>
      <c r="J44" s="35"/>
    </row>
    <row r="45" spans="1:10" ht="28.8" x14ac:dyDescent="0.3">
      <c r="A45" s="27" t="s">
        <v>103</v>
      </c>
      <c r="B45" s="34"/>
      <c r="E45" s="36" t="s">
        <v>6192</v>
      </c>
      <c r="J45" s="35"/>
    </row>
    <row r="46" spans="1:10" x14ac:dyDescent="0.3">
      <c r="A46" s="27" t="s">
        <v>103</v>
      </c>
      <c r="B46" s="34"/>
      <c r="E46" s="36" t="s">
        <v>6193</v>
      </c>
      <c r="J46" s="35"/>
    </row>
    <row r="47" spans="1:10" x14ac:dyDescent="0.3">
      <c r="A47" s="27" t="s">
        <v>103</v>
      </c>
      <c r="B47" s="34"/>
      <c r="E47" s="36" t="s">
        <v>5183</v>
      </c>
      <c r="J47" s="35"/>
    </row>
    <row r="48" spans="1:10" ht="129.6" x14ac:dyDescent="0.3">
      <c r="A48" s="27" t="s">
        <v>105</v>
      </c>
      <c r="B48" s="34"/>
      <c r="E48" s="29" t="s">
        <v>6194</v>
      </c>
      <c r="J48" s="35"/>
    </row>
    <row r="49" spans="1:16" ht="28.8" x14ac:dyDescent="0.3">
      <c r="A49" s="27" t="s">
        <v>95</v>
      </c>
      <c r="B49" s="27">
        <v>3</v>
      </c>
      <c r="C49" s="28" t="s">
        <v>6177</v>
      </c>
      <c r="D49" s="27" t="s">
        <v>107</v>
      </c>
      <c r="E49" s="29" t="s">
        <v>6178</v>
      </c>
      <c r="F49" s="30" t="s">
        <v>117</v>
      </c>
      <c r="G49" s="31">
        <v>21</v>
      </c>
      <c r="H49" s="32">
        <v>0</v>
      </c>
      <c r="I49" s="32">
        <f>ROUND(21*H49,P4)</f>
        <v>0</v>
      </c>
      <c r="J49" s="30" t="s">
        <v>118</v>
      </c>
      <c r="O49" s="33">
        <f>I49*0.21</f>
        <v>0</v>
      </c>
      <c r="P49">
        <v>3</v>
      </c>
    </row>
    <row r="50" spans="1:16" ht="316.8" x14ac:dyDescent="0.3">
      <c r="A50" s="27" t="s">
        <v>101</v>
      </c>
      <c r="B50" s="34"/>
      <c r="E50" s="29" t="s">
        <v>6195</v>
      </c>
      <c r="J50" s="35"/>
    </row>
    <row r="51" spans="1:16" ht="28.8" x14ac:dyDescent="0.3">
      <c r="A51" s="27" t="s">
        <v>103</v>
      </c>
      <c r="B51" s="34"/>
      <c r="E51" s="36" t="s">
        <v>6196</v>
      </c>
      <c r="J51" s="35"/>
    </row>
    <row r="52" spans="1:16" x14ac:dyDescent="0.3">
      <c r="A52" s="27" t="s">
        <v>103</v>
      </c>
      <c r="B52" s="34"/>
      <c r="E52" s="36" t="s">
        <v>6197</v>
      </c>
      <c r="J52" s="35"/>
    </row>
    <row r="53" spans="1:16" ht="129.6" x14ac:dyDescent="0.3">
      <c r="A53" s="27" t="s">
        <v>105</v>
      </c>
      <c r="B53" s="34"/>
      <c r="E53" s="29" t="s">
        <v>6194</v>
      </c>
      <c r="J53" s="35"/>
    </row>
    <row r="54" spans="1:16" ht="28.8" x14ac:dyDescent="0.3">
      <c r="A54" s="27" t="s">
        <v>95</v>
      </c>
      <c r="B54" s="27">
        <v>4</v>
      </c>
      <c r="C54" s="28" t="s">
        <v>6177</v>
      </c>
      <c r="D54" s="27" t="s">
        <v>116</v>
      </c>
      <c r="E54" s="29" t="s">
        <v>6178</v>
      </c>
      <c r="F54" s="30" t="s">
        <v>117</v>
      </c>
      <c r="G54" s="31">
        <v>22</v>
      </c>
      <c r="H54" s="32">
        <v>0</v>
      </c>
      <c r="I54" s="32">
        <f>ROUND(22*H54,P4)</f>
        <v>0</v>
      </c>
      <c r="J54" s="30" t="s">
        <v>118</v>
      </c>
      <c r="O54" s="33">
        <f>I54*0.21</f>
        <v>0</v>
      </c>
      <c r="P54">
        <v>3</v>
      </c>
    </row>
    <row r="55" spans="1:16" ht="316.8" x14ac:dyDescent="0.3">
      <c r="A55" s="27" t="s">
        <v>101</v>
      </c>
      <c r="B55" s="34"/>
      <c r="E55" s="29" t="s">
        <v>6198</v>
      </c>
      <c r="J55" s="35"/>
    </row>
    <row r="56" spans="1:16" x14ac:dyDescent="0.3">
      <c r="A56" s="27" t="s">
        <v>103</v>
      </c>
      <c r="B56" s="34"/>
      <c r="E56" s="36" t="s">
        <v>6199</v>
      </c>
      <c r="J56" s="35"/>
    </row>
    <row r="57" spans="1:16" x14ac:dyDescent="0.3">
      <c r="A57" s="27" t="s">
        <v>103</v>
      </c>
      <c r="B57" s="34"/>
      <c r="E57" s="36" t="s">
        <v>6200</v>
      </c>
      <c r="J57" s="35"/>
    </row>
    <row r="58" spans="1:16" x14ac:dyDescent="0.3">
      <c r="A58" s="27" t="s">
        <v>103</v>
      </c>
      <c r="B58" s="34"/>
      <c r="E58" s="36" t="s">
        <v>6201</v>
      </c>
      <c r="J58" s="35"/>
    </row>
    <row r="59" spans="1:16" x14ac:dyDescent="0.3">
      <c r="A59" s="27" t="s">
        <v>103</v>
      </c>
      <c r="B59" s="34"/>
      <c r="E59" s="36" t="s">
        <v>6202</v>
      </c>
      <c r="J59" s="35"/>
    </row>
    <row r="60" spans="1:16" x14ac:dyDescent="0.3">
      <c r="A60" s="27" t="s">
        <v>103</v>
      </c>
      <c r="B60" s="34"/>
      <c r="E60" s="36" t="s">
        <v>6203</v>
      </c>
      <c r="J60" s="35"/>
    </row>
    <row r="61" spans="1:16" x14ac:dyDescent="0.3">
      <c r="A61" s="27" t="s">
        <v>103</v>
      </c>
      <c r="B61" s="34"/>
      <c r="E61" s="36" t="s">
        <v>6204</v>
      </c>
      <c r="J61" s="35"/>
    </row>
    <row r="62" spans="1:16" x14ac:dyDescent="0.3">
      <c r="A62" s="27" t="s">
        <v>103</v>
      </c>
      <c r="B62" s="34"/>
      <c r="E62" s="36" t="s">
        <v>6205</v>
      </c>
      <c r="J62" s="35"/>
    </row>
    <row r="63" spans="1:16" x14ac:dyDescent="0.3">
      <c r="A63" s="27" t="s">
        <v>103</v>
      </c>
      <c r="B63" s="34"/>
      <c r="E63" s="36" t="s">
        <v>6206</v>
      </c>
      <c r="J63" s="35"/>
    </row>
    <row r="64" spans="1:16" x14ac:dyDescent="0.3">
      <c r="A64" s="27" t="s">
        <v>103</v>
      </c>
      <c r="B64" s="34"/>
      <c r="E64" s="36" t="s">
        <v>6207</v>
      </c>
      <c r="J64" s="35"/>
    </row>
    <row r="65" spans="1:16" x14ac:dyDescent="0.3">
      <c r="A65" s="27" t="s">
        <v>103</v>
      </c>
      <c r="B65" s="34"/>
      <c r="E65" s="36" t="s">
        <v>6208</v>
      </c>
      <c r="J65" s="35"/>
    </row>
    <row r="66" spans="1:16" x14ac:dyDescent="0.3">
      <c r="A66" s="27" t="s">
        <v>103</v>
      </c>
      <c r="B66" s="34"/>
      <c r="E66" s="36" t="s">
        <v>6209</v>
      </c>
      <c r="J66" s="35"/>
    </row>
    <row r="67" spans="1:16" x14ac:dyDescent="0.3">
      <c r="A67" s="27" t="s">
        <v>103</v>
      </c>
      <c r="B67" s="34"/>
      <c r="E67" s="36" t="s">
        <v>6210</v>
      </c>
      <c r="J67" s="35"/>
    </row>
    <row r="68" spans="1:16" x14ac:dyDescent="0.3">
      <c r="A68" s="27" t="s">
        <v>103</v>
      </c>
      <c r="B68" s="34"/>
      <c r="E68" s="36" t="s">
        <v>6211</v>
      </c>
      <c r="J68" s="35"/>
    </row>
    <row r="69" spans="1:16" x14ac:dyDescent="0.3">
      <c r="A69" s="27" t="s">
        <v>103</v>
      </c>
      <c r="B69" s="34"/>
      <c r="E69" s="36" t="s">
        <v>6212</v>
      </c>
      <c r="J69" s="35"/>
    </row>
    <row r="70" spans="1:16" x14ac:dyDescent="0.3">
      <c r="A70" s="27" t="s">
        <v>103</v>
      </c>
      <c r="B70" s="34"/>
      <c r="E70" s="36" t="s">
        <v>6213</v>
      </c>
      <c r="J70" s="35"/>
    </row>
    <row r="71" spans="1:16" x14ac:dyDescent="0.3">
      <c r="A71" s="27" t="s">
        <v>103</v>
      </c>
      <c r="B71" s="34"/>
      <c r="E71" s="36" t="s">
        <v>6214</v>
      </c>
      <c r="J71" s="35"/>
    </row>
    <row r="72" spans="1:16" x14ac:dyDescent="0.3">
      <c r="A72" s="27" t="s">
        <v>103</v>
      </c>
      <c r="B72" s="34"/>
      <c r="E72" s="36" t="s">
        <v>6215</v>
      </c>
      <c r="J72" s="35"/>
    </row>
    <row r="73" spans="1:16" x14ac:dyDescent="0.3">
      <c r="A73" s="27" t="s">
        <v>103</v>
      </c>
      <c r="B73" s="34"/>
      <c r="E73" s="36" t="s">
        <v>6216</v>
      </c>
      <c r="J73" s="35"/>
    </row>
    <row r="74" spans="1:16" x14ac:dyDescent="0.3">
      <c r="A74" s="27" t="s">
        <v>103</v>
      </c>
      <c r="B74" s="34"/>
      <c r="E74" s="36" t="s">
        <v>6217</v>
      </c>
      <c r="J74" s="35"/>
    </row>
    <row r="75" spans="1:16" x14ac:dyDescent="0.3">
      <c r="A75" s="27" t="s">
        <v>103</v>
      </c>
      <c r="B75" s="34"/>
      <c r="E75" s="36" t="s">
        <v>6218</v>
      </c>
      <c r="J75" s="35"/>
    </row>
    <row r="76" spans="1:16" x14ac:dyDescent="0.3">
      <c r="A76" s="27" t="s">
        <v>103</v>
      </c>
      <c r="B76" s="34"/>
      <c r="E76" s="36" t="s">
        <v>6219</v>
      </c>
      <c r="J76" s="35"/>
    </row>
    <row r="77" spans="1:16" x14ac:dyDescent="0.3">
      <c r="A77" s="27" t="s">
        <v>103</v>
      </c>
      <c r="B77" s="34"/>
      <c r="E77" s="36" t="s">
        <v>6220</v>
      </c>
      <c r="J77" s="35"/>
    </row>
    <row r="78" spans="1:16" x14ac:dyDescent="0.3">
      <c r="A78" s="27" t="s">
        <v>103</v>
      </c>
      <c r="B78" s="34"/>
      <c r="E78" s="36" t="s">
        <v>6221</v>
      </c>
      <c r="J78" s="35"/>
    </row>
    <row r="79" spans="1:16" ht="129.6" x14ac:dyDescent="0.3">
      <c r="A79" s="27" t="s">
        <v>105</v>
      </c>
      <c r="B79" s="34"/>
      <c r="E79" s="29" t="s">
        <v>6194</v>
      </c>
      <c r="J79" s="35"/>
    </row>
    <row r="80" spans="1:16" x14ac:dyDescent="0.3">
      <c r="A80" s="27" t="s">
        <v>95</v>
      </c>
      <c r="B80" s="27">
        <v>5</v>
      </c>
      <c r="C80" s="28" t="s">
        <v>6222</v>
      </c>
      <c r="D80" s="27" t="s">
        <v>129</v>
      </c>
      <c r="E80" s="29" t="s">
        <v>6223</v>
      </c>
      <c r="F80" s="30" t="s">
        <v>117</v>
      </c>
      <c r="G80" s="31">
        <v>6</v>
      </c>
      <c r="H80" s="32">
        <v>0</v>
      </c>
      <c r="I80" s="32">
        <f>ROUND(6*H80,P4)</f>
        <v>0</v>
      </c>
      <c r="J80" s="30" t="s">
        <v>118</v>
      </c>
      <c r="O80" s="33">
        <f>I80*0.21</f>
        <v>0</v>
      </c>
      <c r="P80">
        <v>3</v>
      </c>
    </row>
    <row r="81" spans="1:10" ht="316.8" x14ac:dyDescent="0.3">
      <c r="A81" s="27" t="s">
        <v>101</v>
      </c>
      <c r="B81" s="34"/>
      <c r="E81" s="29" t="s">
        <v>6224</v>
      </c>
      <c r="J81" s="35"/>
    </row>
    <row r="82" spans="1:10" x14ac:dyDescent="0.3">
      <c r="A82" s="27" t="s">
        <v>103</v>
      </c>
      <c r="B82" s="34"/>
      <c r="E82" s="36" t="s">
        <v>6225</v>
      </c>
      <c r="J82" s="35"/>
    </row>
    <row r="83" spans="1:10" x14ac:dyDescent="0.3">
      <c r="A83" s="27" t="s">
        <v>103</v>
      </c>
      <c r="B83" s="34"/>
      <c r="E83" s="36" t="s">
        <v>6226</v>
      </c>
      <c r="J83" s="35"/>
    </row>
    <row r="84" spans="1:10" x14ac:dyDescent="0.3">
      <c r="A84" s="27" t="s">
        <v>103</v>
      </c>
      <c r="B84" s="34"/>
      <c r="E84" s="36" t="s">
        <v>6227</v>
      </c>
      <c r="J84" s="35"/>
    </row>
    <row r="85" spans="1:10" ht="28.8" x14ac:dyDescent="0.3">
      <c r="A85" s="27" t="s">
        <v>103</v>
      </c>
      <c r="B85" s="34"/>
      <c r="E85" s="36" t="s">
        <v>6228</v>
      </c>
      <c r="J85" s="35"/>
    </row>
    <row r="86" spans="1:10" x14ac:dyDescent="0.3">
      <c r="A86" s="27" t="s">
        <v>103</v>
      </c>
      <c r="B86" s="34"/>
      <c r="E86" s="36" t="s">
        <v>6229</v>
      </c>
      <c r="J86" s="35"/>
    </row>
    <row r="87" spans="1:10" x14ac:dyDescent="0.3">
      <c r="A87" s="27" t="s">
        <v>103</v>
      </c>
      <c r="B87" s="34"/>
      <c r="E87" s="36" t="s">
        <v>6230</v>
      </c>
      <c r="J87" s="35"/>
    </row>
    <row r="88" spans="1:10" x14ac:dyDescent="0.3">
      <c r="A88" s="27" t="s">
        <v>103</v>
      </c>
      <c r="B88" s="34"/>
      <c r="E88" s="36" t="s">
        <v>2609</v>
      </c>
      <c r="J88" s="35"/>
    </row>
    <row r="89" spans="1:10" ht="115.2" x14ac:dyDescent="0.3">
      <c r="A89" s="27" t="s">
        <v>105</v>
      </c>
      <c r="B89" s="37"/>
      <c r="C89" s="38"/>
      <c r="D89" s="38"/>
      <c r="E89" s="29" t="s">
        <v>6231</v>
      </c>
      <c r="F89" s="38"/>
      <c r="G89" s="38"/>
      <c r="H89" s="38"/>
      <c r="I89" s="38"/>
      <c r="J89"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34"/>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70</v>
      </c>
      <c r="I3" s="16">
        <f>SUMIFS(I8:I34,A8:A34,"SD")</f>
        <v>0</v>
      </c>
      <c r="J3" s="12"/>
      <c r="O3">
        <v>0</v>
      </c>
      <c r="P3">
        <v>2</v>
      </c>
    </row>
    <row r="4" spans="1:16" x14ac:dyDescent="0.3">
      <c r="A4" s="2" t="s">
        <v>79</v>
      </c>
      <c r="B4" s="13" t="s">
        <v>80</v>
      </c>
      <c r="C4" s="43" t="s">
        <v>70</v>
      </c>
      <c r="D4" s="44"/>
      <c r="E4" s="14" t="s">
        <v>71</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SUMIFS(I9:I34,A9:A34,"P")</f>
        <v>0</v>
      </c>
      <c r="J8" s="26"/>
    </row>
    <row r="9" spans="1:16" x14ac:dyDescent="0.3">
      <c r="A9" s="27" t="s">
        <v>95</v>
      </c>
      <c r="B9" s="27">
        <v>1</v>
      </c>
      <c r="C9" s="28" t="s">
        <v>6232</v>
      </c>
      <c r="D9" s="27" t="s">
        <v>129</v>
      </c>
      <c r="E9" s="29" t="s">
        <v>6233</v>
      </c>
      <c r="F9" s="30" t="s">
        <v>248</v>
      </c>
      <c r="G9" s="31">
        <v>6500</v>
      </c>
      <c r="H9" s="32">
        <v>0</v>
      </c>
      <c r="I9" s="32">
        <f>ROUND(6500*H9,P4)</f>
        <v>0</v>
      </c>
      <c r="J9" s="30" t="s">
        <v>118</v>
      </c>
      <c r="O9" s="33">
        <f>I9*0.21</f>
        <v>0</v>
      </c>
      <c r="P9">
        <v>3</v>
      </c>
    </row>
    <row r="10" spans="1:16" ht="28.8" x14ac:dyDescent="0.3">
      <c r="A10" s="27" t="s">
        <v>101</v>
      </c>
      <c r="B10" s="34"/>
      <c r="E10" s="29" t="s">
        <v>6234</v>
      </c>
      <c r="J10" s="35"/>
    </row>
    <row r="11" spans="1:16" x14ac:dyDescent="0.3">
      <c r="A11" s="27" t="s">
        <v>103</v>
      </c>
      <c r="B11" s="34"/>
      <c r="E11" s="36" t="s">
        <v>6235</v>
      </c>
      <c r="J11" s="35"/>
    </row>
    <row r="12" spans="1:16" ht="28.8" x14ac:dyDescent="0.3">
      <c r="A12" s="27" t="s">
        <v>105</v>
      </c>
      <c r="B12" s="34"/>
      <c r="E12" s="29" t="s">
        <v>6236</v>
      </c>
      <c r="J12" s="35"/>
    </row>
    <row r="13" spans="1:16" x14ac:dyDescent="0.3">
      <c r="A13" s="27" t="s">
        <v>95</v>
      </c>
      <c r="B13" s="27">
        <v>2</v>
      </c>
      <c r="C13" s="28" t="s">
        <v>6077</v>
      </c>
      <c r="D13" s="27" t="s">
        <v>129</v>
      </c>
      <c r="E13" s="29" t="s">
        <v>6237</v>
      </c>
      <c r="F13" s="30" t="s">
        <v>248</v>
      </c>
      <c r="G13" s="31">
        <v>6500</v>
      </c>
      <c r="H13" s="32">
        <v>0</v>
      </c>
      <c r="I13" s="32">
        <f>ROUND(6500*H13,P4)</f>
        <v>0</v>
      </c>
      <c r="J13" s="30" t="s">
        <v>118</v>
      </c>
      <c r="O13" s="33">
        <f>I13*0.21</f>
        <v>0</v>
      </c>
      <c r="P13">
        <v>3</v>
      </c>
    </row>
    <row r="14" spans="1:16" ht="172.8" x14ac:dyDescent="0.3">
      <c r="A14" s="27" t="s">
        <v>101</v>
      </c>
      <c r="B14" s="34"/>
      <c r="E14" s="29" t="s">
        <v>6238</v>
      </c>
      <c r="J14" s="35"/>
    </row>
    <row r="15" spans="1:16" x14ac:dyDescent="0.3">
      <c r="A15" s="27" t="s">
        <v>103</v>
      </c>
      <c r="B15" s="34"/>
      <c r="E15" s="36" t="s">
        <v>6239</v>
      </c>
      <c r="J15" s="35"/>
    </row>
    <row r="16" spans="1:16" ht="43.2" x14ac:dyDescent="0.3">
      <c r="A16" s="27" t="s">
        <v>105</v>
      </c>
      <c r="B16" s="34"/>
      <c r="E16" s="29" t="s">
        <v>6240</v>
      </c>
      <c r="J16" s="35"/>
    </row>
    <row r="17" spans="1:16" x14ac:dyDescent="0.3">
      <c r="A17" s="27" t="s">
        <v>95</v>
      </c>
      <c r="B17" s="27">
        <v>3</v>
      </c>
      <c r="C17" s="28" t="s">
        <v>6241</v>
      </c>
      <c r="D17" s="27" t="s">
        <v>129</v>
      </c>
      <c r="E17" s="29" t="s">
        <v>6242</v>
      </c>
      <c r="F17" s="30" t="s">
        <v>117</v>
      </c>
      <c r="G17" s="31">
        <v>450</v>
      </c>
      <c r="H17" s="32">
        <v>0</v>
      </c>
      <c r="I17" s="32">
        <f>ROUND(450*H17,P4)</f>
        <v>0</v>
      </c>
      <c r="J17" s="30" t="s">
        <v>118</v>
      </c>
      <c r="O17" s="33">
        <f>I17*0.21</f>
        <v>0</v>
      </c>
      <c r="P17">
        <v>3</v>
      </c>
    </row>
    <row r="18" spans="1:16" ht="57.6" x14ac:dyDescent="0.3">
      <c r="A18" s="27" t="s">
        <v>101</v>
      </c>
      <c r="B18" s="34"/>
      <c r="E18" s="29" t="s">
        <v>6243</v>
      </c>
      <c r="J18" s="35"/>
    </row>
    <row r="19" spans="1:16" x14ac:dyDescent="0.3">
      <c r="A19" s="27" t="s">
        <v>103</v>
      </c>
      <c r="B19" s="34"/>
      <c r="E19" s="36" t="s">
        <v>6244</v>
      </c>
      <c r="J19" s="35"/>
    </row>
    <row r="20" spans="1:16" ht="144" x14ac:dyDescent="0.3">
      <c r="A20" s="27" t="s">
        <v>105</v>
      </c>
      <c r="B20" s="34"/>
      <c r="E20" s="29" t="s">
        <v>6245</v>
      </c>
      <c r="J20" s="35"/>
    </row>
    <row r="21" spans="1:16" x14ac:dyDescent="0.3">
      <c r="A21" s="27" t="s">
        <v>95</v>
      </c>
      <c r="B21" s="27">
        <v>4</v>
      </c>
      <c r="C21" s="28" t="s">
        <v>6246</v>
      </c>
      <c r="D21" s="27" t="s">
        <v>129</v>
      </c>
      <c r="E21" s="29" t="s">
        <v>6247</v>
      </c>
      <c r="F21" s="30" t="s">
        <v>117</v>
      </c>
      <c r="G21" s="31">
        <v>50</v>
      </c>
      <c r="H21" s="32">
        <v>0</v>
      </c>
      <c r="I21" s="32">
        <f>ROUND(50*H21,P4)</f>
        <v>0</v>
      </c>
      <c r="J21" s="30" t="s">
        <v>118</v>
      </c>
      <c r="O21" s="33">
        <f>I21*0.21</f>
        <v>0</v>
      </c>
      <c r="P21">
        <v>3</v>
      </c>
    </row>
    <row r="22" spans="1:16" ht="57.6" x14ac:dyDescent="0.3">
      <c r="A22" s="27" t="s">
        <v>101</v>
      </c>
      <c r="B22" s="34"/>
      <c r="E22" s="29" t="s">
        <v>6243</v>
      </c>
      <c r="J22" s="35"/>
    </row>
    <row r="23" spans="1:16" x14ac:dyDescent="0.3">
      <c r="A23" s="27" t="s">
        <v>103</v>
      </c>
      <c r="B23" s="34"/>
      <c r="E23" s="36" t="s">
        <v>6248</v>
      </c>
      <c r="J23" s="35"/>
    </row>
    <row r="24" spans="1:16" ht="144" x14ac:dyDescent="0.3">
      <c r="A24" s="27" t="s">
        <v>105</v>
      </c>
      <c r="B24" s="34"/>
      <c r="E24" s="29" t="s">
        <v>6245</v>
      </c>
      <c r="J24" s="35"/>
    </row>
    <row r="25" spans="1:16" x14ac:dyDescent="0.3">
      <c r="A25" s="27" t="s">
        <v>95</v>
      </c>
      <c r="B25" s="27">
        <v>5</v>
      </c>
      <c r="C25" s="28" t="s">
        <v>6249</v>
      </c>
      <c r="D25" s="27" t="s">
        <v>129</v>
      </c>
      <c r="E25" s="29" t="s">
        <v>6250</v>
      </c>
      <c r="F25" s="30" t="s">
        <v>229</v>
      </c>
      <c r="G25" s="31">
        <v>9.44</v>
      </c>
      <c r="H25" s="32">
        <v>0</v>
      </c>
      <c r="I25" s="32">
        <f>ROUND(9.44*H25,P4)</f>
        <v>0</v>
      </c>
      <c r="J25" s="30" t="s">
        <v>118</v>
      </c>
      <c r="O25" s="33">
        <f>I25*0.21</f>
        <v>0</v>
      </c>
      <c r="P25">
        <v>3</v>
      </c>
    </row>
    <row r="26" spans="1:16" ht="43.2" x14ac:dyDescent="0.3">
      <c r="A26" s="27" t="s">
        <v>101</v>
      </c>
      <c r="B26" s="34"/>
      <c r="E26" s="29" t="s">
        <v>6251</v>
      </c>
      <c r="J26" s="35"/>
    </row>
    <row r="27" spans="1:16" x14ac:dyDescent="0.3">
      <c r="A27" s="27" t="s">
        <v>103</v>
      </c>
      <c r="B27" s="34"/>
      <c r="E27" s="36" t="s">
        <v>6252</v>
      </c>
      <c r="J27" s="35"/>
    </row>
    <row r="28" spans="1:16" x14ac:dyDescent="0.3">
      <c r="A28" s="27" t="s">
        <v>103</v>
      </c>
      <c r="B28" s="34"/>
      <c r="E28" s="36" t="s">
        <v>6253</v>
      </c>
      <c r="J28" s="35"/>
    </row>
    <row r="29" spans="1:16" x14ac:dyDescent="0.3">
      <c r="A29" s="27" t="s">
        <v>103</v>
      </c>
      <c r="B29" s="34"/>
      <c r="E29" s="36" t="s">
        <v>6254</v>
      </c>
      <c r="J29" s="35"/>
    </row>
    <row r="30" spans="1:16" x14ac:dyDescent="0.3">
      <c r="A30" s="27" t="s">
        <v>103</v>
      </c>
      <c r="B30" s="34"/>
      <c r="E30" s="36" t="s">
        <v>6255</v>
      </c>
      <c r="J30" s="35"/>
    </row>
    <row r="31" spans="1:16" x14ac:dyDescent="0.3">
      <c r="A31" s="27" t="s">
        <v>103</v>
      </c>
      <c r="B31" s="34"/>
      <c r="E31" s="36" t="s">
        <v>6256</v>
      </c>
      <c r="J31" s="35"/>
    </row>
    <row r="32" spans="1:16" x14ac:dyDescent="0.3">
      <c r="A32" s="27" t="s">
        <v>103</v>
      </c>
      <c r="B32" s="34"/>
      <c r="E32" s="36" t="s">
        <v>6257</v>
      </c>
      <c r="J32" s="35"/>
    </row>
    <row r="33" spans="1:10" x14ac:dyDescent="0.3">
      <c r="A33" s="27" t="s">
        <v>103</v>
      </c>
      <c r="B33" s="34"/>
      <c r="E33" s="36" t="s">
        <v>6258</v>
      </c>
      <c r="J33" s="35"/>
    </row>
    <row r="34" spans="1:10" ht="43.2" x14ac:dyDescent="0.3">
      <c r="A34" s="27" t="s">
        <v>105</v>
      </c>
      <c r="B34" s="37"/>
      <c r="C34" s="38"/>
      <c r="D34" s="38"/>
      <c r="E34" s="29" t="s">
        <v>6259</v>
      </c>
      <c r="F34" s="38"/>
      <c r="G34" s="38"/>
      <c r="H34" s="38"/>
      <c r="I34" s="38"/>
      <c r="J34"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107"/>
  <sheetViews>
    <sheetView topLeftCell="B1" workbookViewId="0"/>
  </sheetViews>
  <sheetFormatPr defaultRowHeight="14.4" x14ac:dyDescent="0.3"/>
  <cols>
    <col min="1" max="1" width="8.88671875" hidden="1"/>
    <col min="2" max="2" width="15.77734375" customWidth="1"/>
    <col min="3" max="3" width="9.44140625" customWidth="1"/>
    <col min="4" max="4" width="12.5546875" customWidth="1"/>
    <col min="5" max="5" width="63" customWidth="1"/>
    <col min="6" max="6" width="12.5546875" customWidth="1"/>
    <col min="7" max="9" width="15.77734375" customWidth="1"/>
    <col min="10" max="10" width="14.6640625" bestFit="1" customWidth="1"/>
    <col min="15" max="16" width="8.88671875" hidden="1"/>
  </cols>
  <sheetData>
    <row r="1" spans="1:16" x14ac:dyDescent="0.3">
      <c r="A1" s="1" t="s">
        <v>0</v>
      </c>
      <c r="B1" s="7"/>
      <c r="C1" s="8"/>
      <c r="D1" s="8"/>
      <c r="E1" s="9" t="s">
        <v>1</v>
      </c>
      <c r="F1" s="8"/>
      <c r="G1" s="8"/>
      <c r="H1" s="8"/>
      <c r="I1" s="8"/>
      <c r="J1" s="10"/>
      <c r="P1">
        <v>3</v>
      </c>
    </row>
    <row r="2" spans="1:16" ht="21" x14ac:dyDescent="0.3">
      <c r="A2" s="1"/>
      <c r="B2" s="11"/>
      <c r="C2" s="2"/>
      <c r="D2" s="2"/>
      <c r="E2" s="3" t="s">
        <v>74</v>
      </c>
      <c r="F2" s="2"/>
      <c r="G2" s="2"/>
      <c r="H2" s="2"/>
      <c r="I2" s="2"/>
      <c r="J2" s="12"/>
    </row>
    <row r="3" spans="1:16" x14ac:dyDescent="0.3">
      <c r="A3" s="2" t="s">
        <v>75</v>
      </c>
      <c r="B3" s="13" t="s">
        <v>76</v>
      </c>
      <c r="C3" s="43" t="s">
        <v>77</v>
      </c>
      <c r="D3" s="44"/>
      <c r="E3" s="14" t="s">
        <v>78</v>
      </c>
      <c r="F3" s="2"/>
      <c r="G3" s="2"/>
      <c r="H3" s="15" t="s">
        <v>72</v>
      </c>
      <c r="I3" s="16">
        <f>SUMIFS(I8:I107,A8:A107,"SD")</f>
        <v>0</v>
      </c>
      <c r="J3" s="12"/>
      <c r="O3">
        <v>0</v>
      </c>
      <c r="P3">
        <v>2</v>
      </c>
    </row>
    <row r="4" spans="1:16" x14ac:dyDescent="0.3">
      <c r="A4" s="2" t="s">
        <v>79</v>
      </c>
      <c r="B4" s="13" t="s">
        <v>80</v>
      </c>
      <c r="C4" s="43" t="s">
        <v>72</v>
      </c>
      <c r="D4" s="44"/>
      <c r="E4" s="14" t="s">
        <v>73</v>
      </c>
      <c r="F4" s="2"/>
      <c r="G4" s="2"/>
      <c r="H4" s="2"/>
      <c r="I4" s="2"/>
      <c r="J4" s="12"/>
      <c r="O4">
        <v>0.15</v>
      </c>
      <c r="P4">
        <v>2</v>
      </c>
    </row>
    <row r="5" spans="1:16" x14ac:dyDescent="0.3">
      <c r="A5" s="45" t="s">
        <v>81</v>
      </c>
      <c r="B5" s="46" t="s">
        <v>82</v>
      </c>
      <c r="C5" s="47" t="s">
        <v>83</v>
      </c>
      <c r="D5" s="47" t="s">
        <v>84</v>
      </c>
      <c r="E5" s="47" t="s">
        <v>85</v>
      </c>
      <c r="F5" s="47" t="s">
        <v>86</v>
      </c>
      <c r="G5" s="47" t="s">
        <v>87</v>
      </c>
      <c r="H5" s="47" t="s">
        <v>88</v>
      </c>
      <c r="I5" s="47"/>
      <c r="J5" s="48" t="s">
        <v>89</v>
      </c>
      <c r="O5">
        <v>0.21</v>
      </c>
    </row>
    <row r="6" spans="1:16" x14ac:dyDescent="0.3">
      <c r="A6" s="45"/>
      <c r="B6" s="46"/>
      <c r="C6" s="47"/>
      <c r="D6" s="47"/>
      <c r="E6" s="47"/>
      <c r="F6" s="47"/>
      <c r="G6" s="47"/>
      <c r="H6" s="6" t="s">
        <v>90</v>
      </c>
      <c r="I6" s="6" t="s">
        <v>91</v>
      </c>
      <c r="J6" s="48"/>
    </row>
    <row r="7" spans="1:16" x14ac:dyDescent="0.3">
      <c r="A7" s="19">
        <v>0</v>
      </c>
      <c r="B7" s="17">
        <v>1</v>
      </c>
      <c r="C7" s="20">
        <v>2</v>
      </c>
      <c r="D7" s="6">
        <v>3</v>
      </c>
      <c r="E7" s="20">
        <v>4</v>
      </c>
      <c r="F7" s="6">
        <v>5</v>
      </c>
      <c r="G7" s="6">
        <v>6</v>
      </c>
      <c r="H7" s="6">
        <v>7</v>
      </c>
      <c r="I7" s="20">
        <v>8</v>
      </c>
      <c r="J7" s="18">
        <v>9</v>
      </c>
    </row>
    <row r="8" spans="1:16" x14ac:dyDescent="0.3">
      <c r="A8" s="21" t="s">
        <v>92</v>
      </c>
      <c r="B8" s="22"/>
      <c r="C8" s="23" t="s">
        <v>97</v>
      </c>
      <c r="D8" s="24"/>
      <c r="E8" s="21" t="s">
        <v>204</v>
      </c>
      <c r="F8" s="24"/>
      <c r="G8" s="24"/>
      <c r="H8" s="24"/>
      <c r="I8" s="25">
        <f>SUMIFS(I9:I73,A9:A73,"P")</f>
        <v>0</v>
      </c>
      <c r="J8" s="26"/>
    </row>
    <row r="9" spans="1:16" ht="28.8" x14ac:dyDescent="0.3">
      <c r="A9" s="27" t="s">
        <v>95</v>
      </c>
      <c r="B9" s="27">
        <v>1</v>
      </c>
      <c r="C9" s="28" t="s">
        <v>6260</v>
      </c>
      <c r="D9" s="27" t="s">
        <v>129</v>
      </c>
      <c r="E9" s="29" t="s">
        <v>6261</v>
      </c>
      <c r="F9" s="30" t="s">
        <v>229</v>
      </c>
      <c r="G9" s="31">
        <v>201.077</v>
      </c>
      <c r="H9" s="32">
        <v>0</v>
      </c>
      <c r="I9" s="32">
        <f>ROUND(201.077*H9,P4)</f>
        <v>0</v>
      </c>
      <c r="J9" s="30" t="s">
        <v>118</v>
      </c>
      <c r="O9" s="33">
        <f>I9*0.21</f>
        <v>0</v>
      </c>
      <c r="P9">
        <v>3</v>
      </c>
    </row>
    <row r="10" spans="1:16" ht="158.4" x14ac:dyDescent="0.3">
      <c r="A10" s="27" t="s">
        <v>101</v>
      </c>
      <c r="B10" s="34"/>
      <c r="E10" s="29" t="s">
        <v>6262</v>
      </c>
      <c r="J10" s="35"/>
    </row>
    <row r="11" spans="1:16" ht="28.8" x14ac:dyDescent="0.3">
      <c r="A11" s="27" t="s">
        <v>103</v>
      </c>
      <c r="B11" s="34"/>
      <c r="E11" s="36" t="s">
        <v>6263</v>
      </c>
      <c r="J11" s="35"/>
    </row>
    <row r="12" spans="1:16" ht="28.8" x14ac:dyDescent="0.3">
      <c r="A12" s="27" t="s">
        <v>103</v>
      </c>
      <c r="B12" s="34"/>
      <c r="E12" s="36" t="s">
        <v>6264</v>
      </c>
      <c r="J12" s="35"/>
    </row>
    <row r="13" spans="1:16" ht="28.8" x14ac:dyDescent="0.3">
      <c r="A13" s="27" t="s">
        <v>103</v>
      </c>
      <c r="B13" s="34"/>
      <c r="E13" s="36" t="s">
        <v>6265</v>
      </c>
      <c r="J13" s="35"/>
    </row>
    <row r="14" spans="1:16" ht="28.8" x14ac:dyDescent="0.3">
      <c r="A14" s="27" t="s">
        <v>103</v>
      </c>
      <c r="B14" s="34"/>
      <c r="E14" s="36" t="s">
        <v>6266</v>
      </c>
      <c r="J14" s="35"/>
    </row>
    <row r="15" spans="1:16" ht="28.8" x14ac:dyDescent="0.3">
      <c r="A15" s="27" t="s">
        <v>103</v>
      </c>
      <c r="B15" s="34"/>
      <c r="E15" s="36" t="s">
        <v>6267</v>
      </c>
      <c r="J15" s="35"/>
    </row>
    <row r="16" spans="1:16" ht="28.8" x14ac:dyDescent="0.3">
      <c r="A16" s="27" t="s">
        <v>103</v>
      </c>
      <c r="B16" s="34"/>
      <c r="E16" s="36" t="s">
        <v>6268</v>
      </c>
      <c r="J16" s="35"/>
    </row>
    <row r="17" spans="1:16" ht="28.8" x14ac:dyDescent="0.3">
      <c r="A17" s="27" t="s">
        <v>103</v>
      </c>
      <c r="B17" s="34"/>
      <c r="E17" s="36" t="s">
        <v>6269</v>
      </c>
      <c r="J17" s="35"/>
    </row>
    <row r="18" spans="1:16" x14ac:dyDescent="0.3">
      <c r="A18" s="27" t="s">
        <v>103</v>
      </c>
      <c r="B18" s="34"/>
      <c r="E18" s="36" t="s">
        <v>6270</v>
      </c>
      <c r="J18" s="35"/>
    </row>
    <row r="19" spans="1:16" ht="72" x14ac:dyDescent="0.3">
      <c r="A19" s="27" t="s">
        <v>105</v>
      </c>
      <c r="B19" s="34"/>
      <c r="E19" s="29" t="s">
        <v>6271</v>
      </c>
      <c r="J19" s="35"/>
    </row>
    <row r="20" spans="1:16" ht="28.8" x14ac:dyDescent="0.3">
      <c r="A20" s="27" t="s">
        <v>95</v>
      </c>
      <c r="B20" s="27">
        <v>2</v>
      </c>
      <c r="C20" s="28" t="s">
        <v>307</v>
      </c>
      <c r="D20" s="27" t="s">
        <v>97</v>
      </c>
      <c r="E20" s="29" t="s">
        <v>6272</v>
      </c>
      <c r="F20" s="30" t="s">
        <v>229</v>
      </c>
      <c r="G20" s="31">
        <v>254.018</v>
      </c>
      <c r="H20" s="32">
        <v>0</v>
      </c>
      <c r="I20" s="32">
        <f>ROUND(254.018*H20,P4)</f>
        <v>0</v>
      </c>
      <c r="J20" s="30" t="s">
        <v>118</v>
      </c>
      <c r="O20" s="33">
        <f>I20*0.21</f>
        <v>0</v>
      </c>
      <c r="P20">
        <v>3</v>
      </c>
    </row>
    <row r="21" spans="1:16" ht="158.4" x14ac:dyDescent="0.3">
      <c r="A21" s="27" t="s">
        <v>101</v>
      </c>
      <c r="B21" s="34"/>
      <c r="E21" s="29" t="s">
        <v>6273</v>
      </c>
      <c r="J21" s="35"/>
    </row>
    <row r="22" spans="1:16" ht="28.8" x14ac:dyDescent="0.3">
      <c r="A22" s="27" t="s">
        <v>103</v>
      </c>
      <c r="B22" s="34"/>
      <c r="E22" s="36" t="s">
        <v>6274</v>
      </c>
      <c r="J22" s="35"/>
    </row>
    <row r="23" spans="1:16" ht="28.8" x14ac:dyDescent="0.3">
      <c r="A23" s="27" t="s">
        <v>103</v>
      </c>
      <c r="B23" s="34"/>
      <c r="E23" s="36" t="s">
        <v>6275</v>
      </c>
      <c r="J23" s="35"/>
    </row>
    <row r="24" spans="1:16" ht="28.8" x14ac:dyDescent="0.3">
      <c r="A24" s="27" t="s">
        <v>103</v>
      </c>
      <c r="B24" s="34"/>
      <c r="E24" s="36" t="s">
        <v>6276</v>
      </c>
      <c r="J24" s="35"/>
    </row>
    <row r="25" spans="1:16" ht="28.8" x14ac:dyDescent="0.3">
      <c r="A25" s="27" t="s">
        <v>103</v>
      </c>
      <c r="B25" s="34"/>
      <c r="E25" s="36" t="s">
        <v>6277</v>
      </c>
      <c r="J25" s="35"/>
    </row>
    <row r="26" spans="1:16" ht="28.8" x14ac:dyDescent="0.3">
      <c r="A26" s="27" t="s">
        <v>103</v>
      </c>
      <c r="B26" s="34"/>
      <c r="E26" s="36" t="s">
        <v>6278</v>
      </c>
      <c r="J26" s="35"/>
    </row>
    <row r="27" spans="1:16" ht="28.8" x14ac:dyDescent="0.3">
      <c r="A27" s="27" t="s">
        <v>103</v>
      </c>
      <c r="B27" s="34"/>
      <c r="E27" s="36" t="s">
        <v>6279</v>
      </c>
      <c r="J27" s="35"/>
    </row>
    <row r="28" spans="1:16" ht="28.8" x14ac:dyDescent="0.3">
      <c r="A28" s="27" t="s">
        <v>103</v>
      </c>
      <c r="B28" s="34"/>
      <c r="E28" s="36" t="s">
        <v>6280</v>
      </c>
      <c r="J28" s="35"/>
    </row>
    <row r="29" spans="1:16" ht="28.8" x14ac:dyDescent="0.3">
      <c r="A29" s="27" t="s">
        <v>103</v>
      </c>
      <c r="B29" s="34"/>
      <c r="E29" s="36" t="s">
        <v>6281</v>
      </c>
      <c r="J29" s="35"/>
    </row>
    <row r="30" spans="1:16" ht="28.8" x14ac:dyDescent="0.3">
      <c r="A30" s="27" t="s">
        <v>103</v>
      </c>
      <c r="B30" s="34"/>
      <c r="E30" s="36" t="s">
        <v>6282</v>
      </c>
      <c r="J30" s="35"/>
    </row>
    <row r="31" spans="1:16" ht="28.8" x14ac:dyDescent="0.3">
      <c r="A31" s="27" t="s">
        <v>103</v>
      </c>
      <c r="B31" s="34"/>
      <c r="E31" s="36" t="s">
        <v>6283</v>
      </c>
      <c r="J31" s="35"/>
    </row>
    <row r="32" spans="1:16" ht="28.8" x14ac:dyDescent="0.3">
      <c r="A32" s="27" t="s">
        <v>103</v>
      </c>
      <c r="B32" s="34"/>
      <c r="E32" s="36" t="s">
        <v>6284</v>
      </c>
      <c r="J32" s="35"/>
    </row>
    <row r="33" spans="1:16" ht="28.8" x14ac:dyDescent="0.3">
      <c r="A33" s="27" t="s">
        <v>103</v>
      </c>
      <c r="B33" s="34"/>
      <c r="E33" s="36" t="s">
        <v>6285</v>
      </c>
      <c r="J33" s="35"/>
    </row>
    <row r="34" spans="1:16" x14ac:dyDescent="0.3">
      <c r="A34" s="27" t="s">
        <v>103</v>
      </c>
      <c r="B34" s="34"/>
      <c r="E34" s="36" t="s">
        <v>6286</v>
      </c>
      <c r="J34" s="35"/>
    </row>
    <row r="35" spans="1:16" ht="72" x14ac:dyDescent="0.3">
      <c r="A35" s="27" t="s">
        <v>105</v>
      </c>
      <c r="B35" s="34"/>
      <c r="E35" s="29" t="s">
        <v>6271</v>
      </c>
      <c r="J35" s="35"/>
    </row>
    <row r="36" spans="1:16" ht="28.8" x14ac:dyDescent="0.3">
      <c r="A36" s="27" t="s">
        <v>95</v>
      </c>
      <c r="B36" s="27">
        <v>3</v>
      </c>
      <c r="C36" s="28" t="s">
        <v>307</v>
      </c>
      <c r="D36" s="27" t="s">
        <v>107</v>
      </c>
      <c r="E36" s="29" t="s">
        <v>6272</v>
      </c>
      <c r="F36" s="30" t="s">
        <v>229</v>
      </c>
      <c r="G36" s="31">
        <v>60.784999999999997</v>
      </c>
      <c r="H36" s="32">
        <v>0</v>
      </c>
      <c r="I36" s="32">
        <f>ROUND(60.785*H36,P4)</f>
        <v>0</v>
      </c>
      <c r="J36" s="30" t="s">
        <v>118</v>
      </c>
      <c r="O36" s="33">
        <f>I36*0.21</f>
        <v>0</v>
      </c>
      <c r="P36">
        <v>3</v>
      </c>
    </row>
    <row r="37" spans="1:16" ht="172.8" x14ac:dyDescent="0.3">
      <c r="A37" s="27" t="s">
        <v>101</v>
      </c>
      <c r="B37" s="34"/>
      <c r="E37" s="29" t="s">
        <v>6287</v>
      </c>
      <c r="J37" s="35"/>
    </row>
    <row r="38" spans="1:16" ht="28.8" x14ac:dyDescent="0.3">
      <c r="A38" s="27" t="s">
        <v>103</v>
      </c>
      <c r="B38" s="34"/>
      <c r="E38" s="36" t="s">
        <v>6288</v>
      </c>
      <c r="J38" s="35"/>
    </row>
    <row r="39" spans="1:16" ht="28.8" x14ac:dyDescent="0.3">
      <c r="A39" s="27" t="s">
        <v>103</v>
      </c>
      <c r="B39" s="34"/>
      <c r="E39" s="36" t="s">
        <v>6289</v>
      </c>
      <c r="J39" s="35"/>
    </row>
    <row r="40" spans="1:16" ht="28.8" x14ac:dyDescent="0.3">
      <c r="A40" s="27" t="s">
        <v>103</v>
      </c>
      <c r="B40" s="34"/>
      <c r="E40" s="36" t="s">
        <v>6290</v>
      </c>
      <c r="J40" s="35"/>
    </row>
    <row r="41" spans="1:16" ht="28.8" x14ac:dyDescent="0.3">
      <c r="A41" s="27" t="s">
        <v>103</v>
      </c>
      <c r="B41" s="34"/>
      <c r="E41" s="36" t="s">
        <v>6291</v>
      </c>
      <c r="J41" s="35"/>
    </row>
    <row r="42" spans="1:16" ht="28.8" x14ac:dyDescent="0.3">
      <c r="A42" s="27" t="s">
        <v>103</v>
      </c>
      <c r="B42" s="34"/>
      <c r="E42" s="36" t="s">
        <v>6292</v>
      </c>
      <c r="J42" s="35"/>
    </row>
    <row r="43" spans="1:16" ht="28.8" x14ac:dyDescent="0.3">
      <c r="A43" s="27" t="s">
        <v>103</v>
      </c>
      <c r="B43" s="34"/>
      <c r="E43" s="36" t="s">
        <v>6293</v>
      </c>
      <c r="J43" s="35"/>
    </row>
    <row r="44" spans="1:16" ht="28.8" x14ac:dyDescent="0.3">
      <c r="A44" s="27" t="s">
        <v>103</v>
      </c>
      <c r="B44" s="34"/>
      <c r="E44" s="36" t="s">
        <v>6294</v>
      </c>
      <c r="J44" s="35"/>
    </row>
    <row r="45" spans="1:16" ht="28.8" x14ac:dyDescent="0.3">
      <c r="A45" s="27" t="s">
        <v>103</v>
      </c>
      <c r="B45" s="34"/>
      <c r="E45" s="36" t="s">
        <v>6295</v>
      </c>
      <c r="J45" s="35"/>
    </row>
    <row r="46" spans="1:16" ht="28.8" x14ac:dyDescent="0.3">
      <c r="A46" s="27" t="s">
        <v>103</v>
      </c>
      <c r="B46" s="34"/>
      <c r="E46" s="36" t="s">
        <v>6296</v>
      </c>
      <c r="J46" s="35"/>
    </row>
    <row r="47" spans="1:16" ht="28.8" x14ac:dyDescent="0.3">
      <c r="A47" s="27" t="s">
        <v>103</v>
      </c>
      <c r="B47" s="34"/>
      <c r="E47" s="36" t="s">
        <v>6297</v>
      </c>
      <c r="J47" s="35"/>
    </row>
    <row r="48" spans="1:16" ht="28.8" x14ac:dyDescent="0.3">
      <c r="A48" s="27" t="s">
        <v>103</v>
      </c>
      <c r="B48" s="34"/>
      <c r="E48" s="36" t="s">
        <v>6298</v>
      </c>
      <c r="J48" s="35"/>
    </row>
    <row r="49" spans="1:16" ht="28.8" x14ac:dyDescent="0.3">
      <c r="A49" s="27" t="s">
        <v>103</v>
      </c>
      <c r="B49" s="34"/>
      <c r="E49" s="36" t="s">
        <v>6299</v>
      </c>
      <c r="J49" s="35"/>
    </row>
    <row r="50" spans="1:16" x14ac:dyDescent="0.3">
      <c r="A50" s="27" t="s">
        <v>103</v>
      </c>
      <c r="B50" s="34"/>
      <c r="E50" s="36" t="s">
        <v>6300</v>
      </c>
      <c r="J50" s="35"/>
    </row>
    <row r="51" spans="1:16" ht="72" x14ac:dyDescent="0.3">
      <c r="A51" s="27" t="s">
        <v>105</v>
      </c>
      <c r="B51" s="34"/>
      <c r="E51" s="29" t="s">
        <v>6271</v>
      </c>
      <c r="J51" s="35"/>
    </row>
    <row r="52" spans="1:16" x14ac:dyDescent="0.3">
      <c r="A52" s="27" t="s">
        <v>95</v>
      </c>
      <c r="B52" s="27">
        <v>4</v>
      </c>
      <c r="C52" s="28" t="s">
        <v>452</v>
      </c>
      <c r="D52" s="27" t="s">
        <v>129</v>
      </c>
      <c r="E52" s="29" t="s">
        <v>453</v>
      </c>
      <c r="F52" s="30" t="s">
        <v>229</v>
      </c>
      <c r="G52" s="31">
        <v>319.91399999999999</v>
      </c>
      <c r="H52" s="32">
        <v>0</v>
      </c>
      <c r="I52" s="32">
        <f>ROUND(270.342*H52,P4)+ROUND(49.572*H52,P4)</f>
        <v>0</v>
      </c>
      <c r="J52" s="30" t="s">
        <v>118</v>
      </c>
      <c r="O52" s="33">
        <f>I52*0.21</f>
        <v>0</v>
      </c>
      <c r="P52">
        <v>3</v>
      </c>
    </row>
    <row r="53" spans="1:16" ht="158.4" x14ac:dyDescent="0.3">
      <c r="A53" s="27" t="s">
        <v>101</v>
      </c>
      <c r="B53" s="34"/>
      <c r="E53" s="29" t="s">
        <v>6301</v>
      </c>
      <c r="J53" s="35"/>
    </row>
    <row r="54" spans="1:16" ht="28.8" x14ac:dyDescent="0.3">
      <c r="A54" s="27" t="s">
        <v>103</v>
      </c>
      <c r="B54" s="34"/>
      <c r="E54" s="36" t="s">
        <v>6302</v>
      </c>
      <c r="J54" s="35"/>
    </row>
    <row r="55" spans="1:16" x14ac:dyDescent="0.3">
      <c r="A55" s="27" t="s">
        <v>103</v>
      </c>
      <c r="B55" s="34"/>
      <c r="E55" s="36" t="s">
        <v>6303</v>
      </c>
      <c r="J55" s="35"/>
    </row>
    <row r="56" spans="1:16" ht="28.8" x14ac:dyDescent="0.3">
      <c r="A56" s="27" t="s">
        <v>103</v>
      </c>
      <c r="B56" s="34"/>
      <c r="E56" s="36" t="s">
        <v>6304</v>
      </c>
      <c r="J56" s="35"/>
    </row>
    <row r="57" spans="1:16" x14ac:dyDescent="0.3">
      <c r="A57" s="27" t="s">
        <v>103</v>
      </c>
      <c r="B57" s="34"/>
      <c r="E57" s="36" t="s">
        <v>6305</v>
      </c>
      <c r="J57" s="35"/>
    </row>
    <row r="58" spans="1:16" ht="409.6" x14ac:dyDescent="0.3">
      <c r="A58" s="27" t="s">
        <v>105</v>
      </c>
      <c r="B58" s="34"/>
      <c r="E58" s="29" t="s">
        <v>472</v>
      </c>
      <c r="J58" s="35"/>
    </row>
    <row r="59" spans="1:16" x14ac:dyDescent="0.3">
      <c r="A59" s="27" t="s">
        <v>95</v>
      </c>
      <c r="B59" s="27">
        <v>5</v>
      </c>
      <c r="C59" s="28" t="s">
        <v>1589</v>
      </c>
      <c r="D59" s="27" t="s">
        <v>129</v>
      </c>
      <c r="E59" s="29" t="s">
        <v>1590</v>
      </c>
      <c r="F59" s="30" t="s">
        <v>229</v>
      </c>
      <c r="G59" s="31">
        <v>176.738</v>
      </c>
      <c r="H59" s="32">
        <v>0</v>
      </c>
      <c r="I59" s="32">
        <f>ROUND(176.738*H59,P4)</f>
        <v>0</v>
      </c>
      <c r="J59" s="30" t="s">
        <v>118</v>
      </c>
      <c r="O59" s="33">
        <f>I59*0.21</f>
        <v>0</v>
      </c>
      <c r="P59">
        <v>3</v>
      </c>
    </row>
    <row r="60" spans="1:16" ht="158.4" x14ac:dyDescent="0.3">
      <c r="A60" s="27" t="s">
        <v>101</v>
      </c>
      <c r="B60" s="34"/>
      <c r="E60" s="29" t="s">
        <v>6301</v>
      </c>
      <c r="J60" s="35"/>
    </row>
    <row r="61" spans="1:16" ht="28.8" x14ac:dyDescent="0.3">
      <c r="A61" s="27" t="s">
        <v>103</v>
      </c>
      <c r="B61" s="34"/>
      <c r="E61" s="36" t="s">
        <v>6306</v>
      </c>
      <c r="J61" s="35"/>
    </row>
    <row r="62" spans="1:16" x14ac:dyDescent="0.3">
      <c r="A62" s="27" t="s">
        <v>103</v>
      </c>
      <c r="B62" s="34"/>
      <c r="E62" s="36" t="s">
        <v>6307</v>
      </c>
      <c r="J62" s="35"/>
    </row>
    <row r="63" spans="1:16" ht="316.8" x14ac:dyDescent="0.3">
      <c r="A63" s="27" t="s">
        <v>105</v>
      </c>
      <c r="B63" s="34"/>
      <c r="E63" s="29" t="s">
        <v>1591</v>
      </c>
      <c r="J63" s="35"/>
    </row>
    <row r="64" spans="1:16" x14ac:dyDescent="0.3">
      <c r="A64" s="27" t="s">
        <v>95</v>
      </c>
      <c r="B64" s="27">
        <v>6</v>
      </c>
      <c r="C64" s="28" t="s">
        <v>6308</v>
      </c>
      <c r="D64" s="27" t="s">
        <v>129</v>
      </c>
      <c r="E64" s="29" t="s">
        <v>6309</v>
      </c>
      <c r="F64" s="30" t="s">
        <v>229</v>
      </c>
      <c r="G64" s="31">
        <v>270.34199999999998</v>
      </c>
      <c r="H64" s="32">
        <v>0</v>
      </c>
      <c r="I64" s="32">
        <f>ROUND(270.342*H64,P4)</f>
        <v>0</v>
      </c>
      <c r="J64" s="30" t="s">
        <v>118</v>
      </c>
      <c r="O64" s="33">
        <f>I64*0.21</f>
        <v>0</v>
      </c>
      <c r="P64">
        <v>3</v>
      </c>
    </row>
    <row r="65" spans="1:16" ht="158.4" x14ac:dyDescent="0.3">
      <c r="A65" s="27" t="s">
        <v>101</v>
      </c>
      <c r="B65" s="34"/>
      <c r="E65" s="29" t="s">
        <v>6301</v>
      </c>
      <c r="J65" s="35"/>
    </row>
    <row r="66" spans="1:16" ht="28.8" x14ac:dyDescent="0.3">
      <c r="A66" s="27" t="s">
        <v>103</v>
      </c>
      <c r="B66" s="34"/>
      <c r="E66" s="36" t="s">
        <v>6302</v>
      </c>
      <c r="J66" s="35"/>
    </row>
    <row r="67" spans="1:16" x14ac:dyDescent="0.3">
      <c r="A67" s="27" t="s">
        <v>103</v>
      </c>
      <c r="B67" s="34"/>
      <c r="E67" s="36" t="s">
        <v>6303</v>
      </c>
      <c r="J67" s="35"/>
    </row>
    <row r="68" spans="1:16" ht="316.8" x14ac:dyDescent="0.3">
      <c r="A68" s="27" t="s">
        <v>105</v>
      </c>
      <c r="B68" s="34"/>
      <c r="E68" s="29" t="s">
        <v>1591</v>
      </c>
      <c r="J68" s="35"/>
    </row>
    <row r="69" spans="1:16" x14ac:dyDescent="0.3">
      <c r="A69" s="27" t="s">
        <v>95</v>
      </c>
      <c r="B69" s="27">
        <v>7</v>
      </c>
      <c r="C69" s="28" t="s">
        <v>610</v>
      </c>
      <c r="D69" s="27" t="s">
        <v>129</v>
      </c>
      <c r="E69" s="29" t="s">
        <v>611</v>
      </c>
      <c r="F69" s="30" t="s">
        <v>248</v>
      </c>
      <c r="G69" s="31">
        <v>1316.8979999999999</v>
      </c>
      <c r="H69" s="32">
        <v>0</v>
      </c>
      <c r="I69" s="32">
        <f>ROUND(1316.898*H69,P4)</f>
        <v>0</v>
      </c>
      <c r="J69" s="30" t="s">
        <v>118</v>
      </c>
      <c r="O69" s="33">
        <f>I69*0.21</f>
        <v>0</v>
      </c>
      <c r="P69">
        <v>3</v>
      </c>
    </row>
    <row r="70" spans="1:16" ht="201.6" x14ac:dyDescent="0.3">
      <c r="A70" s="27" t="s">
        <v>101</v>
      </c>
      <c r="B70" s="34"/>
      <c r="E70" s="29" t="s">
        <v>6310</v>
      </c>
      <c r="J70" s="35"/>
    </row>
    <row r="71" spans="1:16" ht="28.8" x14ac:dyDescent="0.3">
      <c r="A71" s="27" t="s">
        <v>103</v>
      </c>
      <c r="B71" s="34"/>
      <c r="E71" s="36" t="s">
        <v>6311</v>
      </c>
      <c r="J71" s="35"/>
    </row>
    <row r="72" spans="1:16" x14ac:dyDescent="0.3">
      <c r="A72" s="27" t="s">
        <v>103</v>
      </c>
      <c r="B72" s="34"/>
      <c r="E72" s="36" t="s">
        <v>6312</v>
      </c>
      <c r="J72" s="35"/>
    </row>
    <row r="73" spans="1:16" ht="28.8" x14ac:dyDescent="0.3">
      <c r="A73" s="27" t="s">
        <v>105</v>
      </c>
      <c r="B73" s="34"/>
      <c r="E73" s="29" t="s">
        <v>617</v>
      </c>
      <c r="J73" s="35"/>
    </row>
    <row r="74" spans="1:16" x14ac:dyDescent="0.3">
      <c r="A74" s="21" t="s">
        <v>92</v>
      </c>
      <c r="B74" s="22"/>
      <c r="C74" s="23" t="s">
        <v>107</v>
      </c>
      <c r="D74" s="24"/>
      <c r="E74" s="21" t="s">
        <v>618</v>
      </c>
      <c r="F74" s="24"/>
      <c r="G74" s="24"/>
      <c r="H74" s="24"/>
      <c r="I74" s="25">
        <f>SUMIFS(I75:I79,A75:A79,"P")</f>
        <v>0</v>
      </c>
      <c r="J74" s="26"/>
    </row>
    <row r="75" spans="1:16" x14ac:dyDescent="0.3">
      <c r="A75" s="27" t="s">
        <v>95</v>
      </c>
      <c r="B75" s="27">
        <v>8</v>
      </c>
      <c r="C75" s="28" t="s">
        <v>6313</v>
      </c>
      <c r="D75" s="27" t="s">
        <v>129</v>
      </c>
      <c r="E75" s="29" t="s">
        <v>6314</v>
      </c>
      <c r="F75" s="30" t="s">
        <v>248</v>
      </c>
      <c r="G75" s="31">
        <v>1398.471</v>
      </c>
      <c r="H75" s="32">
        <v>0</v>
      </c>
      <c r="I75" s="32">
        <f>ROUND(1398.471*H75,P4)</f>
        <v>0</v>
      </c>
      <c r="J75" s="30" t="s">
        <v>118</v>
      </c>
      <c r="O75" s="33">
        <f>I75*0.21</f>
        <v>0</v>
      </c>
      <c r="P75">
        <v>3</v>
      </c>
    </row>
    <row r="76" spans="1:16" ht="187.2" x14ac:dyDescent="0.3">
      <c r="A76" s="27" t="s">
        <v>101</v>
      </c>
      <c r="B76" s="34"/>
      <c r="E76" s="29" t="s">
        <v>6315</v>
      </c>
      <c r="J76" s="35"/>
    </row>
    <row r="77" spans="1:16" ht="28.8" x14ac:dyDescent="0.3">
      <c r="A77" s="27" t="s">
        <v>103</v>
      </c>
      <c r="B77" s="34"/>
      <c r="E77" s="36" t="s">
        <v>6316</v>
      </c>
      <c r="J77" s="35"/>
    </row>
    <row r="78" spans="1:16" x14ac:dyDescent="0.3">
      <c r="A78" s="27" t="s">
        <v>103</v>
      </c>
      <c r="B78" s="34"/>
      <c r="E78" s="36" t="s">
        <v>6317</v>
      </c>
      <c r="J78" s="35"/>
    </row>
    <row r="79" spans="1:16" ht="115.2" x14ac:dyDescent="0.3">
      <c r="A79" s="27" t="s">
        <v>105</v>
      </c>
      <c r="B79" s="34"/>
      <c r="E79" s="29" t="s">
        <v>2360</v>
      </c>
      <c r="J79" s="35"/>
    </row>
    <row r="80" spans="1:16" x14ac:dyDescent="0.3">
      <c r="A80" s="21" t="s">
        <v>92</v>
      </c>
      <c r="B80" s="22"/>
      <c r="C80" s="23" t="s">
        <v>124</v>
      </c>
      <c r="D80" s="24"/>
      <c r="E80" s="21" t="s">
        <v>226</v>
      </c>
      <c r="F80" s="24"/>
      <c r="G80" s="24"/>
      <c r="H80" s="24"/>
      <c r="I80" s="25">
        <f>SUMIFS(I81:I107,A81:A107,"P")</f>
        <v>0</v>
      </c>
      <c r="J80" s="26"/>
    </row>
    <row r="81" spans="1:16" x14ac:dyDescent="0.3">
      <c r="A81" s="27" t="s">
        <v>95</v>
      </c>
      <c r="B81" s="27">
        <v>9</v>
      </c>
      <c r="C81" s="28" t="s">
        <v>697</v>
      </c>
      <c r="D81" s="27" t="s">
        <v>129</v>
      </c>
      <c r="E81" s="29" t="s">
        <v>698</v>
      </c>
      <c r="F81" s="30" t="s">
        <v>229</v>
      </c>
      <c r="G81" s="31">
        <v>254.018</v>
      </c>
      <c r="H81" s="32">
        <v>0</v>
      </c>
      <c r="I81" s="32">
        <f>ROUND(254.018*H81,P4)</f>
        <v>0</v>
      </c>
      <c r="J81" s="30" t="s">
        <v>118</v>
      </c>
      <c r="O81" s="33">
        <f>I81*0.21</f>
        <v>0</v>
      </c>
      <c r="P81">
        <v>3</v>
      </c>
    </row>
    <row r="82" spans="1:16" ht="158.4" x14ac:dyDescent="0.3">
      <c r="A82" s="27" t="s">
        <v>101</v>
      </c>
      <c r="B82" s="34"/>
      <c r="E82" s="29" t="s">
        <v>6273</v>
      </c>
      <c r="J82" s="35"/>
    </row>
    <row r="83" spans="1:16" ht="28.8" x14ac:dyDescent="0.3">
      <c r="A83" s="27" t="s">
        <v>103</v>
      </c>
      <c r="B83" s="34"/>
      <c r="E83" s="36" t="s">
        <v>6274</v>
      </c>
      <c r="J83" s="35"/>
    </row>
    <row r="84" spans="1:16" ht="28.8" x14ac:dyDescent="0.3">
      <c r="A84" s="27" t="s">
        <v>103</v>
      </c>
      <c r="B84" s="34"/>
      <c r="E84" s="36" t="s">
        <v>6275</v>
      </c>
      <c r="J84" s="35"/>
    </row>
    <row r="85" spans="1:16" ht="28.8" x14ac:dyDescent="0.3">
      <c r="A85" s="27" t="s">
        <v>103</v>
      </c>
      <c r="B85" s="34"/>
      <c r="E85" s="36" t="s">
        <v>6276</v>
      </c>
      <c r="J85" s="35"/>
    </row>
    <row r="86" spans="1:16" ht="28.8" x14ac:dyDescent="0.3">
      <c r="A86" s="27" t="s">
        <v>103</v>
      </c>
      <c r="B86" s="34"/>
      <c r="E86" s="36" t="s">
        <v>6277</v>
      </c>
      <c r="J86" s="35"/>
    </row>
    <row r="87" spans="1:16" ht="28.8" x14ac:dyDescent="0.3">
      <c r="A87" s="27" t="s">
        <v>103</v>
      </c>
      <c r="B87" s="34"/>
      <c r="E87" s="36" t="s">
        <v>6278</v>
      </c>
      <c r="J87" s="35"/>
    </row>
    <row r="88" spans="1:16" ht="28.8" x14ac:dyDescent="0.3">
      <c r="A88" s="27" t="s">
        <v>103</v>
      </c>
      <c r="B88" s="34"/>
      <c r="E88" s="36" t="s">
        <v>6279</v>
      </c>
      <c r="J88" s="35"/>
    </row>
    <row r="89" spans="1:16" ht="28.8" x14ac:dyDescent="0.3">
      <c r="A89" s="27" t="s">
        <v>103</v>
      </c>
      <c r="B89" s="34"/>
      <c r="E89" s="36" t="s">
        <v>6280</v>
      </c>
      <c r="J89" s="35"/>
    </row>
    <row r="90" spans="1:16" ht="28.8" x14ac:dyDescent="0.3">
      <c r="A90" s="27" t="s">
        <v>103</v>
      </c>
      <c r="B90" s="34"/>
      <c r="E90" s="36" t="s">
        <v>6281</v>
      </c>
      <c r="J90" s="35"/>
    </row>
    <row r="91" spans="1:16" ht="28.8" x14ac:dyDescent="0.3">
      <c r="A91" s="27" t="s">
        <v>103</v>
      </c>
      <c r="B91" s="34"/>
      <c r="E91" s="36" t="s">
        <v>6282</v>
      </c>
      <c r="J91" s="35"/>
    </row>
    <row r="92" spans="1:16" ht="28.8" x14ac:dyDescent="0.3">
      <c r="A92" s="27" t="s">
        <v>103</v>
      </c>
      <c r="B92" s="34"/>
      <c r="E92" s="36" t="s">
        <v>6283</v>
      </c>
      <c r="J92" s="35"/>
    </row>
    <row r="93" spans="1:16" ht="28.8" x14ac:dyDescent="0.3">
      <c r="A93" s="27" t="s">
        <v>103</v>
      </c>
      <c r="B93" s="34"/>
      <c r="E93" s="36" t="s">
        <v>6284</v>
      </c>
      <c r="J93" s="35"/>
    </row>
    <row r="94" spans="1:16" ht="28.8" x14ac:dyDescent="0.3">
      <c r="A94" s="27" t="s">
        <v>103</v>
      </c>
      <c r="B94" s="34"/>
      <c r="E94" s="36" t="s">
        <v>6285</v>
      </c>
      <c r="J94" s="35"/>
    </row>
    <row r="95" spans="1:16" x14ac:dyDescent="0.3">
      <c r="A95" s="27" t="s">
        <v>103</v>
      </c>
      <c r="B95" s="34"/>
      <c r="E95" s="36" t="s">
        <v>6286</v>
      </c>
      <c r="J95" s="35"/>
    </row>
    <row r="96" spans="1:16" ht="57.6" x14ac:dyDescent="0.3">
      <c r="A96" s="27" t="s">
        <v>105</v>
      </c>
      <c r="B96" s="34"/>
      <c r="E96" s="29" t="s">
        <v>765</v>
      </c>
      <c r="J96" s="35"/>
    </row>
    <row r="97" spans="1:16" x14ac:dyDescent="0.3">
      <c r="A97" s="27" t="s">
        <v>95</v>
      </c>
      <c r="B97" s="27">
        <v>10</v>
      </c>
      <c r="C97" s="28" t="s">
        <v>6318</v>
      </c>
      <c r="D97" s="27" t="s">
        <v>129</v>
      </c>
      <c r="E97" s="29" t="s">
        <v>6319</v>
      </c>
      <c r="F97" s="30" t="s">
        <v>248</v>
      </c>
      <c r="G97" s="31">
        <v>1117.088</v>
      </c>
      <c r="H97" s="32">
        <v>0</v>
      </c>
      <c r="I97" s="32">
        <f>ROUND(1117.088*H97,P4)</f>
        <v>0</v>
      </c>
      <c r="J97" s="30" t="s">
        <v>118</v>
      </c>
      <c r="O97" s="33">
        <f>I97*0.21</f>
        <v>0</v>
      </c>
      <c r="P97">
        <v>3</v>
      </c>
    </row>
    <row r="98" spans="1:16" ht="158.4" x14ac:dyDescent="0.3">
      <c r="A98" s="27" t="s">
        <v>101</v>
      </c>
      <c r="B98" s="34"/>
      <c r="E98" s="29" t="s">
        <v>6262</v>
      </c>
      <c r="J98" s="35"/>
    </row>
    <row r="99" spans="1:16" ht="28.8" x14ac:dyDescent="0.3">
      <c r="A99" s="27" t="s">
        <v>103</v>
      </c>
      <c r="B99" s="34"/>
      <c r="E99" s="36" t="s">
        <v>6320</v>
      </c>
      <c r="J99" s="35"/>
    </row>
    <row r="100" spans="1:16" ht="28.8" x14ac:dyDescent="0.3">
      <c r="A100" s="27" t="s">
        <v>103</v>
      </c>
      <c r="B100" s="34"/>
      <c r="E100" s="36" t="s">
        <v>6321</v>
      </c>
      <c r="J100" s="35"/>
    </row>
    <row r="101" spans="1:16" ht="28.8" x14ac:dyDescent="0.3">
      <c r="A101" s="27" t="s">
        <v>103</v>
      </c>
      <c r="B101" s="34"/>
      <c r="E101" s="36" t="s">
        <v>6322</v>
      </c>
      <c r="J101" s="35"/>
    </row>
    <row r="102" spans="1:16" ht="28.8" x14ac:dyDescent="0.3">
      <c r="A102" s="27" t="s">
        <v>103</v>
      </c>
      <c r="B102" s="34"/>
      <c r="E102" s="36" t="s">
        <v>6323</v>
      </c>
      <c r="J102" s="35"/>
    </row>
    <row r="103" spans="1:16" ht="28.8" x14ac:dyDescent="0.3">
      <c r="A103" s="27" t="s">
        <v>103</v>
      </c>
      <c r="B103" s="34"/>
      <c r="E103" s="36" t="s">
        <v>6324</v>
      </c>
      <c r="J103" s="35"/>
    </row>
    <row r="104" spans="1:16" ht="28.8" x14ac:dyDescent="0.3">
      <c r="A104" s="27" t="s">
        <v>103</v>
      </c>
      <c r="B104" s="34"/>
      <c r="E104" s="36" t="s">
        <v>6325</v>
      </c>
      <c r="J104" s="35"/>
    </row>
    <row r="105" spans="1:16" ht="28.8" x14ac:dyDescent="0.3">
      <c r="A105" s="27" t="s">
        <v>103</v>
      </c>
      <c r="B105" s="34"/>
      <c r="E105" s="36" t="s">
        <v>6326</v>
      </c>
      <c r="J105" s="35"/>
    </row>
    <row r="106" spans="1:16" x14ac:dyDescent="0.3">
      <c r="A106" s="27" t="s">
        <v>103</v>
      </c>
      <c r="B106" s="34"/>
      <c r="E106" s="36" t="s">
        <v>6327</v>
      </c>
      <c r="J106" s="35"/>
    </row>
    <row r="107" spans="1:16" ht="172.8" x14ac:dyDescent="0.3">
      <c r="A107" s="27" t="s">
        <v>105</v>
      </c>
      <c r="B107" s="37"/>
      <c r="C107" s="38"/>
      <c r="D107" s="38"/>
      <c r="E107" s="29" t="s">
        <v>6328</v>
      </c>
      <c r="F107" s="38"/>
      <c r="G107" s="38"/>
      <c r="H107" s="38"/>
      <c r="I107" s="38"/>
      <c r="J107" s="39"/>
    </row>
  </sheetData>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Rekapitulace_bez_nazvu_SO</vt:lpstr>
      <vt:lpstr>Rekapitulace bez_cen</vt:lpstr>
      <vt:lpstr>SO 000</vt:lpstr>
      <vt:lpstr>SO001a</vt:lpstr>
      <vt:lpstr>SO001b</vt:lpstr>
      <vt:lpstr>SO002</vt:lpstr>
      <vt:lpstr>SO051</vt:lpstr>
      <vt:lpstr>SO052</vt:lpstr>
      <vt:lpstr>SO053</vt:lpstr>
      <vt:lpstr>SO101101.01</vt:lpstr>
      <vt:lpstr>SO101101.02</vt:lpstr>
      <vt:lpstr>SO101101.03</vt:lpstr>
      <vt:lpstr>SO101101.04</vt:lpstr>
      <vt:lpstr>SO101101.05</vt:lpstr>
      <vt:lpstr>SO102102.01</vt:lpstr>
      <vt:lpstr>SO102102.02</vt:lpstr>
      <vt:lpstr>SO102102.03</vt:lpstr>
      <vt:lpstr>SO102102.04</vt:lpstr>
      <vt:lpstr>SO102102.05</vt:lpstr>
      <vt:lpstr>SO103103.01</vt:lpstr>
      <vt:lpstr>SO103103.02</vt:lpstr>
      <vt:lpstr>SO104</vt:lpstr>
      <vt:lpstr>SO105</vt:lpstr>
      <vt:lpstr>SO108108.01</vt:lpstr>
      <vt:lpstr>SO108108.02</vt:lpstr>
      <vt:lpstr>SO141</vt:lpstr>
      <vt:lpstr>SO142</vt:lpstr>
      <vt:lpstr>SO301301.01</vt:lpstr>
      <vt:lpstr>SO301301.02</vt:lpstr>
      <vt:lpstr>SO402</vt:lpstr>
      <vt:lpstr>SO413</vt:lpstr>
      <vt:lpstr>SO601</vt:lpstr>
      <vt:lpstr>SO701</vt:lpstr>
      <vt:lpstr>SO801a</vt:lpstr>
      <vt:lpstr>SO801b</vt:lpstr>
      <vt:lpstr>SO801c</vt:lpstr>
      <vt:lpstr>SO901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DESKTOP-PR7EI6K\Uzivatele</dc:creator>
  <cp:lastModifiedBy>David Janečka</cp:lastModifiedBy>
  <dcterms:created xsi:type="dcterms:W3CDTF">2024-10-10T07:43:23Z</dcterms:created>
  <dcterms:modified xsi:type="dcterms:W3CDTF">2024-10-10T07:47:57Z</dcterms:modified>
</cp:coreProperties>
</file>