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512" lockStructure="1"/>
  <bookViews>
    <workbookView xWindow="130" yWindow="600" windowWidth="30400" windowHeight="12990"/>
  </bookViews>
  <sheets>
    <sheet name="KRYCÍ LIST - CELKOVÝ" sheetId="15" r:id="rId1"/>
    <sheet name="Krycí list rozpočtu (D11-D14)" sheetId="1" r:id="rId2"/>
    <sheet name="VORN objektu (D11-D14)" sheetId="2" state="hidden" r:id="rId3"/>
    <sheet name="Stavební rozpočet (D11-D14)" sheetId="3" r:id="rId4"/>
    <sheet name="Krycí list rozpočtu (D14c)" sheetId="4" r:id="rId5"/>
    <sheet name="VORN objektu (D14c)" sheetId="5" state="hidden" r:id="rId6"/>
    <sheet name="Stavební rozpočet (D14c)" sheetId="6" r:id="rId7"/>
    <sheet name="Krycí list rozpočtu (D14d)" sheetId="7" r:id="rId8"/>
    <sheet name="VORN objektu (D14d)" sheetId="8" state="hidden" r:id="rId9"/>
    <sheet name="Stavební rozpočet (D14d)" sheetId="9" r:id="rId10"/>
    <sheet name="Krycí list rozpočtu (VORN)" sheetId="10" r:id="rId11"/>
    <sheet name="VORN objektu (VORN)" sheetId="11" state="hidden" r:id="rId12"/>
    <sheet name="Stavební rozpočet (VORN)" sheetId="12" r:id="rId13"/>
    <sheet name="Stavební rozpočet" sheetId="13" state="hidden" r:id="rId14"/>
  </sheets>
  <externalReferences>
    <externalReference r:id="rId15"/>
  </externalReferences>
  <definedNames>
    <definedName name="vorn_sum">[1]VORN!$I$36</definedName>
  </definedNames>
  <calcPr calcId="145621"/>
</workbook>
</file>

<file path=xl/calcChain.xml><?xml version="1.0" encoding="utf-8"?>
<calcChain xmlns="http://schemas.openxmlformats.org/spreadsheetml/2006/main">
  <c r="I25" i="15" l="1"/>
  <c r="I24" i="15" s="1"/>
  <c r="I23" i="15"/>
  <c r="I15" i="15"/>
  <c r="I22" i="15" s="1"/>
  <c r="I16" i="15"/>
  <c r="I17" i="15"/>
  <c r="I18" i="15"/>
  <c r="I19" i="15"/>
  <c r="I14" i="15"/>
  <c r="F23" i="15"/>
  <c r="F16" i="15"/>
  <c r="F15" i="15"/>
  <c r="F14" i="15"/>
  <c r="F22" i="15"/>
  <c r="H17" i="3" l="1"/>
  <c r="BJ841" i="13" l="1"/>
  <c r="BD841" i="13"/>
  <c r="AX841" i="13"/>
  <c r="AW841" i="13"/>
  <c r="BC841" i="13" s="1"/>
  <c r="AP841" i="13"/>
  <c r="BI841" i="13" s="1"/>
  <c r="AC841" i="13" s="1"/>
  <c r="AO841" i="13"/>
  <c r="BH841" i="13" s="1"/>
  <c r="AB841" i="13" s="1"/>
  <c r="AK841" i="13"/>
  <c r="AJ841" i="13"/>
  <c r="AH841" i="13"/>
  <c r="AG841" i="13"/>
  <c r="AF841" i="13"/>
  <c r="AE841" i="13"/>
  <c r="AD841" i="13"/>
  <c r="Z841" i="13"/>
  <c r="L841" i="13"/>
  <c r="BF841" i="13" s="1"/>
  <c r="I841" i="13"/>
  <c r="AL841" i="13" s="1"/>
  <c r="BJ840" i="13"/>
  <c r="BF840" i="13"/>
  <c r="BD840" i="13"/>
  <c r="AX840" i="13"/>
  <c r="AP840" i="13"/>
  <c r="BI840" i="13" s="1"/>
  <c r="AC840" i="13" s="1"/>
  <c r="AO840" i="13"/>
  <c r="AW840" i="13" s="1"/>
  <c r="AK840" i="13"/>
  <c r="AJ840" i="13"/>
  <c r="AH840" i="13"/>
  <c r="AG840" i="13"/>
  <c r="AF840" i="13"/>
  <c r="AE840" i="13"/>
  <c r="AD840" i="13"/>
  <c r="Z840" i="13"/>
  <c r="L840" i="13"/>
  <c r="I840" i="13"/>
  <c r="AL840" i="13" s="1"/>
  <c r="BJ839" i="13"/>
  <c r="BH839" i="13"/>
  <c r="BD839" i="13"/>
  <c r="AX839" i="13"/>
  <c r="AW839" i="13"/>
  <c r="AP839" i="13"/>
  <c r="BI839" i="13" s="1"/>
  <c r="AC839" i="13" s="1"/>
  <c r="AO839" i="13"/>
  <c r="AK839" i="13"/>
  <c r="AJ839" i="13"/>
  <c r="AH839" i="13"/>
  <c r="AG839" i="13"/>
  <c r="AF839" i="13"/>
  <c r="AE839" i="13"/>
  <c r="AD839" i="13"/>
  <c r="AB839" i="13"/>
  <c r="Z839" i="13"/>
  <c r="L839" i="13"/>
  <c r="BF839" i="13" s="1"/>
  <c r="I839" i="13"/>
  <c r="AL839" i="13" s="1"/>
  <c r="BJ838" i="13"/>
  <c r="BF838" i="13"/>
  <c r="BD838" i="13"/>
  <c r="AX838" i="13"/>
  <c r="AP838" i="13"/>
  <c r="BI838" i="13" s="1"/>
  <c r="AC838" i="13" s="1"/>
  <c r="AO838" i="13"/>
  <c r="AW838" i="13" s="1"/>
  <c r="AK838" i="13"/>
  <c r="AJ838" i="13"/>
  <c r="AH838" i="13"/>
  <c r="AG838" i="13"/>
  <c r="AF838" i="13"/>
  <c r="AE838" i="13"/>
  <c r="AD838" i="13"/>
  <c r="Z838" i="13"/>
  <c r="L838" i="13"/>
  <c r="I838" i="13"/>
  <c r="AL838" i="13" s="1"/>
  <c r="BJ837" i="13"/>
  <c r="BH837" i="13"/>
  <c r="BD837" i="13"/>
  <c r="AX837" i="13"/>
  <c r="AW837" i="13"/>
  <c r="BC837" i="13" s="1"/>
  <c r="AV837" i="13"/>
  <c r="AP837" i="13"/>
  <c r="BI837" i="13" s="1"/>
  <c r="AC837" i="13" s="1"/>
  <c r="AO837" i="13"/>
  <c r="AK837" i="13"/>
  <c r="AJ837" i="13"/>
  <c r="AS836" i="13" s="1"/>
  <c r="AH837" i="13"/>
  <c r="AG837" i="13"/>
  <c r="AF837" i="13"/>
  <c r="AE837" i="13"/>
  <c r="AD837" i="13"/>
  <c r="AB837" i="13"/>
  <c r="Z837" i="13"/>
  <c r="L837" i="13"/>
  <c r="I837" i="13"/>
  <c r="BJ835" i="13"/>
  <c r="BD835" i="13"/>
  <c r="AW835" i="13"/>
  <c r="AP835" i="13"/>
  <c r="AO835" i="13"/>
  <c r="BH835" i="13" s="1"/>
  <c r="AB835" i="13" s="1"/>
  <c r="AL835" i="13"/>
  <c r="AK835" i="13"/>
  <c r="AJ835" i="13"/>
  <c r="AH835" i="13"/>
  <c r="AG835" i="13"/>
  <c r="AF835" i="13"/>
  <c r="AE835" i="13"/>
  <c r="AD835" i="13"/>
  <c r="Z835" i="13"/>
  <c r="L835" i="13"/>
  <c r="BF835" i="13" s="1"/>
  <c r="I835" i="13"/>
  <c r="BJ834" i="13"/>
  <c r="BI834" i="13"/>
  <c r="AC834" i="13" s="1"/>
  <c r="BH834" i="13"/>
  <c r="AB834" i="13" s="1"/>
  <c r="BD834" i="13"/>
  <c r="AX834" i="13"/>
  <c r="AP834" i="13"/>
  <c r="AO834" i="13"/>
  <c r="AW834" i="13" s="1"/>
  <c r="AK834" i="13"/>
  <c r="AJ834" i="13"/>
  <c r="AH834" i="13"/>
  <c r="AG834" i="13"/>
  <c r="AF834" i="13"/>
  <c r="AE834" i="13"/>
  <c r="AD834" i="13"/>
  <c r="Z834" i="13"/>
  <c r="L834" i="13"/>
  <c r="BF834" i="13" s="1"/>
  <c r="I834" i="13"/>
  <c r="AL834" i="13" s="1"/>
  <c r="BJ833" i="13"/>
  <c r="BD833" i="13"/>
  <c r="AW833" i="13"/>
  <c r="AP833" i="13"/>
  <c r="AO833" i="13"/>
  <c r="BH833" i="13" s="1"/>
  <c r="AB833" i="13" s="1"/>
  <c r="AK833" i="13"/>
  <c r="AJ833" i="13"/>
  <c r="AH833" i="13"/>
  <c r="AG833" i="13"/>
  <c r="AF833" i="13"/>
  <c r="AE833" i="13"/>
  <c r="AD833" i="13"/>
  <c r="Z833" i="13"/>
  <c r="L833" i="13"/>
  <c r="BF833" i="13" s="1"/>
  <c r="I833" i="13"/>
  <c r="AL833" i="13" s="1"/>
  <c r="BJ832" i="13"/>
  <c r="BI832" i="13"/>
  <c r="BH832" i="13"/>
  <c r="AB832" i="13" s="1"/>
  <c r="BF832" i="13"/>
  <c r="BD832" i="13"/>
  <c r="AX832" i="13"/>
  <c r="AP832" i="13"/>
  <c r="AO832" i="13"/>
  <c r="AW832" i="13" s="1"/>
  <c r="AK832" i="13"/>
  <c r="AT831" i="13" s="1"/>
  <c r="AJ832" i="13"/>
  <c r="AH832" i="13"/>
  <c r="AG832" i="13"/>
  <c r="AF832" i="13"/>
  <c r="AE832" i="13"/>
  <c r="AD832" i="13"/>
  <c r="AC832" i="13"/>
  <c r="Z832" i="13"/>
  <c r="L832" i="13"/>
  <c r="I832" i="13"/>
  <c r="AL832" i="13" s="1"/>
  <c r="AS831" i="13"/>
  <c r="BJ829" i="13"/>
  <c r="BI829" i="13"/>
  <c r="AG829" i="13" s="1"/>
  <c r="BH829" i="13"/>
  <c r="BF829" i="13"/>
  <c r="BD829" i="13"/>
  <c r="AW829" i="13"/>
  <c r="AP829" i="13"/>
  <c r="AX829" i="13" s="1"/>
  <c r="AO829" i="13"/>
  <c r="AK829" i="13"/>
  <c r="AJ829" i="13"/>
  <c r="AH829" i="13"/>
  <c r="AF829" i="13"/>
  <c r="AE829" i="13"/>
  <c r="AD829" i="13"/>
  <c r="AC829" i="13"/>
  <c r="AB829" i="13"/>
  <c r="Z829" i="13"/>
  <c r="L829" i="13"/>
  <c r="I829" i="13"/>
  <c r="AL829" i="13" s="1"/>
  <c r="BJ828" i="13"/>
  <c r="BD828" i="13"/>
  <c r="AX828" i="13"/>
  <c r="AP828" i="13"/>
  <c r="BI828" i="13" s="1"/>
  <c r="AC828" i="13" s="1"/>
  <c r="AO828" i="13"/>
  <c r="AL828" i="13"/>
  <c r="AK828" i="13"/>
  <c r="AJ828" i="13"/>
  <c r="AH828" i="13"/>
  <c r="AG828" i="13"/>
  <c r="AF828" i="13"/>
  <c r="AE828" i="13"/>
  <c r="AD828" i="13"/>
  <c r="Z828" i="13"/>
  <c r="L828" i="13"/>
  <c r="BF828" i="13" s="1"/>
  <c r="I828" i="13"/>
  <c r="BJ827" i="13"/>
  <c r="BI827" i="13"/>
  <c r="AG827" i="13" s="1"/>
  <c r="BH827" i="13"/>
  <c r="BF827" i="13"/>
  <c r="BD827" i="13"/>
  <c r="AW827" i="13"/>
  <c r="AP827" i="13"/>
  <c r="AX827" i="13" s="1"/>
  <c r="AO827" i="13"/>
  <c r="AK827" i="13"/>
  <c r="AJ827" i="13"/>
  <c r="AH827" i="13"/>
  <c r="AF827" i="13"/>
  <c r="AE827" i="13"/>
  <c r="AD827" i="13"/>
  <c r="AC827" i="13"/>
  <c r="AB827" i="13"/>
  <c r="Z827" i="13"/>
  <c r="L827" i="13"/>
  <c r="I827" i="13"/>
  <c r="AL827" i="13" s="1"/>
  <c r="BJ826" i="13"/>
  <c r="BD826" i="13"/>
  <c r="AX826" i="13"/>
  <c r="AP826" i="13"/>
  <c r="BI826" i="13" s="1"/>
  <c r="AC826" i="13" s="1"/>
  <c r="AO826" i="13"/>
  <c r="AL826" i="13"/>
  <c r="AK826" i="13"/>
  <c r="AJ826" i="13"/>
  <c r="AH826" i="13"/>
  <c r="AG826" i="13"/>
  <c r="AF826" i="13"/>
  <c r="AE826" i="13"/>
  <c r="AD826" i="13"/>
  <c r="Z826" i="13"/>
  <c r="L826" i="13"/>
  <c r="BF826" i="13" s="1"/>
  <c r="I826" i="13"/>
  <c r="BJ825" i="13"/>
  <c r="BI825" i="13"/>
  <c r="BH825" i="13"/>
  <c r="AB825" i="13" s="1"/>
  <c r="BF825" i="13"/>
  <c r="BD825" i="13"/>
  <c r="AW825" i="13"/>
  <c r="AP825" i="13"/>
  <c r="AX825" i="13" s="1"/>
  <c r="AO825" i="13"/>
  <c r="AK825" i="13"/>
  <c r="AJ825" i="13"/>
  <c r="AH825" i="13"/>
  <c r="AG825" i="13"/>
  <c r="AF825" i="13"/>
  <c r="AE825" i="13"/>
  <c r="AD825" i="13"/>
  <c r="AC825" i="13"/>
  <c r="Z825" i="13"/>
  <c r="L825" i="13"/>
  <c r="I825" i="13"/>
  <c r="AL825" i="13" s="1"/>
  <c r="BJ824" i="13"/>
  <c r="BD824" i="13"/>
  <c r="AX824" i="13"/>
  <c r="AP824" i="13"/>
  <c r="BI824" i="13" s="1"/>
  <c r="AC824" i="13" s="1"/>
  <c r="AO824" i="13"/>
  <c r="AL824" i="13"/>
  <c r="AK824" i="13"/>
  <c r="AJ824" i="13"/>
  <c r="AH824" i="13"/>
  <c r="AG824" i="13"/>
  <c r="AF824" i="13"/>
  <c r="AE824" i="13"/>
  <c r="AD824" i="13"/>
  <c r="Z824" i="13"/>
  <c r="L824" i="13"/>
  <c r="BF824" i="13" s="1"/>
  <c r="I824" i="13"/>
  <c r="BJ823" i="13"/>
  <c r="BI823" i="13"/>
  <c r="BH823" i="13"/>
  <c r="BF823" i="13"/>
  <c r="BD823" i="13"/>
  <c r="AW823" i="13"/>
  <c r="AP823" i="13"/>
  <c r="AX823" i="13" s="1"/>
  <c r="AO823" i="13"/>
  <c r="AK823" i="13"/>
  <c r="AJ823" i="13"/>
  <c r="AH823" i="13"/>
  <c r="AG823" i="13"/>
  <c r="AF823" i="13"/>
  <c r="AE823" i="13"/>
  <c r="AD823" i="13"/>
  <c r="AC823" i="13"/>
  <c r="AB823" i="13"/>
  <c r="Z823" i="13"/>
  <c r="L823" i="13"/>
  <c r="I823" i="13"/>
  <c r="AL823" i="13" s="1"/>
  <c r="BJ822" i="13"/>
  <c r="BD822" i="13"/>
  <c r="AX822" i="13"/>
  <c r="AP822" i="13"/>
  <c r="BI822" i="13" s="1"/>
  <c r="AC822" i="13" s="1"/>
  <c r="AO822" i="13"/>
  <c r="AL822" i="13"/>
  <c r="AK822" i="13"/>
  <c r="AJ822" i="13"/>
  <c r="AH822" i="13"/>
  <c r="AG822" i="13"/>
  <c r="AF822" i="13"/>
  <c r="AE822" i="13"/>
  <c r="AD822" i="13"/>
  <c r="Z822" i="13"/>
  <c r="L822" i="13"/>
  <c r="BF822" i="13" s="1"/>
  <c r="I822" i="13"/>
  <c r="BJ821" i="13"/>
  <c r="BI821" i="13"/>
  <c r="BH821" i="13"/>
  <c r="BF821" i="13"/>
  <c r="BD821" i="13"/>
  <c r="AW821" i="13"/>
  <c r="AP821" i="13"/>
  <c r="AX821" i="13" s="1"/>
  <c r="AO821" i="13"/>
  <c r="AK821" i="13"/>
  <c r="AJ821" i="13"/>
  <c r="AH821" i="13"/>
  <c r="AG821" i="13"/>
  <c r="AF821" i="13"/>
  <c r="AE821" i="13"/>
  <c r="AD821" i="13"/>
  <c r="AC821" i="13"/>
  <c r="AB821" i="13"/>
  <c r="Z821" i="13"/>
  <c r="L821" i="13"/>
  <c r="I821" i="13"/>
  <c r="AL821" i="13" s="1"/>
  <c r="BJ820" i="13"/>
  <c r="BD820" i="13"/>
  <c r="AX820" i="13"/>
  <c r="AP820" i="13"/>
  <c r="BI820" i="13" s="1"/>
  <c r="AC820" i="13" s="1"/>
  <c r="AO820" i="13"/>
  <c r="AL820" i="13"/>
  <c r="AK820" i="13"/>
  <c r="AJ820" i="13"/>
  <c r="AH820" i="13"/>
  <c r="AG820" i="13"/>
  <c r="AF820" i="13"/>
  <c r="AE820" i="13"/>
  <c r="AD820" i="13"/>
  <c r="Z820" i="13"/>
  <c r="L820" i="13"/>
  <c r="BF820" i="13" s="1"/>
  <c r="I820" i="13"/>
  <c r="BJ819" i="13"/>
  <c r="BI819" i="13"/>
  <c r="BH819" i="13"/>
  <c r="AB819" i="13" s="1"/>
  <c r="BF819" i="13"/>
  <c r="BD819" i="13"/>
  <c r="AW819" i="13"/>
  <c r="AP819" i="13"/>
  <c r="AX819" i="13" s="1"/>
  <c r="AO819" i="13"/>
  <c r="AK819" i="13"/>
  <c r="AJ819" i="13"/>
  <c r="AH819" i="13"/>
  <c r="AG819" i="13"/>
  <c r="AF819" i="13"/>
  <c r="AE819" i="13"/>
  <c r="AD819" i="13"/>
  <c r="AC819" i="13"/>
  <c r="Z819" i="13"/>
  <c r="L819" i="13"/>
  <c r="I819" i="13"/>
  <c r="AL819" i="13" s="1"/>
  <c r="BJ818" i="13"/>
  <c r="BD818" i="13"/>
  <c r="AX818" i="13"/>
  <c r="AP818" i="13"/>
  <c r="BI818" i="13" s="1"/>
  <c r="AC818" i="13" s="1"/>
  <c r="AO818" i="13"/>
  <c r="AL818" i="13"/>
  <c r="AK818" i="13"/>
  <c r="AJ818" i="13"/>
  <c r="AH818" i="13"/>
  <c r="AG818" i="13"/>
  <c r="AF818" i="13"/>
  <c r="AE818" i="13"/>
  <c r="AD818" i="13"/>
  <c r="Z818" i="13"/>
  <c r="L818" i="13"/>
  <c r="BF818" i="13" s="1"/>
  <c r="I818" i="13"/>
  <c r="BJ817" i="13"/>
  <c r="BI817" i="13"/>
  <c r="BH817" i="13"/>
  <c r="BF817" i="13"/>
  <c r="BD817" i="13"/>
  <c r="AW817" i="13"/>
  <c r="AP817" i="13"/>
  <c r="AX817" i="13" s="1"/>
  <c r="AO817" i="13"/>
  <c r="AK817" i="13"/>
  <c r="AJ817" i="13"/>
  <c r="AH817" i="13"/>
  <c r="AG817" i="13"/>
  <c r="AF817" i="13"/>
  <c r="AE817" i="13"/>
  <c r="AD817" i="13"/>
  <c r="AC817" i="13"/>
  <c r="AB817" i="13"/>
  <c r="Z817" i="13"/>
  <c r="L817" i="13"/>
  <c r="I817" i="13"/>
  <c r="AL817" i="13" s="1"/>
  <c r="BJ816" i="13"/>
  <c r="BD816" i="13"/>
  <c r="AX816" i="13"/>
  <c r="AP816" i="13"/>
  <c r="BI816" i="13" s="1"/>
  <c r="AC816" i="13" s="1"/>
  <c r="AO816" i="13"/>
  <c r="AL816" i="13"/>
  <c r="AK816" i="13"/>
  <c r="AJ816" i="13"/>
  <c r="AH816" i="13"/>
  <c r="AG816" i="13"/>
  <c r="AF816" i="13"/>
  <c r="AE816" i="13"/>
  <c r="AD816" i="13"/>
  <c r="Z816" i="13"/>
  <c r="L816" i="13"/>
  <c r="BF816" i="13" s="1"/>
  <c r="I816" i="13"/>
  <c r="BJ815" i="13"/>
  <c r="BI815" i="13"/>
  <c r="BH815" i="13"/>
  <c r="AB815" i="13" s="1"/>
  <c r="BF815" i="13"/>
  <c r="BD815" i="13"/>
  <c r="AW815" i="13"/>
  <c r="AP815" i="13"/>
  <c r="AX815" i="13" s="1"/>
  <c r="AO815" i="13"/>
  <c r="AK815" i="13"/>
  <c r="AJ815" i="13"/>
  <c r="AH815" i="13"/>
  <c r="AG815" i="13"/>
  <c r="AF815" i="13"/>
  <c r="AE815" i="13"/>
  <c r="AD815" i="13"/>
  <c r="AC815" i="13"/>
  <c r="Z815" i="13"/>
  <c r="L815" i="13"/>
  <c r="I815" i="13"/>
  <c r="AL815" i="13" s="1"/>
  <c r="BJ814" i="13"/>
  <c r="BD814" i="13"/>
  <c r="AX814" i="13"/>
  <c r="AP814" i="13"/>
  <c r="BI814" i="13" s="1"/>
  <c r="AC814" i="13" s="1"/>
  <c r="AO814" i="13"/>
  <c r="AL814" i="13"/>
  <c r="AK814" i="13"/>
  <c r="AJ814" i="13"/>
  <c r="AH814" i="13"/>
  <c r="AG814" i="13"/>
  <c r="AF814" i="13"/>
  <c r="AE814" i="13"/>
  <c r="AD814" i="13"/>
  <c r="Z814" i="13"/>
  <c r="L814" i="13"/>
  <c r="BF814" i="13" s="1"/>
  <c r="I814" i="13"/>
  <c r="BJ813" i="13"/>
  <c r="BI813" i="13"/>
  <c r="BH813" i="13"/>
  <c r="AB813" i="13" s="1"/>
  <c r="BF813" i="13"/>
  <c r="BD813" i="13"/>
  <c r="AW813" i="13"/>
  <c r="AP813" i="13"/>
  <c r="AX813" i="13" s="1"/>
  <c r="AO813" i="13"/>
  <c r="AK813" i="13"/>
  <c r="AJ813" i="13"/>
  <c r="AH813" i="13"/>
  <c r="AG813" i="13"/>
  <c r="AF813" i="13"/>
  <c r="AE813" i="13"/>
  <c r="AD813" i="13"/>
  <c r="AC813" i="13"/>
  <c r="Z813" i="13"/>
  <c r="L813" i="13"/>
  <c r="I813" i="13"/>
  <c r="AL813" i="13" s="1"/>
  <c r="BJ812" i="13"/>
  <c r="BD812" i="13"/>
  <c r="AX812" i="13"/>
  <c r="AP812" i="13"/>
  <c r="BI812" i="13" s="1"/>
  <c r="AC812" i="13" s="1"/>
  <c r="AO812" i="13"/>
  <c r="AL812" i="13"/>
  <c r="AK812" i="13"/>
  <c r="AJ812" i="13"/>
  <c r="AH812" i="13"/>
  <c r="AG812" i="13"/>
  <c r="AF812" i="13"/>
  <c r="AE812" i="13"/>
  <c r="AD812" i="13"/>
  <c r="Z812" i="13"/>
  <c r="L812" i="13"/>
  <c r="BF812" i="13" s="1"/>
  <c r="I812" i="13"/>
  <c r="BJ811" i="13"/>
  <c r="BI811" i="13"/>
  <c r="BH811" i="13"/>
  <c r="BF811" i="13"/>
  <c r="BD811" i="13"/>
  <c r="AW811" i="13"/>
  <c r="AP811" i="13"/>
  <c r="AX811" i="13" s="1"/>
  <c r="AO811" i="13"/>
  <c r="AK811" i="13"/>
  <c r="AJ811" i="13"/>
  <c r="AH811" i="13"/>
  <c r="AG811" i="13"/>
  <c r="AF811" i="13"/>
  <c r="AE811" i="13"/>
  <c r="AD811" i="13"/>
  <c r="AC811" i="13"/>
  <c r="AB811" i="13"/>
  <c r="Z811" i="13"/>
  <c r="L811" i="13"/>
  <c r="I811" i="13"/>
  <c r="AL811" i="13" s="1"/>
  <c r="BJ810" i="13"/>
  <c r="BD810" i="13"/>
  <c r="AX810" i="13"/>
  <c r="AP810" i="13"/>
  <c r="BI810" i="13" s="1"/>
  <c r="AC810" i="13" s="1"/>
  <c r="AO810" i="13"/>
  <c r="AL810" i="13"/>
  <c r="AK810" i="13"/>
  <c r="AJ810" i="13"/>
  <c r="AH810" i="13"/>
  <c r="AG810" i="13"/>
  <c r="AF810" i="13"/>
  <c r="AE810" i="13"/>
  <c r="AD810" i="13"/>
  <c r="Z810" i="13"/>
  <c r="L810" i="13"/>
  <c r="BF810" i="13" s="1"/>
  <c r="I810" i="13"/>
  <c r="BJ809" i="13"/>
  <c r="BI809" i="13"/>
  <c r="BH809" i="13"/>
  <c r="AB809" i="13" s="1"/>
  <c r="BF809" i="13"/>
  <c r="BD809" i="13"/>
  <c r="AW809" i="13"/>
  <c r="AP809" i="13"/>
  <c r="AX809" i="13" s="1"/>
  <c r="AO809" i="13"/>
  <c r="AK809" i="13"/>
  <c r="AJ809" i="13"/>
  <c r="AH809" i="13"/>
  <c r="AG809" i="13"/>
  <c r="AF809" i="13"/>
  <c r="AE809" i="13"/>
  <c r="AD809" i="13"/>
  <c r="AC809" i="13"/>
  <c r="Z809" i="13"/>
  <c r="L809" i="13"/>
  <c r="I809" i="13"/>
  <c r="AL809" i="13" s="1"/>
  <c r="BJ808" i="13"/>
  <c r="BD808" i="13"/>
  <c r="AX808" i="13"/>
  <c r="AP808" i="13"/>
  <c r="BI808" i="13" s="1"/>
  <c r="AC808" i="13" s="1"/>
  <c r="AO808" i="13"/>
  <c r="AL808" i="13"/>
  <c r="AK808" i="13"/>
  <c r="AJ808" i="13"/>
  <c r="AH808" i="13"/>
  <c r="AG808" i="13"/>
  <c r="AF808" i="13"/>
  <c r="AE808" i="13"/>
  <c r="AD808" i="13"/>
  <c r="Z808" i="13"/>
  <c r="L808" i="13"/>
  <c r="BF808" i="13" s="1"/>
  <c r="I808" i="13"/>
  <c r="BJ807" i="13"/>
  <c r="BI807" i="13"/>
  <c r="BH807" i="13"/>
  <c r="BF807" i="13"/>
  <c r="BD807" i="13"/>
  <c r="AW807" i="13"/>
  <c r="AP807" i="13"/>
  <c r="AX807" i="13" s="1"/>
  <c r="AO807" i="13"/>
  <c r="AK807" i="13"/>
  <c r="AJ807" i="13"/>
  <c r="AH807" i="13"/>
  <c r="AG807" i="13"/>
  <c r="AF807" i="13"/>
  <c r="AE807" i="13"/>
  <c r="AD807" i="13"/>
  <c r="AC807" i="13"/>
  <c r="AB807" i="13"/>
  <c r="Z807" i="13"/>
  <c r="L807" i="13"/>
  <c r="I807" i="13"/>
  <c r="AL807" i="13" s="1"/>
  <c r="BJ806" i="13"/>
  <c r="BD806" i="13"/>
  <c r="AX806" i="13"/>
  <c r="AP806" i="13"/>
  <c r="BI806" i="13" s="1"/>
  <c r="AC806" i="13" s="1"/>
  <c r="AO806" i="13"/>
  <c r="AL806" i="13"/>
  <c r="AK806" i="13"/>
  <c r="AJ806" i="13"/>
  <c r="AH806" i="13"/>
  <c r="AG806" i="13"/>
  <c r="AF806" i="13"/>
  <c r="AE806" i="13"/>
  <c r="AD806" i="13"/>
  <c r="Z806" i="13"/>
  <c r="L806" i="13"/>
  <c r="BF806" i="13" s="1"/>
  <c r="I806" i="13"/>
  <c r="BJ805" i="13"/>
  <c r="BI805" i="13"/>
  <c r="BH805" i="13"/>
  <c r="BF805" i="13"/>
  <c r="BD805" i="13"/>
  <c r="AW805" i="13"/>
  <c r="AP805" i="13"/>
  <c r="AX805" i="13" s="1"/>
  <c r="AO805" i="13"/>
  <c r="AK805" i="13"/>
  <c r="AJ805" i="13"/>
  <c r="AH805" i="13"/>
  <c r="AG805" i="13"/>
  <c r="AF805" i="13"/>
  <c r="AE805" i="13"/>
  <c r="AD805" i="13"/>
  <c r="AC805" i="13"/>
  <c r="AB805" i="13"/>
  <c r="Z805" i="13"/>
  <c r="L805" i="13"/>
  <c r="I805" i="13"/>
  <c r="AL805" i="13" s="1"/>
  <c r="BJ804" i="13"/>
  <c r="BD804" i="13"/>
  <c r="AX804" i="13"/>
  <c r="AP804" i="13"/>
  <c r="BI804" i="13" s="1"/>
  <c r="AC804" i="13" s="1"/>
  <c r="AO804" i="13"/>
  <c r="AL804" i="13"/>
  <c r="AK804" i="13"/>
  <c r="AJ804" i="13"/>
  <c r="AH804" i="13"/>
  <c r="AG804" i="13"/>
  <c r="AF804" i="13"/>
  <c r="AE804" i="13"/>
  <c r="AD804" i="13"/>
  <c r="Z804" i="13"/>
  <c r="L804" i="13"/>
  <c r="BF804" i="13" s="1"/>
  <c r="I804" i="13"/>
  <c r="BJ803" i="13"/>
  <c r="BI803" i="13"/>
  <c r="BH803" i="13"/>
  <c r="BF803" i="13"/>
  <c r="BD803" i="13"/>
  <c r="AW803" i="13"/>
  <c r="AP803" i="13"/>
  <c r="AX803" i="13" s="1"/>
  <c r="AO803" i="13"/>
  <c r="AK803" i="13"/>
  <c r="AJ803" i="13"/>
  <c r="AH803" i="13"/>
  <c r="AG803" i="13"/>
  <c r="AF803" i="13"/>
  <c r="AE803" i="13"/>
  <c r="AD803" i="13"/>
  <c r="AC803" i="13"/>
  <c r="AB803" i="13"/>
  <c r="Z803" i="13"/>
  <c r="L803" i="13"/>
  <c r="I803" i="13"/>
  <c r="AL803" i="13" s="1"/>
  <c r="BJ802" i="13"/>
  <c r="BD802" i="13"/>
  <c r="AX802" i="13"/>
  <c r="AP802" i="13"/>
  <c r="BI802" i="13" s="1"/>
  <c r="AC802" i="13" s="1"/>
  <c r="AO802" i="13"/>
  <c r="AL802" i="13"/>
  <c r="AU801" i="13" s="1"/>
  <c r="AK802" i="13"/>
  <c r="AJ802" i="13"/>
  <c r="AH802" i="13"/>
  <c r="AG802" i="13"/>
  <c r="AF802" i="13"/>
  <c r="AE802" i="13"/>
  <c r="AD802" i="13"/>
  <c r="Z802" i="13"/>
  <c r="L802" i="13"/>
  <c r="BF802" i="13" s="1"/>
  <c r="I802" i="13"/>
  <c r="AS801" i="13"/>
  <c r="BJ799" i="13"/>
  <c r="BD799" i="13"/>
  <c r="AW799" i="13"/>
  <c r="AP799" i="13"/>
  <c r="AO799" i="13"/>
  <c r="BH799" i="13" s="1"/>
  <c r="AF799" i="13" s="1"/>
  <c r="AL799" i="13"/>
  <c r="AK799" i="13"/>
  <c r="AJ799" i="13"/>
  <c r="AH799" i="13"/>
  <c r="AE799" i="13"/>
  <c r="AD799" i="13"/>
  <c r="AC799" i="13"/>
  <c r="AB799" i="13"/>
  <c r="Z799" i="13"/>
  <c r="L799" i="13"/>
  <c r="BF799" i="13" s="1"/>
  <c r="I799" i="13"/>
  <c r="BJ798" i="13"/>
  <c r="BI798" i="13"/>
  <c r="AG798" i="13" s="1"/>
  <c r="BH798" i="13"/>
  <c r="BF798" i="13"/>
  <c r="BD798" i="13"/>
  <c r="BC798" i="13"/>
  <c r="AV798" i="13"/>
  <c r="AP798" i="13"/>
  <c r="AX798" i="13" s="1"/>
  <c r="AO798" i="13"/>
  <c r="AW798" i="13" s="1"/>
  <c r="AL798" i="13"/>
  <c r="AK798" i="13"/>
  <c r="AJ798" i="13"/>
  <c r="AH798" i="13"/>
  <c r="AF798" i="13"/>
  <c r="AE798" i="13"/>
  <c r="AD798" i="13"/>
  <c r="AC798" i="13"/>
  <c r="AB798" i="13"/>
  <c r="Z798" i="13"/>
  <c r="L798" i="13"/>
  <c r="I798" i="13"/>
  <c r="BJ797" i="13"/>
  <c r="BD797" i="13"/>
  <c r="AW797" i="13"/>
  <c r="AP797" i="13"/>
  <c r="AO797" i="13"/>
  <c r="BH797" i="13" s="1"/>
  <c r="AF797" i="13" s="1"/>
  <c r="AK797" i="13"/>
  <c r="AJ797" i="13"/>
  <c r="AH797" i="13"/>
  <c r="AE797" i="13"/>
  <c r="AD797" i="13"/>
  <c r="AC797" i="13"/>
  <c r="AB797" i="13"/>
  <c r="Z797" i="13"/>
  <c r="L797" i="13"/>
  <c r="BF797" i="13" s="1"/>
  <c r="I797" i="13"/>
  <c r="AL797" i="13" s="1"/>
  <c r="BJ796" i="13"/>
  <c r="BI796" i="13"/>
  <c r="BH796" i="13"/>
  <c r="BF796" i="13"/>
  <c r="BD796" i="13"/>
  <c r="BC796" i="13"/>
  <c r="AP796" i="13"/>
  <c r="AX796" i="13" s="1"/>
  <c r="AO796" i="13"/>
  <c r="AW796" i="13" s="1"/>
  <c r="AV796" i="13" s="1"/>
  <c r="AL796" i="13"/>
  <c r="AK796" i="13"/>
  <c r="AJ796" i="13"/>
  <c r="AH796" i="13"/>
  <c r="AG796" i="13"/>
  <c r="AF796" i="13"/>
  <c r="AE796" i="13"/>
  <c r="AD796" i="13"/>
  <c r="AC796" i="13"/>
  <c r="AB796" i="13"/>
  <c r="Z796" i="13"/>
  <c r="L796" i="13"/>
  <c r="I796" i="13"/>
  <c r="BJ795" i="13"/>
  <c r="BD795" i="13"/>
  <c r="AW795" i="13"/>
  <c r="AP795" i="13"/>
  <c r="AO795" i="13"/>
  <c r="BH795" i="13" s="1"/>
  <c r="AB795" i="13" s="1"/>
  <c r="AL795" i="13"/>
  <c r="AK795" i="13"/>
  <c r="AJ795" i="13"/>
  <c r="AH795" i="13"/>
  <c r="AG795" i="13"/>
  <c r="AF795" i="13"/>
  <c r="AE795" i="13"/>
  <c r="AD795" i="13"/>
  <c r="Z795" i="13"/>
  <c r="L795" i="13"/>
  <c r="BF795" i="13" s="1"/>
  <c r="I795" i="13"/>
  <c r="BJ794" i="13"/>
  <c r="BI794" i="13"/>
  <c r="BH794" i="13"/>
  <c r="BF794" i="13"/>
  <c r="BD794" i="13"/>
  <c r="BC794" i="13"/>
  <c r="AV794" i="13"/>
  <c r="AP794" i="13"/>
  <c r="AX794" i="13" s="1"/>
  <c r="AO794" i="13"/>
  <c r="AW794" i="13" s="1"/>
  <c r="AL794" i="13"/>
  <c r="AK794" i="13"/>
  <c r="AJ794" i="13"/>
  <c r="AH794" i="13"/>
  <c r="AG794" i="13"/>
  <c r="AF794" i="13"/>
  <c r="AE794" i="13"/>
  <c r="AD794" i="13"/>
  <c r="AC794" i="13"/>
  <c r="AB794" i="13"/>
  <c r="Z794" i="13"/>
  <c r="L794" i="13"/>
  <c r="I794" i="13"/>
  <c r="BJ793" i="13"/>
  <c r="BD793" i="13"/>
  <c r="AW793" i="13"/>
  <c r="AP793" i="13"/>
  <c r="AO793" i="13"/>
  <c r="BH793" i="13" s="1"/>
  <c r="AK793" i="13"/>
  <c r="AJ793" i="13"/>
  <c r="AH793" i="13"/>
  <c r="AF793" i="13"/>
  <c r="AE793" i="13"/>
  <c r="AD793" i="13"/>
  <c r="AC793" i="13"/>
  <c r="AB793" i="13"/>
  <c r="Z793" i="13"/>
  <c r="L793" i="13"/>
  <c r="BF793" i="13" s="1"/>
  <c r="I793" i="13"/>
  <c r="AL793" i="13" s="1"/>
  <c r="BJ792" i="13"/>
  <c r="BI792" i="13"/>
  <c r="BH792" i="13"/>
  <c r="BF792" i="13"/>
  <c r="BD792" i="13"/>
  <c r="BC792" i="13"/>
  <c r="AV792" i="13"/>
  <c r="AP792" i="13"/>
  <c r="AX792" i="13" s="1"/>
  <c r="AO792" i="13"/>
  <c r="AW792" i="13" s="1"/>
  <c r="AL792" i="13"/>
  <c r="AK792" i="13"/>
  <c r="AJ792" i="13"/>
  <c r="AH792" i="13"/>
  <c r="AG792" i="13"/>
  <c r="AF792" i="13"/>
  <c r="AE792" i="13"/>
  <c r="AD792" i="13"/>
  <c r="AC792" i="13"/>
  <c r="AB792" i="13"/>
  <c r="Z792" i="13"/>
  <c r="L792" i="13"/>
  <c r="I792" i="13"/>
  <c r="BJ791" i="13"/>
  <c r="BI791" i="13"/>
  <c r="AG791" i="13" s="1"/>
  <c r="BD791" i="13"/>
  <c r="AW791" i="13"/>
  <c r="AP791" i="13"/>
  <c r="AX791" i="13" s="1"/>
  <c r="AO791" i="13"/>
  <c r="BH791" i="13" s="1"/>
  <c r="AL791" i="13"/>
  <c r="AK791" i="13"/>
  <c r="AT790" i="13" s="1"/>
  <c r="AJ791" i="13"/>
  <c r="AS790" i="13" s="1"/>
  <c r="AH791" i="13"/>
  <c r="AF791" i="13"/>
  <c r="AE791" i="13"/>
  <c r="AD791" i="13"/>
  <c r="AC791" i="13"/>
  <c r="AB791" i="13"/>
  <c r="Z791" i="13"/>
  <c r="L791" i="13"/>
  <c r="BF791" i="13" s="1"/>
  <c r="I791" i="13"/>
  <c r="I790" i="13" s="1"/>
  <c r="L790" i="13"/>
  <c r="BJ787" i="13"/>
  <c r="BI787" i="13"/>
  <c r="BF787" i="13"/>
  <c r="BD787" i="13"/>
  <c r="AP787" i="13"/>
  <c r="AX787" i="13" s="1"/>
  <c r="AO787" i="13"/>
  <c r="AL787" i="13"/>
  <c r="AK787" i="13"/>
  <c r="AJ787" i="13"/>
  <c r="AH787" i="13"/>
  <c r="AG787" i="13"/>
  <c r="AF787" i="13"/>
  <c r="AE787" i="13"/>
  <c r="AD787" i="13"/>
  <c r="AC787" i="13"/>
  <c r="Z787" i="13"/>
  <c r="L787" i="13"/>
  <c r="I787" i="13"/>
  <c r="BJ784" i="13"/>
  <c r="BH784" i="13"/>
  <c r="AF784" i="13" s="1"/>
  <c r="BD784" i="13"/>
  <c r="AX784" i="13"/>
  <c r="AW784" i="13"/>
  <c r="AV784" i="13" s="1"/>
  <c r="AP784" i="13"/>
  <c r="BI784" i="13" s="1"/>
  <c r="AG784" i="13" s="1"/>
  <c r="AO784" i="13"/>
  <c r="AL784" i="13"/>
  <c r="AK784" i="13"/>
  <c r="AJ784" i="13"/>
  <c r="AH784" i="13"/>
  <c r="AE784" i="13"/>
  <c r="AD784" i="13"/>
  <c r="AC784" i="13"/>
  <c r="AB784" i="13"/>
  <c r="Z784" i="13"/>
  <c r="L784" i="13"/>
  <c r="BF784" i="13" s="1"/>
  <c r="I784" i="13"/>
  <c r="BJ782" i="13"/>
  <c r="BI782" i="13"/>
  <c r="BF782" i="13"/>
  <c r="BD782" i="13"/>
  <c r="AP782" i="13"/>
  <c r="AX782" i="13" s="1"/>
  <c r="AO782" i="13"/>
  <c r="AL782" i="13"/>
  <c r="AK782" i="13"/>
  <c r="AJ782" i="13"/>
  <c r="AH782" i="13"/>
  <c r="AG782" i="13"/>
  <c r="AF782" i="13"/>
  <c r="AE782" i="13"/>
  <c r="AD782" i="13"/>
  <c r="AC782" i="13"/>
  <c r="Z782" i="13"/>
  <c r="L782" i="13"/>
  <c r="I782" i="13"/>
  <c r="BJ781" i="13"/>
  <c r="BH781" i="13"/>
  <c r="AB781" i="13" s="1"/>
  <c r="BD781" i="13"/>
  <c r="AX781" i="13"/>
  <c r="AW781" i="13"/>
  <c r="BC781" i="13" s="1"/>
  <c r="AP781" i="13"/>
  <c r="BI781" i="13" s="1"/>
  <c r="AC781" i="13" s="1"/>
  <c r="AO781" i="13"/>
  <c r="AL781" i="13"/>
  <c r="AK781" i="13"/>
  <c r="AJ781" i="13"/>
  <c r="AH781" i="13"/>
  <c r="AG781" i="13"/>
  <c r="AF781" i="13"/>
  <c r="AE781" i="13"/>
  <c r="AD781" i="13"/>
  <c r="Z781" i="13"/>
  <c r="L781" i="13"/>
  <c r="BF781" i="13" s="1"/>
  <c r="I781" i="13"/>
  <c r="BJ780" i="13"/>
  <c r="BI780" i="13"/>
  <c r="BF780" i="13"/>
  <c r="BD780" i="13"/>
  <c r="AP780" i="13"/>
  <c r="AX780" i="13" s="1"/>
  <c r="AO780" i="13"/>
  <c r="AL780" i="13"/>
  <c r="AK780" i="13"/>
  <c r="AJ780" i="13"/>
  <c r="AH780" i="13"/>
  <c r="AG780" i="13"/>
  <c r="AF780" i="13"/>
  <c r="AE780" i="13"/>
  <c r="AD780" i="13"/>
  <c r="AC780" i="13"/>
  <c r="Z780" i="13"/>
  <c r="L780" i="13"/>
  <c r="I780" i="13"/>
  <c r="BJ779" i="13"/>
  <c r="BH779" i="13"/>
  <c r="AB779" i="13" s="1"/>
  <c r="BD779" i="13"/>
  <c r="AX779" i="13"/>
  <c r="AW779" i="13"/>
  <c r="AP779" i="13"/>
  <c r="BI779" i="13" s="1"/>
  <c r="AC779" i="13" s="1"/>
  <c r="AO779" i="13"/>
  <c r="AK779" i="13"/>
  <c r="AJ779" i="13"/>
  <c r="AH779" i="13"/>
  <c r="AG779" i="13"/>
  <c r="AF779" i="13"/>
  <c r="AE779" i="13"/>
  <c r="AD779" i="13"/>
  <c r="Z779" i="13"/>
  <c r="L779" i="13"/>
  <c r="BF779" i="13" s="1"/>
  <c r="I779" i="13"/>
  <c r="AL779" i="13" s="1"/>
  <c r="BJ778" i="13"/>
  <c r="BI778" i="13"/>
  <c r="BF778" i="13"/>
  <c r="BD778" i="13"/>
  <c r="AP778" i="13"/>
  <c r="AX778" i="13" s="1"/>
  <c r="AO778" i="13"/>
  <c r="AK778" i="13"/>
  <c r="AJ778" i="13"/>
  <c r="AH778" i="13"/>
  <c r="AG778" i="13"/>
  <c r="AE778" i="13"/>
  <c r="AD778" i="13"/>
  <c r="AC778" i="13"/>
  <c r="AB778" i="13"/>
  <c r="Z778" i="13"/>
  <c r="L778" i="13"/>
  <c r="I778" i="13"/>
  <c r="AL778" i="13" s="1"/>
  <c r="BJ777" i="13"/>
  <c r="BH777" i="13"/>
  <c r="BD777" i="13"/>
  <c r="AX777" i="13"/>
  <c r="AW777" i="13"/>
  <c r="BC777" i="13" s="1"/>
  <c r="AP777" i="13"/>
  <c r="BI777" i="13" s="1"/>
  <c r="AC777" i="13" s="1"/>
  <c r="AO777" i="13"/>
  <c r="AK777" i="13"/>
  <c r="AJ777" i="13"/>
  <c r="AH777" i="13"/>
  <c r="AG777" i="13"/>
  <c r="AF777" i="13"/>
  <c r="AE777" i="13"/>
  <c r="AD777" i="13"/>
  <c r="AB777" i="13"/>
  <c r="Z777" i="13"/>
  <c r="L777" i="13"/>
  <c r="BF777" i="13" s="1"/>
  <c r="I777" i="13"/>
  <c r="AL777" i="13" s="1"/>
  <c r="BJ776" i="13"/>
  <c r="BI776" i="13"/>
  <c r="AC776" i="13" s="1"/>
  <c r="BF776" i="13"/>
  <c r="BD776" i="13"/>
  <c r="AP776" i="13"/>
  <c r="AX776" i="13" s="1"/>
  <c r="AO776" i="13"/>
  <c r="AK776" i="13"/>
  <c r="AJ776" i="13"/>
  <c r="AH776" i="13"/>
  <c r="AG776" i="13"/>
  <c r="AF776" i="13"/>
  <c r="AE776" i="13"/>
  <c r="AD776" i="13"/>
  <c r="Z776" i="13"/>
  <c r="L776" i="13"/>
  <c r="I776" i="13"/>
  <c r="AL776" i="13" s="1"/>
  <c r="BJ775" i="13"/>
  <c r="BH775" i="13"/>
  <c r="BD775" i="13"/>
  <c r="AW775" i="13"/>
  <c r="AP775" i="13"/>
  <c r="BI775" i="13" s="1"/>
  <c r="AC775" i="13" s="1"/>
  <c r="AO775" i="13"/>
  <c r="AL775" i="13"/>
  <c r="AK775" i="13"/>
  <c r="AJ775" i="13"/>
  <c r="AH775" i="13"/>
  <c r="AG775" i="13"/>
  <c r="AF775" i="13"/>
  <c r="AE775" i="13"/>
  <c r="AD775" i="13"/>
  <c r="AB775" i="13"/>
  <c r="Z775" i="13"/>
  <c r="L775" i="13"/>
  <c r="BF775" i="13" s="1"/>
  <c r="I775" i="13"/>
  <c r="BJ774" i="13"/>
  <c r="BI774" i="13"/>
  <c r="AC774" i="13" s="1"/>
  <c r="BF774" i="13"/>
  <c r="BD774" i="13"/>
  <c r="AP774" i="13"/>
  <c r="AX774" i="13" s="1"/>
  <c r="AO774" i="13"/>
  <c r="AK774" i="13"/>
  <c r="AJ774" i="13"/>
  <c r="AH774" i="13"/>
  <c r="AG774" i="13"/>
  <c r="AF774" i="13"/>
  <c r="AE774" i="13"/>
  <c r="AD774" i="13"/>
  <c r="Z774" i="13"/>
  <c r="L774" i="13"/>
  <c r="I774" i="13"/>
  <c r="AL774" i="13" s="1"/>
  <c r="BJ773" i="13"/>
  <c r="BH773" i="13"/>
  <c r="BD773" i="13"/>
  <c r="AW773" i="13"/>
  <c r="AP773" i="13"/>
  <c r="AX773" i="13" s="1"/>
  <c r="AV773" i="13" s="1"/>
  <c r="AO773" i="13"/>
  <c r="AK773" i="13"/>
  <c r="AJ773" i="13"/>
  <c r="AH773" i="13"/>
  <c r="AG773" i="13"/>
  <c r="AF773" i="13"/>
  <c r="AE773" i="13"/>
  <c r="AD773" i="13"/>
  <c r="AB773" i="13"/>
  <c r="Z773" i="13"/>
  <c r="L773" i="13"/>
  <c r="BF773" i="13" s="1"/>
  <c r="I773" i="13"/>
  <c r="AL773" i="13" s="1"/>
  <c r="BJ772" i="13"/>
  <c r="BI772" i="13"/>
  <c r="AG772" i="13" s="1"/>
  <c r="BF772" i="13"/>
  <c r="BD772" i="13"/>
  <c r="AP772" i="13"/>
  <c r="AX772" i="13" s="1"/>
  <c r="AO772" i="13"/>
  <c r="AK772" i="13"/>
  <c r="AJ772" i="13"/>
  <c r="AH772" i="13"/>
  <c r="AE772" i="13"/>
  <c r="AD772" i="13"/>
  <c r="AC772" i="13"/>
  <c r="AB772" i="13"/>
  <c r="Z772" i="13"/>
  <c r="L772" i="13"/>
  <c r="I772" i="13"/>
  <c r="AL772" i="13" s="1"/>
  <c r="BJ771" i="13"/>
  <c r="BI771" i="13"/>
  <c r="AG771" i="13" s="1"/>
  <c r="BH771" i="13"/>
  <c r="AF771" i="13" s="1"/>
  <c r="BD771" i="13"/>
  <c r="AW771" i="13"/>
  <c r="AP771" i="13"/>
  <c r="AX771" i="13" s="1"/>
  <c r="AO771" i="13"/>
  <c r="AL771" i="13"/>
  <c r="AK771" i="13"/>
  <c r="AJ771" i="13"/>
  <c r="AH771" i="13"/>
  <c r="AE771" i="13"/>
  <c r="AD771" i="13"/>
  <c r="AC771" i="13"/>
  <c r="AB771" i="13"/>
  <c r="Z771" i="13"/>
  <c r="L771" i="13"/>
  <c r="BF771" i="13" s="1"/>
  <c r="I771" i="13"/>
  <c r="BJ770" i="13"/>
  <c r="BF770" i="13"/>
  <c r="BD770" i="13"/>
  <c r="AP770" i="13"/>
  <c r="AO770" i="13"/>
  <c r="AK770" i="13"/>
  <c r="AJ770" i="13"/>
  <c r="AH770" i="13"/>
  <c r="AE770" i="13"/>
  <c r="AD770" i="13"/>
  <c r="AC770" i="13"/>
  <c r="AB770" i="13"/>
  <c r="Z770" i="13"/>
  <c r="L770" i="13"/>
  <c r="I770" i="13"/>
  <c r="AL770" i="13" s="1"/>
  <c r="BJ769" i="13"/>
  <c r="BH769" i="13"/>
  <c r="AF769" i="13" s="1"/>
  <c r="BD769" i="13"/>
  <c r="AX769" i="13"/>
  <c r="AV769" i="13" s="1"/>
  <c r="AW769" i="13"/>
  <c r="AP769" i="13"/>
  <c r="BI769" i="13" s="1"/>
  <c r="AG769" i="13" s="1"/>
  <c r="AO769" i="13"/>
  <c r="AK769" i="13"/>
  <c r="AJ769" i="13"/>
  <c r="AH769" i="13"/>
  <c r="AE769" i="13"/>
  <c r="AD769" i="13"/>
  <c r="AC769" i="13"/>
  <c r="AB769" i="13"/>
  <c r="Z769" i="13"/>
  <c r="L769" i="13"/>
  <c r="BF769" i="13" s="1"/>
  <c r="I769" i="13"/>
  <c r="AL769" i="13" s="1"/>
  <c r="BJ768" i="13"/>
  <c r="BI768" i="13"/>
  <c r="AG768" i="13" s="1"/>
  <c r="BF768" i="13"/>
  <c r="BD768" i="13"/>
  <c r="AP768" i="13"/>
  <c r="AX768" i="13" s="1"/>
  <c r="AO768" i="13"/>
  <c r="AK768" i="13"/>
  <c r="AJ768" i="13"/>
  <c r="AH768" i="13"/>
  <c r="AE768" i="13"/>
  <c r="AD768" i="13"/>
  <c r="AC768" i="13"/>
  <c r="AB768" i="13"/>
  <c r="Z768" i="13"/>
  <c r="L768" i="13"/>
  <c r="I768" i="13"/>
  <c r="AL768" i="13" s="1"/>
  <c r="BJ766" i="13"/>
  <c r="BI766" i="13"/>
  <c r="AC766" i="13" s="1"/>
  <c r="BH766" i="13"/>
  <c r="AB766" i="13" s="1"/>
  <c r="BD766" i="13"/>
  <c r="AX766" i="13"/>
  <c r="AV766" i="13" s="1"/>
  <c r="AW766" i="13"/>
  <c r="AP766" i="13"/>
  <c r="AO766" i="13"/>
  <c r="AK766" i="13"/>
  <c r="AJ766" i="13"/>
  <c r="AH766" i="13"/>
  <c r="AG766" i="13"/>
  <c r="AF766" i="13"/>
  <c r="AE766" i="13"/>
  <c r="AD766" i="13"/>
  <c r="Z766" i="13"/>
  <c r="L766" i="13"/>
  <c r="BF766" i="13" s="1"/>
  <c r="I766" i="13"/>
  <c r="AL766" i="13" s="1"/>
  <c r="BJ765" i="13"/>
  <c r="BF765" i="13"/>
  <c r="BD765" i="13"/>
  <c r="AP765" i="13"/>
  <c r="AO765" i="13"/>
  <c r="BH765" i="13" s="1"/>
  <c r="AF765" i="13" s="1"/>
  <c r="AK765" i="13"/>
  <c r="AJ765" i="13"/>
  <c r="AH765" i="13"/>
  <c r="AE765" i="13"/>
  <c r="AD765" i="13"/>
  <c r="AC765" i="13"/>
  <c r="AB765" i="13"/>
  <c r="Z765" i="13"/>
  <c r="L765" i="13"/>
  <c r="I765" i="13"/>
  <c r="AL765" i="13" s="1"/>
  <c r="BJ763" i="13"/>
  <c r="BH763" i="13"/>
  <c r="AB763" i="13" s="1"/>
  <c r="BD763" i="13"/>
  <c r="AX763" i="13"/>
  <c r="AV763" i="13" s="1"/>
  <c r="AW763" i="13"/>
  <c r="AP763" i="13"/>
  <c r="BI763" i="13" s="1"/>
  <c r="AC763" i="13" s="1"/>
  <c r="AO763" i="13"/>
  <c r="AK763" i="13"/>
  <c r="AJ763" i="13"/>
  <c r="AH763" i="13"/>
  <c r="AG763" i="13"/>
  <c r="AF763" i="13"/>
  <c r="AE763" i="13"/>
  <c r="AD763" i="13"/>
  <c r="Z763" i="13"/>
  <c r="L763" i="13"/>
  <c r="BF763" i="13" s="1"/>
  <c r="I763" i="13"/>
  <c r="AL763" i="13" s="1"/>
  <c r="BJ757" i="13"/>
  <c r="BF757" i="13"/>
  <c r="BD757" i="13"/>
  <c r="AW757" i="13"/>
  <c r="AP757" i="13"/>
  <c r="AO757" i="13"/>
  <c r="BH757" i="13" s="1"/>
  <c r="AK757" i="13"/>
  <c r="AJ757" i="13"/>
  <c r="AH757" i="13"/>
  <c r="AF757" i="13"/>
  <c r="AE757" i="13"/>
  <c r="AD757" i="13"/>
  <c r="AC757" i="13"/>
  <c r="AB757" i="13"/>
  <c r="Z757" i="13"/>
  <c r="L757" i="13"/>
  <c r="I757" i="13"/>
  <c r="AL757" i="13" s="1"/>
  <c r="BJ755" i="13"/>
  <c r="BI755" i="13"/>
  <c r="AC755" i="13" s="1"/>
  <c r="BH755" i="13"/>
  <c r="BD755" i="13"/>
  <c r="AX755" i="13"/>
  <c r="AV755" i="13" s="1"/>
  <c r="AW755" i="13"/>
  <c r="AP755" i="13"/>
  <c r="AO755" i="13"/>
  <c r="AL755" i="13"/>
  <c r="AK755" i="13"/>
  <c r="AJ755" i="13"/>
  <c r="AH755" i="13"/>
  <c r="AG755" i="13"/>
  <c r="AF755" i="13"/>
  <c r="AE755" i="13"/>
  <c r="AD755" i="13"/>
  <c r="AB755" i="13"/>
  <c r="Z755" i="13"/>
  <c r="L755" i="13"/>
  <c r="BF755" i="13" s="1"/>
  <c r="I755" i="13"/>
  <c r="BJ753" i="13"/>
  <c r="BF753" i="13"/>
  <c r="BD753" i="13"/>
  <c r="AW753" i="13"/>
  <c r="AP753" i="13"/>
  <c r="AO753" i="13"/>
  <c r="BH753" i="13" s="1"/>
  <c r="AK753" i="13"/>
  <c r="AJ753" i="13"/>
  <c r="AH753" i="13"/>
  <c r="AF753" i="13"/>
  <c r="AE753" i="13"/>
  <c r="AD753" i="13"/>
  <c r="AC753" i="13"/>
  <c r="AB753" i="13"/>
  <c r="Z753" i="13"/>
  <c r="L753" i="13"/>
  <c r="I753" i="13"/>
  <c r="AL753" i="13" s="1"/>
  <c r="BJ750" i="13"/>
  <c r="BH750" i="13"/>
  <c r="AB750" i="13" s="1"/>
  <c r="BD750" i="13"/>
  <c r="AW750" i="13"/>
  <c r="AP750" i="13"/>
  <c r="AX750" i="13" s="1"/>
  <c r="BC750" i="13" s="1"/>
  <c r="AO750" i="13"/>
  <c r="AK750" i="13"/>
  <c r="AJ750" i="13"/>
  <c r="AH750" i="13"/>
  <c r="AG750" i="13"/>
  <c r="AF750" i="13"/>
  <c r="AE750" i="13"/>
  <c r="AD750" i="13"/>
  <c r="Z750" i="13"/>
  <c r="L750" i="13"/>
  <c r="BF750" i="13" s="1"/>
  <c r="I750" i="13"/>
  <c r="AL750" i="13" s="1"/>
  <c r="BJ749" i="13"/>
  <c r="BI749" i="13"/>
  <c r="BF749" i="13"/>
  <c r="BD749" i="13"/>
  <c r="AX749" i="13"/>
  <c r="AP749" i="13"/>
  <c r="AO749" i="13"/>
  <c r="BH749" i="13" s="1"/>
  <c r="AK749" i="13"/>
  <c r="AJ749" i="13"/>
  <c r="AH749" i="13"/>
  <c r="AG749" i="13"/>
  <c r="AF749" i="13"/>
  <c r="AE749" i="13"/>
  <c r="AD749" i="13"/>
  <c r="AC749" i="13"/>
  <c r="AB749" i="13"/>
  <c r="Z749" i="13"/>
  <c r="L749" i="13"/>
  <c r="I749" i="13"/>
  <c r="AL749" i="13" s="1"/>
  <c r="BJ748" i="13"/>
  <c r="BD748" i="13"/>
  <c r="BC748" i="13"/>
  <c r="AX748" i="13"/>
  <c r="AW748" i="13"/>
  <c r="AV748" i="13" s="1"/>
  <c r="AP748" i="13"/>
  <c r="BI748" i="13" s="1"/>
  <c r="AC748" i="13" s="1"/>
  <c r="AO748" i="13"/>
  <c r="BH748" i="13" s="1"/>
  <c r="AB748" i="13" s="1"/>
  <c r="AK748" i="13"/>
  <c r="AJ748" i="13"/>
  <c r="AH748" i="13"/>
  <c r="AG748" i="13"/>
  <c r="AF748" i="13"/>
  <c r="AE748" i="13"/>
  <c r="AD748" i="13"/>
  <c r="Z748" i="13"/>
  <c r="L748" i="13"/>
  <c r="BF748" i="13" s="1"/>
  <c r="I748" i="13"/>
  <c r="AL748" i="13" s="1"/>
  <c r="BJ747" i="13"/>
  <c r="BH747" i="13"/>
  <c r="BF747" i="13"/>
  <c r="BD747" i="13"/>
  <c r="AX747" i="13"/>
  <c r="AW747" i="13"/>
  <c r="AP747" i="13"/>
  <c r="BI747" i="13" s="1"/>
  <c r="AG747" i="13" s="1"/>
  <c r="AO747" i="13"/>
  <c r="AK747" i="13"/>
  <c r="AJ747" i="13"/>
  <c r="AH747" i="13"/>
  <c r="AF747" i="13"/>
  <c r="AE747" i="13"/>
  <c r="AD747" i="13"/>
  <c r="AC747" i="13"/>
  <c r="AB747" i="13"/>
  <c r="Z747" i="13"/>
  <c r="L747" i="13"/>
  <c r="I747" i="13"/>
  <c r="AL747" i="13" s="1"/>
  <c r="BJ746" i="13"/>
  <c r="BD746" i="13"/>
  <c r="AP746" i="13"/>
  <c r="AO746" i="13"/>
  <c r="AL746" i="13"/>
  <c r="AK746" i="13"/>
  <c r="AJ746" i="13"/>
  <c r="AH746" i="13"/>
  <c r="AG746" i="13"/>
  <c r="AF746" i="13"/>
  <c r="AE746" i="13"/>
  <c r="AD746" i="13"/>
  <c r="Z746" i="13"/>
  <c r="L746" i="13"/>
  <c r="BF746" i="13" s="1"/>
  <c r="I746" i="13"/>
  <c r="BJ745" i="13"/>
  <c r="BI745" i="13"/>
  <c r="AG745" i="13" s="1"/>
  <c r="BH745" i="13"/>
  <c r="AF745" i="13" s="1"/>
  <c r="BF745" i="13"/>
  <c r="BD745" i="13"/>
  <c r="AP745" i="13"/>
  <c r="AX745" i="13" s="1"/>
  <c r="AO745" i="13"/>
  <c r="AW745" i="13" s="1"/>
  <c r="AK745" i="13"/>
  <c r="AJ745" i="13"/>
  <c r="AH745" i="13"/>
  <c r="AE745" i="13"/>
  <c r="AD745" i="13"/>
  <c r="AC745" i="13"/>
  <c r="AB745" i="13"/>
  <c r="Z745" i="13"/>
  <c r="L745" i="13"/>
  <c r="I745" i="13"/>
  <c r="AL745" i="13" s="1"/>
  <c r="BJ744" i="13"/>
  <c r="BI744" i="13"/>
  <c r="AC744" i="13" s="1"/>
  <c r="BH744" i="13"/>
  <c r="BD744" i="13"/>
  <c r="AX744" i="13"/>
  <c r="AP744" i="13"/>
  <c r="AO744" i="13"/>
  <c r="AW744" i="13" s="1"/>
  <c r="AL744" i="13"/>
  <c r="AK744" i="13"/>
  <c r="AJ744" i="13"/>
  <c r="AH744" i="13"/>
  <c r="AG744" i="13"/>
  <c r="AF744" i="13"/>
  <c r="AE744" i="13"/>
  <c r="AD744" i="13"/>
  <c r="AB744" i="13"/>
  <c r="Z744" i="13"/>
  <c r="L744" i="13"/>
  <c r="BF744" i="13" s="1"/>
  <c r="I744" i="13"/>
  <c r="BJ743" i="13"/>
  <c r="BD743" i="13"/>
  <c r="AX743" i="13"/>
  <c r="BC743" i="13" s="1"/>
  <c r="AW743" i="13"/>
  <c r="AV743" i="13"/>
  <c r="AP743" i="13"/>
  <c r="BI743" i="13" s="1"/>
  <c r="AC743" i="13" s="1"/>
  <c r="AO743" i="13"/>
  <c r="BH743" i="13" s="1"/>
  <c r="AB743" i="13" s="1"/>
  <c r="AK743" i="13"/>
  <c r="AJ743" i="13"/>
  <c r="AH743" i="13"/>
  <c r="AG743" i="13"/>
  <c r="AF743" i="13"/>
  <c r="AE743" i="13"/>
  <c r="AD743" i="13"/>
  <c r="Z743" i="13"/>
  <c r="L743" i="13"/>
  <c r="BF743" i="13" s="1"/>
  <c r="I743" i="13"/>
  <c r="AL743" i="13" s="1"/>
  <c r="BJ742" i="13"/>
  <c r="BI742" i="13"/>
  <c r="BH742" i="13"/>
  <c r="BD742" i="13"/>
  <c r="AX742" i="13"/>
  <c r="AW742" i="13"/>
  <c r="AP742" i="13"/>
  <c r="AO742" i="13"/>
  <c r="AK742" i="13"/>
  <c r="AJ742" i="13"/>
  <c r="AH742" i="13"/>
  <c r="AG742" i="13"/>
  <c r="AF742" i="13"/>
  <c r="AE742" i="13"/>
  <c r="AD742" i="13"/>
  <c r="AC742" i="13"/>
  <c r="AB742" i="13"/>
  <c r="Z742" i="13"/>
  <c r="L742" i="13"/>
  <c r="BF742" i="13" s="1"/>
  <c r="I742" i="13"/>
  <c r="AL742" i="13" s="1"/>
  <c r="BJ741" i="13"/>
  <c r="BI741" i="13"/>
  <c r="AC741" i="13" s="1"/>
  <c r="BD741" i="13"/>
  <c r="AX741" i="13"/>
  <c r="AP741" i="13"/>
  <c r="AO741" i="13"/>
  <c r="BH741" i="13" s="1"/>
  <c r="AB741" i="13" s="1"/>
  <c r="AK741" i="13"/>
  <c r="AJ741" i="13"/>
  <c r="AH741" i="13"/>
  <c r="AG741" i="13"/>
  <c r="AF741" i="13"/>
  <c r="AE741" i="13"/>
  <c r="AD741" i="13"/>
  <c r="Z741" i="13"/>
  <c r="L741" i="13"/>
  <c r="BF741" i="13" s="1"/>
  <c r="I741" i="13"/>
  <c r="AL741" i="13" s="1"/>
  <c r="BJ740" i="13"/>
  <c r="BI740" i="13"/>
  <c r="AG740" i="13" s="1"/>
  <c r="BH740" i="13"/>
  <c r="BD740" i="13"/>
  <c r="AW740" i="13"/>
  <c r="AV740" i="13"/>
  <c r="AP740" i="13"/>
  <c r="AX740" i="13" s="1"/>
  <c r="BC740" i="13" s="1"/>
  <c r="AO740" i="13"/>
  <c r="AL740" i="13"/>
  <c r="AK740" i="13"/>
  <c r="AJ740" i="13"/>
  <c r="AH740" i="13"/>
  <c r="AF740" i="13"/>
  <c r="AE740" i="13"/>
  <c r="AD740" i="13"/>
  <c r="AC740" i="13"/>
  <c r="AB740" i="13"/>
  <c r="Z740" i="13"/>
  <c r="L740" i="13"/>
  <c r="BF740" i="13" s="1"/>
  <c r="I740" i="13"/>
  <c r="BJ739" i="13"/>
  <c r="BI739" i="13"/>
  <c r="AC739" i="13" s="1"/>
  <c r="BF739" i="13"/>
  <c r="BD739" i="13"/>
  <c r="AP739" i="13"/>
  <c r="AX739" i="13" s="1"/>
  <c r="AO739" i="13"/>
  <c r="AK739" i="13"/>
  <c r="AJ739" i="13"/>
  <c r="AH739" i="13"/>
  <c r="AG739" i="13"/>
  <c r="AF739" i="13"/>
  <c r="AE739" i="13"/>
  <c r="AD739" i="13"/>
  <c r="Z739" i="13"/>
  <c r="L739" i="13"/>
  <c r="I739" i="13"/>
  <c r="AL739" i="13" s="1"/>
  <c r="BJ738" i="13"/>
  <c r="BI738" i="13"/>
  <c r="AG738" i="13" s="1"/>
  <c r="BH738" i="13"/>
  <c r="AF738" i="13" s="1"/>
  <c r="BD738" i="13"/>
  <c r="AX738" i="13"/>
  <c r="AP738" i="13"/>
  <c r="AO738" i="13"/>
  <c r="AW738" i="13" s="1"/>
  <c r="AL738" i="13"/>
  <c r="AK738" i="13"/>
  <c r="AJ738" i="13"/>
  <c r="AH738" i="13"/>
  <c r="AE738" i="13"/>
  <c r="AD738" i="13"/>
  <c r="AC738" i="13"/>
  <c r="AB738" i="13"/>
  <c r="Z738" i="13"/>
  <c r="L738" i="13"/>
  <c r="BF738" i="13" s="1"/>
  <c r="I738" i="13"/>
  <c r="BJ737" i="13"/>
  <c r="BI737" i="13"/>
  <c r="BF737" i="13"/>
  <c r="BD737" i="13"/>
  <c r="AP737" i="13"/>
  <c r="AX737" i="13" s="1"/>
  <c r="AO737" i="13"/>
  <c r="AW737" i="13" s="1"/>
  <c r="AK737" i="13"/>
  <c r="AJ737" i="13"/>
  <c r="AH737" i="13"/>
  <c r="AG737" i="13"/>
  <c r="AF737" i="13"/>
  <c r="AE737" i="13"/>
  <c r="AD737" i="13"/>
  <c r="AC737" i="13"/>
  <c r="Z737" i="13"/>
  <c r="L737" i="13"/>
  <c r="I737" i="13"/>
  <c r="AL737" i="13" s="1"/>
  <c r="BJ736" i="13"/>
  <c r="BD736" i="13"/>
  <c r="BC736" i="13"/>
  <c r="AX736" i="13"/>
  <c r="AW736" i="13"/>
  <c r="AV736" i="13"/>
  <c r="AP736" i="13"/>
  <c r="BI736" i="13" s="1"/>
  <c r="AG736" i="13" s="1"/>
  <c r="AO736" i="13"/>
  <c r="BH736" i="13" s="1"/>
  <c r="AF736" i="13" s="1"/>
  <c r="AK736" i="13"/>
  <c r="AJ736" i="13"/>
  <c r="AH736" i="13"/>
  <c r="AE736" i="13"/>
  <c r="AD736" i="13"/>
  <c r="AC736" i="13"/>
  <c r="AB736" i="13"/>
  <c r="Z736" i="13"/>
  <c r="L736" i="13"/>
  <c r="BF736" i="13" s="1"/>
  <c r="I736" i="13"/>
  <c r="AL736" i="13" s="1"/>
  <c r="BJ735" i="13"/>
  <c r="BI735" i="13"/>
  <c r="BH735" i="13"/>
  <c r="BD735" i="13"/>
  <c r="BC735" i="13"/>
  <c r="AX735" i="13"/>
  <c r="AW735" i="13"/>
  <c r="AV735" i="13" s="1"/>
  <c r="AP735" i="13"/>
  <c r="AO735" i="13"/>
  <c r="AK735" i="13"/>
  <c r="AJ735" i="13"/>
  <c r="AH735" i="13"/>
  <c r="AG735" i="13"/>
  <c r="AF735" i="13"/>
  <c r="AE735" i="13"/>
  <c r="AD735" i="13"/>
  <c r="AC735" i="13"/>
  <c r="AB735" i="13"/>
  <c r="Z735" i="13"/>
  <c r="L735" i="13"/>
  <c r="BF735" i="13" s="1"/>
  <c r="I735" i="13"/>
  <c r="AL735" i="13" s="1"/>
  <c r="BJ734" i="13"/>
  <c r="BD734" i="13"/>
  <c r="AX734" i="13"/>
  <c r="AW734" i="13"/>
  <c r="AV734" i="13" s="1"/>
  <c r="AP734" i="13"/>
  <c r="BI734" i="13" s="1"/>
  <c r="AG734" i="13" s="1"/>
  <c r="AO734" i="13"/>
  <c r="BH734" i="13" s="1"/>
  <c r="AF734" i="13" s="1"/>
  <c r="AK734" i="13"/>
  <c r="AJ734" i="13"/>
  <c r="AH734" i="13"/>
  <c r="AE734" i="13"/>
  <c r="AD734" i="13"/>
  <c r="AC734" i="13"/>
  <c r="AB734" i="13"/>
  <c r="Z734" i="13"/>
  <c r="L734" i="13"/>
  <c r="BF734" i="13" s="1"/>
  <c r="I734" i="13"/>
  <c r="AL734" i="13" s="1"/>
  <c r="BJ733" i="13"/>
  <c r="BH733" i="13"/>
  <c r="AB733" i="13" s="1"/>
  <c r="BF733" i="13"/>
  <c r="BD733" i="13"/>
  <c r="AW733" i="13"/>
  <c r="AP733" i="13"/>
  <c r="BI733" i="13" s="1"/>
  <c r="AO733" i="13"/>
  <c r="AK733" i="13"/>
  <c r="AJ733" i="13"/>
  <c r="AH733" i="13"/>
  <c r="AG733" i="13"/>
  <c r="AF733" i="13"/>
  <c r="AE733" i="13"/>
  <c r="AD733" i="13"/>
  <c r="AC733" i="13"/>
  <c r="Z733" i="13"/>
  <c r="L733" i="13"/>
  <c r="I733" i="13"/>
  <c r="AL733" i="13" s="1"/>
  <c r="BJ732" i="13"/>
  <c r="BD732" i="13"/>
  <c r="AP732" i="13"/>
  <c r="AO732" i="13"/>
  <c r="AW732" i="13" s="1"/>
  <c r="AL732" i="13"/>
  <c r="AK732" i="13"/>
  <c r="AJ732" i="13"/>
  <c r="AH732" i="13"/>
  <c r="AE732" i="13"/>
  <c r="AD732" i="13"/>
  <c r="AC732" i="13"/>
  <c r="AB732" i="13"/>
  <c r="Z732" i="13"/>
  <c r="L732" i="13"/>
  <c r="BF732" i="13" s="1"/>
  <c r="I732" i="13"/>
  <c r="BJ731" i="13"/>
  <c r="BH731" i="13"/>
  <c r="AB731" i="13" s="1"/>
  <c r="BF731" i="13"/>
  <c r="BD731" i="13"/>
  <c r="AW731" i="13"/>
  <c r="AV731" i="13"/>
  <c r="AP731" i="13"/>
  <c r="AX731" i="13" s="1"/>
  <c r="BC731" i="13" s="1"/>
  <c r="AO731" i="13"/>
  <c r="AK731" i="13"/>
  <c r="AJ731" i="13"/>
  <c r="AH731" i="13"/>
  <c r="AG731" i="13"/>
  <c r="AF731" i="13"/>
  <c r="AE731" i="13"/>
  <c r="AD731" i="13"/>
  <c r="Z731" i="13"/>
  <c r="L731" i="13"/>
  <c r="I731" i="13"/>
  <c r="AL731" i="13" s="1"/>
  <c r="BJ730" i="13"/>
  <c r="BI730" i="13"/>
  <c r="AG730" i="13" s="1"/>
  <c r="BH730" i="13"/>
  <c r="AF730" i="13" s="1"/>
  <c r="BF730" i="13"/>
  <c r="BD730" i="13"/>
  <c r="AP730" i="13"/>
  <c r="AX730" i="13" s="1"/>
  <c r="AO730" i="13"/>
  <c r="AW730" i="13" s="1"/>
  <c r="AL730" i="13"/>
  <c r="AK730" i="13"/>
  <c r="AJ730" i="13"/>
  <c r="AH730" i="13"/>
  <c r="AE730" i="13"/>
  <c r="AD730" i="13"/>
  <c r="AC730" i="13"/>
  <c r="AB730" i="13"/>
  <c r="Z730" i="13"/>
  <c r="L730" i="13"/>
  <c r="I730" i="13"/>
  <c r="BJ729" i="13"/>
  <c r="BI729" i="13"/>
  <c r="AC729" i="13" s="1"/>
  <c r="BH729" i="13"/>
  <c r="AB729" i="13" s="1"/>
  <c r="BF729" i="13"/>
  <c r="BD729" i="13"/>
  <c r="BC729" i="13"/>
  <c r="AP729" i="13"/>
  <c r="AX729" i="13" s="1"/>
  <c r="AO729" i="13"/>
  <c r="AW729" i="13" s="1"/>
  <c r="AV729" i="13" s="1"/>
  <c r="AK729" i="13"/>
  <c r="AJ729" i="13"/>
  <c r="AH729" i="13"/>
  <c r="AG729" i="13"/>
  <c r="AF729" i="13"/>
  <c r="AE729" i="13"/>
  <c r="AD729" i="13"/>
  <c r="Z729" i="13"/>
  <c r="L729" i="13"/>
  <c r="I729" i="13"/>
  <c r="AL729" i="13" s="1"/>
  <c r="BJ728" i="13"/>
  <c r="BH728" i="13"/>
  <c r="BF728" i="13"/>
  <c r="BD728" i="13"/>
  <c r="AP728" i="13"/>
  <c r="AX728" i="13" s="1"/>
  <c r="AO728" i="13"/>
  <c r="AW728" i="13" s="1"/>
  <c r="AL728" i="13"/>
  <c r="AK728" i="13"/>
  <c r="AJ728" i="13"/>
  <c r="AH728" i="13"/>
  <c r="AG728" i="13"/>
  <c r="AF728" i="13"/>
  <c r="AE728" i="13"/>
  <c r="AD728" i="13"/>
  <c r="AB728" i="13"/>
  <c r="Z728" i="13"/>
  <c r="L728" i="13"/>
  <c r="I728" i="13"/>
  <c r="BJ727" i="13"/>
  <c r="BI727" i="13"/>
  <c r="AG727" i="13" s="1"/>
  <c r="BH727" i="13"/>
  <c r="AF727" i="13" s="1"/>
  <c r="BF727" i="13"/>
  <c r="BD727" i="13"/>
  <c r="AP727" i="13"/>
  <c r="AX727" i="13" s="1"/>
  <c r="AO727" i="13"/>
  <c r="AW727" i="13" s="1"/>
  <c r="AV727" i="13" s="1"/>
  <c r="AK727" i="13"/>
  <c r="AJ727" i="13"/>
  <c r="AH727" i="13"/>
  <c r="AE727" i="13"/>
  <c r="AD727" i="13"/>
  <c r="AC727" i="13"/>
  <c r="AB727" i="13"/>
  <c r="Z727" i="13"/>
  <c r="L727" i="13"/>
  <c r="I727" i="13"/>
  <c r="AL727" i="13" s="1"/>
  <c r="BJ726" i="13"/>
  <c r="BF726" i="13"/>
  <c r="BD726" i="13"/>
  <c r="AP726" i="13"/>
  <c r="AX726" i="13" s="1"/>
  <c r="AO726" i="13"/>
  <c r="AW726" i="13" s="1"/>
  <c r="AL726" i="13"/>
  <c r="AK726" i="13"/>
  <c r="AJ726" i="13"/>
  <c r="AH726" i="13"/>
  <c r="AG726" i="13"/>
  <c r="AF726" i="13"/>
  <c r="AE726" i="13"/>
  <c r="AD726" i="13"/>
  <c r="Z726" i="13"/>
  <c r="L726" i="13"/>
  <c r="I726" i="13"/>
  <c r="BJ725" i="13"/>
  <c r="BF725" i="13"/>
  <c r="BD725" i="13"/>
  <c r="BC725" i="13"/>
  <c r="AP725" i="13"/>
  <c r="AX725" i="13" s="1"/>
  <c r="AO725" i="13"/>
  <c r="AW725" i="13" s="1"/>
  <c r="AV725" i="13" s="1"/>
  <c r="AK725" i="13"/>
  <c r="AJ725" i="13"/>
  <c r="AH725" i="13"/>
  <c r="AE725" i="13"/>
  <c r="AD725" i="13"/>
  <c r="AC725" i="13"/>
  <c r="AB725" i="13"/>
  <c r="Z725" i="13"/>
  <c r="L725" i="13"/>
  <c r="I725" i="13"/>
  <c r="AL725" i="13" s="1"/>
  <c r="BJ724" i="13"/>
  <c r="BH724" i="13"/>
  <c r="AB724" i="13" s="1"/>
  <c r="BF724" i="13"/>
  <c r="BD724" i="13"/>
  <c r="AP724" i="13"/>
  <c r="AX724" i="13" s="1"/>
  <c r="AO724" i="13"/>
  <c r="AW724" i="13" s="1"/>
  <c r="AL724" i="13"/>
  <c r="AK724" i="13"/>
  <c r="AJ724" i="13"/>
  <c r="AH724" i="13"/>
  <c r="AG724" i="13"/>
  <c r="AF724" i="13"/>
  <c r="AE724" i="13"/>
  <c r="AD724" i="13"/>
  <c r="Z724" i="13"/>
  <c r="L724" i="13"/>
  <c r="I724" i="13"/>
  <c r="BJ723" i="13"/>
  <c r="BI723" i="13"/>
  <c r="AC723" i="13" s="1"/>
  <c r="BH723" i="13"/>
  <c r="BF723" i="13"/>
  <c r="BD723" i="13"/>
  <c r="BC723" i="13"/>
  <c r="AP723" i="13"/>
  <c r="AX723" i="13" s="1"/>
  <c r="AO723" i="13"/>
  <c r="AW723" i="13" s="1"/>
  <c r="AK723" i="13"/>
  <c r="AJ723" i="13"/>
  <c r="AH723" i="13"/>
  <c r="AG723" i="13"/>
  <c r="AF723" i="13"/>
  <c r="AE723" i="13"/>
  <c r="AD723" i="13"/>
  <c r="AB723" i="13"/>
  <c r="Z723" i="13"/>
  <c r="L723" i="13"/>
  <c r="I723" i="13"/>
  <c r="AL723" i="13" s="1"/>
  <c r="BJ722" i="13"/>
  <c r="BI722" i="13"/>
  <c r="AG722" i="13" s="1"/>
  <c r="BH722" i="13"/>
  <c r="AF722" i="13" s="1"/>
  <c r="BF722" i="13"/>
  <c r="BD722" i="13"/>
  <c r="AP722" i="13"/>
  <c r="AX722" i="13" s="1"/>
  <c r="AO722" i="13"/>
  <c r="AW722" i="13" s="1"/>
  <c r="AL722" i="13"/>
  <c r="AK722" i="13"/>
  <c r="AJ722" i="13"/>
  <c r="AH722" i="13"/>
  <c r="AE722" i="13"/>
  <c r="AD722" i="13"/>
  <c r="AC722" i="13"/>
  <c r="AB722" i="13"/>
  <c r="Z722" i="13"/>
  <c r="L722" i="13"/>
  <c r="I722" i="13"/>
  <c r="BJ720" i="13"/>
  <c r="BI720" i="13"/>
  <c r="AG720" i="13" s="1"/>
  <c r="BH720" i="13"/>
  <c r="AF720" i="13" s="1"/>
  <c r="BF720" i="13"/>
  <c r="BD720" i="13"/>
  <c r="AP720" i="13"/>
  <c r="AX720" i="13" s="1"/>
  <c r="AO720" i="13"/>
  <c r="AW720" i="13" s="1"/>
  <c r="AV720" i="13" s="1"/>
  <c r="AK720" i="13"/>
  <c r="AJ720" i="13"/>
  <c r="AH720" i="13"/>
  <c r="AE720" i="13"/>
  <c r="AD720" i="13"/>
  <c r="AC720" i="13"/>
  <c r="AB720" i="13"/>
  <c r="Z720" i="13"/>
  <c r="L720" i="13"/>
  <c r="I720" i="13"/>
  <c r="AL720" i="13" s="1"/>
  <c r="BJ719" i="13"/>
  <c r="BF719" i="13"/>
  <c r="BD719" i="13"/>
  <c r="AP719" i="13"/>
  <c r="AX719" i="13" s="1"/>
  <c r="AO719" i="13"/>
  <c r="AW719" i="13" s="1"/>
  <c r="AL719" i="13"/>
  <c r="AK719" i="13"/>
  <c r="AJ719" i="13"/>
  <c r="AH719" i="13"/>
  <c r="AG719" i="13"/>
  <c r="AF719" i="13"/>
  <c r="AE719" i="13"/>
  <c r="AD719" i="13"/>
  <c r="Z719" i="13"/>
  <c r="L719" i="13"/>
  <c r="I719" i="13"/>
  <c r="BJ718" i="13"/>
  <c r="BF718" i="13"/>
  <c r="BD718" i="13"/>
  <c r="AP718" i="13"/>
  <c r="AX718" i="13" s="1"/>
  <c r="BC718" i="13" s="1"/>
  <c r="AO718" i="13"/>
  <c r="AW718" i="13" s="1"/>
  <c r="AK718" i="13"/>
  <c r="AJ718" i="13"/>
  <c r="AH718" i="13"/>
  <c r="AE718" i="13"/>
  <c r="AD718" i="13"/>
  <c r="AC718" i="13"/>
  <c r="AB718" i="13"/>
  <c r="Z718" i="13"/>
  <c r="L718" i="13"/>
  <c r="I718" i="13"/>
  <c r="AL718" i="13" s="1"/>
  <c r="BJ716" i="13"/>
  <c r="BH716" i="13"/>
  <c r="AB716" i="13" s="1"/>
  <c r="BF716" i="13"/>
  <c r="BD716" i="13"/>
  <c r="AP716" i="13"/>
  <c r="AX716" i="13" s="1"/>
  <c r="AO716" i="13"/>
  <c r="AW716" i="13" s="1"/>
  <c r="AL716" i="13"/>
  <c r="AK716" i="13"/>
  <c r="AJ716" i="13"/>
  <c r="AS712" i="13" s="1"/>
  <c r="AH716" i="13"/>
  <c r="AG716" i="13"/>
  <c r="AF716" i="13"/>
  <c r="AE716" i="13"/>
  <c r="AD716" i="13"/>
  <c r="Z716" i="13"/>
  <c r="L716" i="13"/>
  <c r="I716" i="13"/>
  <c r="BJ713" i="13"/>
  <c r="BI713" i="13"/>
  <c r="AG713" i="13" s="1"/>
  <c r="BH713" i="13"/>
  <c r="AF713" i="13" s="1"/>
  <c r="BF713" i="13"/>
  <c r="BD713" i="13"/>
  <c r="BC713" i="13"/>
  <c r="AP713" i="13"/>
  <c r="AX713" i="13" s="1"/>
  <c r="AO713" i="13"/>
  <c r="AW713" i="13" s="1"/>
  <c r="AK713" i="13"/>
  <c r="AJ713" i="13"/>
  <c r="AH713" i="13"/>
  <c r="AE713" i="13"/>
  <c r="AD713" i="13"/>
  <c r="AC713" i="13"/>
  <c r="AB713" i="13"/>
  <c r="Z713" i="13"/>
  <c r="L713" i="13"/>
  <c r="L712" i="13" s="1"/>
  <c r="I713" i="13"/>
  <c r="AL713" i="13" s="1"/>
  <c r="AU712" i="13" s="1"/>
  <c r="AT712" i="13"/>
  <c r="BJ711" i="13"/>
  <c r="BD711" i="13"/>
  <c r="AX711" i="13"/>
  <c r="BC711" i="13" s="1"/>
  <c r="AW711" i="13"/>
  <c r="AV711" i="13" s="1"/>
  <c r="AP711" i="13"/>
  <c r="BI711" i="13" s="1"/>
  <c r="AC711" i="13" s="1"/>
  <c r="AO711" i="13"/>
  <c r="BH711" i="13" s="1"/>
  <c r="AB711" i="13" s="1"/>
  <c r="AK711" i="13"/>
  <c r="AJ711" i="13"/>
  <c r="AH711" i="13"/>
  <c r="AG711" i="13"/>
  <c r="AF711" i="13"/>
  <c r="AE711" i="13"/>
  <c r="AD711" i="13"/>
  <c r="Z711" i="13"/>
  <c r="L711" i="13"/>
  <c r="BF711" i="13" s="1"/>
  <c r="I711" i="13"/>
  <c r="AL711" i="13" s="1"/>
  <c r="BJ710" i="13"/>
  <c r="BI710" i="13"/>
  <c r="AC710" i="13" s="1"/>
  <c r="BH710" i="13"/>
  <c r="BF710" i="13"/>
  <c r="BD710" i="13"/>
  <c r="AW710" i="13"/>
  <c r="AP710" i="13"/>
  <c r="AX710" i="13" s="1"/>
  <c r="BC710" i="13" s="1"/>
  <c r="AO710" i="13"/>
  <c r="AK710" i="13"/>
  <c r="AJ710" i="13"/>
  <c r="AH710" i="13"/>
  <c r="AG710" i="13"/>
  <c r="AF710" i="13"/>
  <c r="AE710" i="13"/>
  <c r="AD710" i="13"/>
  <c r="AB710" i="13"/>
  <c r="Z710" i="13"/>
  <c r="L710" i="13"/>
  <c r="I710" i="13"/>
  <c r="AL710" i="13" s="1"/>
  <c r="BJ709" i="13"/>
  <c r="BD709" i="13"/>
  <c r="AX709" i="13"/>
  <c r="AW709" i="13"/>
  <c r="BC709" i="13" s="1"/>
  <c r="AV709" i="13"/>
  <c r="AP709" i="13"/>
  <c r="BI709" i="13" s="1"/>
  <c r="AC709" i="13" s="1"/>
  <c r="AO709" i="13"/>
  <c r="BH709" i="13" s="1"/>
  <c r="AB709" i="13" s="1"/>
  <c r="AK709" i="13"/>
  <c r="AJ709" i="13"/>
  <c r="AH709" i="13"/>
  <c r="AG709" i="13"/>
  <c r="AF709" i="13"/>
  <c r="AE709" i="13"/>
  <c r="AD709" i="13"/>
  <c r="Z709" i="13"/>
  <c r="L709" i="13"/>
  <c r="BF709" i="13" s="1"/>
  <c r="I709" i="13"/>
  <c r="AL709" i="13" s="1"/>
  <c r="BJ706" i="13"/>
  <c r="BI706" i="13"/>
  <c r="AC706" i="13" s="1"/>
  <c r="BH706" i="13"/>
  <c r="BF706" i="13"/>
  <c r="BD706" i="13"/>
  <c r="AW706" i="13"/>
  <c r="AV706" i="13" s="1"/>
  <c r="AP706" i="13"/>
  <c r="AX706" i="13" s="1"/>
  <c r="AO706" i="13"/>
  <c r="AK706" i="13"/>
  <c r="AJ706" i="13"/>
  <c r="AH706" i="13"/>
  <c r="AG706" i="13"/>
  <c r="AF706" i="13"/>
  <c r="AE706" i="13"/>
  <c r="AD706" i="13"/>
  <c r="AB706" i="13"/>
  <c r="Z706" i="13"/>
  <c r="L706" i="13"/>
  <c r="I706" i="13"/>
  <c r="AL706" i="13" s="1"/>
  <c r="BJ705" i="13"/>
  <c r="BD705" i="13"/>
  <c r="BC705" i="13"/>
  <c r="AX705" i="13"/>
  <c r="AW705" i="13"/>
  <c r="AV705" i="13" s="1"/>
  <c r="AP705" i="13"/>
  <c r="BI705" i="13" s="1"/>
  <c r="AC705" i="13" s="1"/>
  <c r="AO705" i="13"/>
  <c r="BH705" i="13" s="1"/>
  <c r="AK705" i="13"/>
  <c r="AJ705" i="13"/>
  <c r="AH705" i="13"/>
  <c r="AG705" i="13"/>
  <c r="AF705" i="13"/>
  <c r="AE705" i="13"/>
  <c r="AD705" i="13"/>
  <c r="AB705" i="13"/>
  <c r="Z705" i="13"/>
  <c r="L705" i="13"/>
  <c r="BF705" i="13" s="1"/>
  <c r="I705" i="13"/>
  <c r="AL705" i="13" s="1"/>
  <c r="BJ704" i="13"/>
  <c r="BI704" i="13"/>
  <c r="BH704" i="13"/>
  <c r="BF704" i="13"/>
  <c r="BD704" i="13"/>
  <c r="AW704" i="13"/>
  <c r="AP704" i="13"/>
  <c r="AX704" i="13" s="1"/>
  <c r="BC704" i="13" s="1"/>
  <c r="AO704" i="13"/>
  <c r="AK704" i="13"/>
  <c r="AJ704" i="13"/>
  <c r="AH704" i="13"/>
  <c r="AG704" i="13"/>
  <c r="AF704" i="13"/>
  <c r="AE704" i="13"/>
  <c r="AD704" i="13"/>
  <c r="AC704" i="13"/>
  <c r="AB704" i="13"/>
  <c r="Z704" i="13"/>
  <c r="L704" i="13"/>
  <c r="I704" i="13"/>
  <c r="AL704" i="13" s="1"/>
  <c r="BJ703" i="13"/>
  <c r="BD703" i="13"/>
  <c r="AX703" i="13"/>
  <c r="AW703" i="13"/>
  <c r="AP703" i="13"/>
  <c r="BI703" i="13" s="1"/>
  <c r="AC703" i="13" s="1"/>
  <c r="AO703" i="13"/>
  <c r="BH703" i="13" s="1"/>
  <c r="AK703" i="13"/>
  <c r="AJ703" i="13"/>
  <c r="AH703" i="13"/>
  <c r="AG703" i="13"/>
  <c r="AF703" i="13"/>
  <c r="AE703" i="13"/>
  <c r="AD703" i="13"/>
  <c r="AB703" i="13"/>
  <c r="Z703" i="13"/>
  <c r="L703" i="13"/>
  <c r="BF703" i="13" s="1"/>
  <c r="I703" i="13"/>
  <c r="AL703" i="13" s="1"/>
  <c r="BJ702" i="13"/>
  <c r="BI702" i="13"/>
  <c r="BH702" i="13"/>
  <c r="BF702" i="13"/>
  <c r="BD702" i="13"/>
  <c r="BC702" i="13"/>
  <c r="AX702" i="13"/>
  <c r="AW702" i="13"/>
  <c r="AV702" i="13" s="1"/>
  <c r="AP702" i="13"/>
  <c r="AO702" i="13"/>
  <c r="AK702" i="13"/>
  <c r="AJ702" i="13"/>
  <c r="AH702" i="13"/>
  <c r="AG702" i="13"/>
  <c r="AF702" i="13"/>
  <c r="AE702" i="13"/>
  <c r="AD702" i="13"/>
  <c r="AC702" i="13"/>
  <c r="AB702" i="13"/>
  <c r="Z702" i="13"/>
  <c r="L702" i="13"/>
  <c r="I702" i="13"/>
  <c r="AL702" i="13" s="1"/>
  <c r="BJ701" i="13"/>
  <c r="BD701" i="13"/>
  <c r="AW701" i="13"/>
  <c r="AP701" i="13"/>
  <c r="BI701" i="13" s="1"/>
  <c r="AC701" i="13" s="1"/>
  <c r="AO701" i="13"/>
  <c r="BH701" i="13" s="1"/>
  <c r="AL701" i="13"/>
  <c r="AK701" i="13"/>
  <c r="AJ701" i="13"/>
  <c r="AH701" i="13"/>
  <c r="AG701" i="13"/>
  <c r="AF701" i="13"/>
  <c r="AE701" i="13"/>
  <c r="AD701" i="13"/>
  <c r="AB701" i="13"/>
  <c r="Z701" i="13"/>
  <c r="L701" i="13"/>
  <c r="BF701" i="13" s="1"/>
  <c r="I701" i="13"/>
  <c r="BJ700" i="13"/>
  <c r="BI700" i="13"/>
  <c r="BH700" i="13"/>
  <c r="BF700" i="13"/>
  <c r="BD700" i="13"/>
  <c r="AX700" i="13"/>
  <c r="AW700" i="13"/>
  <c r="AV700" i="13" s="1"/>
  <c r="AP700" i="13"/>
  <c r="AO700" i="13"/>
  <c r="AK700" i="13"/>
  <c r="AT698" i="13" s="1"/>
  <c r="AJ700" i="13"/>
  <c r="AH700" i="13"/>
  <c r="AG700" i="13"/>
  <c r="AF700" i="13"/>
  <c r="AE700" i="13"/>
  <c r="AD700" i="13"/>
  <c r="AC700" i="13"/>
  <c r="AB700" i="13"/>
  <c r="Z700" i="13"/>
  <c r="L700" i="13"/>
  <c r="I700" i="13"/>
  <c r="AL700" i="13" s="1"/>
  <c r="AU698" i="13" s="1"/>
  <c r="BJ699" i="13"/>
  <c r="BD699" i="13"/>
  <c r="AW699" i="13"/>
  <c r="AP699" i="13"/>
  <c r="BI699" i="13" s="1"/>
  <c r="AC699" i="13" s="1"/>
  <c r="AO699" i="13"/>
  <c r="BH699" i="13" s="1"/>
  <c r="AL699" i="13"/>
  <c r="AK699" i="13"/>
  <c r="AJ699" i="13"/>
  <c r="AH699" i="13"/>
  <c r="AG699" i="13"/>
  <c r="AF699" i="13"/>
  <c r="AE699" i="13"/>
  <c r="AD699" i="13"/>
  <c r="AB699" i="13"/>
  <c r="Z699" i="13"/>
  <c r="L699" i="13"/>
  <c r="BF699" i="13" s="1"/>
  <c r="I699" i="13"/>
  <c r="BJ697" i="13"/>
  <c r="BD697" i="13"/>
  <c r="AP697" i="13"/>
  <c r="AO697" i="13"/>
  <c r="BH697" i="13" s="1"/>
  <c r="AD697" i="13" s="1"/>
  <c r="AL697" i="13"/>
  <c r="AU696" i="13" s="1"/>
  <c r="AK697" i="13"/>
  <c r="AT696" i="13" s="1"/>
  <c r="AJ697" i="13"/>
  <c r="AH697" i="13"/>
  <c r="AG697" i="13"/>
  <c r="AF697" i="13"/>
  <c r="AC697" i="13"/>
  <c r="AB697" i="13"/>
  <c r="Z697" i="13"/>
  <c r="L697" i="13"/>
  <c r="BF697" i="13" s="1"/>
  <c r="I697" i="13"/>
  <c r="AS696" i="13"/>
  <c r="L696" i="13"/>
  <c r="I696" i="13"/>
  <c r="BJ694" i="13"/>
  <c r="BF694" i="13"/>
  <c r="BD694" i="13"/>
  <c r="AP694" i="13"/>
  <c r="AX694" i="13" s="1"/>
  <c r="AO694" i="13"/>
  <c r="AL694" i="13"/>
  <c r="AK694" i="13"/>
  <c r="AJ694" i="13"/>
  <c r="AH694" i="13"/>
  <c r="AG694" i="13"/>
  <c r="AF694" i="13"/>
  <c r="AE694" i="13"/>
  <c r="AD694" i="13"/>
  <c r="Z694" i="13"/>
  <c r="L694" i="13"/>
  <c r="I694" i="13"/>
  <c r="BJ693" i="13"/>
  <c r="BI693" i="13"/>
  <c r="AC693" i="13" s="1"/>
  <c r="BH693" i="13"/>
  <c r="BF693" i="13"/>
  <c r="BD693" i="13"/>
  <c r="AW693" i="13"/>
  <c r="AP693" i="13"/>
  <c r="AX693" i="13" s="1"/>
  <c r="BC693" i="13" s="1"/>
  <c r="AO693" i="13"/>
  <c r="AL693" i="13"/>
  <c r="AK693" i="13"/>
  <c r="AJ693" i="13"/>
  <c r="AH693" i="13"/>
  <c r="AG693" i="13"/>
  <c r="AF693" i="13"/>
  <c r="AE693" i="13"/>
  <c r="AD693" i="13"/>
  <c r="AB693" i="13"/>
  <c r="Z693" i="13"/>
  <c r="L693" i="13"/>
  <c r="I693" i="13"/>
  <c r="BJ692" i="13"/>
  <c r="BF692" i="13"/>
  <c r="BD692" i="13"/>
  <c r="AP692" i="13"/>
  <c r="AO692" i="13"/>
  <c r="AL692" i="13"/>
  <c r="AK692" i="13"/>
  <c r="AJ692" i="13"/>
  <c r="AH692" i="13"/>
  <c r="AG692" i="13"/>
  <c r="AF692" i="13"/>
  <c r="AE692" i="13"/>
  <c r="AD692" i="13"/>
  <c r="Z692" i="13"/>
  <c r="L692" i="13"/>
  <c r="I692" i="13"/>
  <c r="AU691" i="13"/>
  <c r="AT691" i="13"/>
  <c r="AS691" i="13"/>
  <c r="L691" i="13"/>
  <c r="I691" i="13"/>
  <c r="BJ690" i="13"/>
  <c r="Z690" i="13" s="1"/>
  <c r="BI690" i="13"/>
  <c r="BH690" i="13"/>
  <c r="BD690" i="13"/>
  <c r="AX690" i="13"/>
  <c r="AP690" i="13"/>
  <c r="AO690" i="13"/>
  <c r="AW690" i="13" s="1"/>
  <c r="AL690" i="13"/>
  <c r="AK690" i="13"/>
  <c r="AJ690" i="13"/>
  <c r="AH690" i="13"/>
  <c r="AG690" i="13"/>
  <c r="AF690" i="13"/>
  <c r="AE690" i="13"/>
  <c r="AD690" i="13"/>
  <c r="AC690" i="13"/>
  <c r="AB690" i="13"/>
  <c r="L690" i="13"/>
  <c r="BF690" i="13" s="1"/>
  <c r="I690" i="13"/>
  <c r="BJ689" i="13"/>
  <c r="BF689" i="13"/>
  <c r="BD689" i="13"/>
  <c r="AP689" i="13"/>
  <c r="BI689" i="13" s="1"/>
  <c r="AO689" i="13"/>
  <c r="AL689" i="13"/>
  <c r="AK689" i="13"/>
  <c r="AJ689" i="13"/>
  <c r="AH689" i="13"/>
  <c r="AG689" i="13"/>
  <c r="AF689" i="13"/>
  <c r="AE689" i="13"/>
  <c r="AD689" i="13"/>
  <c r="AC689" i="13"/>
  <c r="AB689" i="13"/>
  <c r="Z689" i="13"/>
  <c r="L689" i="13"/>
  <c r="I689" i="13"/>
  <c r="BJ688" i="13"/>
  <c r="Z688" i="13" s="1"/>
  <c r="BI688" i="13"/>
  <c r="BH688" i="13"/>
  <c r="BF688" i="13"/>
  <c r="BD688" i="13"/>
  <c r="AX688" i="13"/>
  <c r="AP688" i="13"/>
  <c r="AO688" i="13"/>
  <c r="AW688" i="13" s="1"/>
  <c r="AL688" i="13"/>
  <c r="AK688" i="13"/>
  <c r="AJ688" i="13"/>
  <c r="AH688" i="13"/>
  <c r="AG688" i="13"/>
  <c r="AF688" i="13"/>
  <c r="AE688" i="13"/>
  <c r="AD688" i="13"/>
  <c r="AC688" i="13"/>
  <c r="AB688" i="13"/>
  <c r="L688" i="13"/>
  <c r="I688" i="13"/>
  <c r="BJ686" i="13"/>
  <c r="BD686" i="13"/>
  <c r="BC686" i="13"/>
  <c r="AX686" i="13"/>
  <c r="AV686" i="13" s="1"/>
  <c r="AW686" i="13"/>
  <c r="AP686" i="13"/>
  <c r="BI686" i="13" s="1"/>
  <c r="AO686" i="13"/>
  <c r="BH686" i="13" s="1"/>
  <c r="AK686" i="13"/>
  <c r="AJ686" i="13"/>
  <c r="AH686" i="13"/>
  <c r="AG686" i="13"/>
  <c r="AF686" i="13"/>
  <c r="AE686" i="13"/>
  <c r="AD686" i="13"/>
  <c r="AC686" i="13"/>
  <c r="AB686" i="13"/>
  <c r="Z686" i="13"/>
  <c r="L686" i="13"/>
  <c r="I686" i="13"/>
  <c r="AL686" i="13" s="1"/>
  <c r="BJ685" i="13"/>
  <c r="Z685" i="13" s="1"/>
  <c r="BI685" i="13"/>
  <c r="BH685" i="13"/>
  <c r="BD685" i="13"/>
  <c r="AX685" i="13"/>
  <c r="AP685" i="13"/>
  <c r="AO685" i="13"/>
  <c r="AW685" i="13" s="1"/>
  <c r="AL685" i="13"/>
  <c r="AK685" i="13"/>
  <c r="AT684" i="13" s="1"/>
  <c r="AJ685" i="13"/>
  <c r="AS684" i="13" s="1"/>
  <c r="AH685" i="13"/>
  <c r="AG685" i="13"/>
  <c r="AF685" i="13"/>
  <c r="AE685" i="13"/>
  <c r="AD685" i="13"/>
  <c r="AC685" i="13"/>
  <c r="AB685" i="13"/>
  <c r="L685" i="13"/>
  <c r="BF685" i="13" s="1"/>
  <c r="I685" i="13"/>
  <c r="BJ683" i="13"/>
  <c r="BH683" i="13"/>
  <c r="BF683" i="13"/>
  <c r="BD683" i="13"/>
  <c r="AW683" i="13"/>
  <c r="AP683" i="13"/>
  <c r="BI683" i="13" s="1"/>
  <c r="AO683" i="13"/>
  <c r="AK683" i="13"/>
  <c r="AJ683" i="13"/>
  <c r="AS682" i="13" s="1"/>
  <c r="AH683" i="13"/>
  <c r="AG683" i="13"/>
  <c r="AF683" i="13"/>
  <c r="AE683" i="13"/>
  <c r="AD683" i="13"/>
  <c r="AC683" i="13"/>
  <c r="AB683" i="13"/>
  <c r="Z683" i="13"/>
  <c r="L683" i="13"/>
  <c r="L682" i="13" s="1"/>
  <c r="I683" i="13"/>
  <c r="AT682" i="13"/>
  <c r="BJ681" i="13"/>
  <c r="BI681" i="13"/>
  <c r="BF681" i="13"/>
  <c r="BD681" i="13"/>
  <c r="AP681" i="13"/>
  <c r="AX681" i="13" s="1"/>
  <c r="AO681" i="13"/>
  <c r="AW681" i="13" s="1"/>
  <c r="AK681" i="13"/>
  <c r="AJ681" i="13"/>
  <c r="AH681" i="13"/>
  <c r="AG681" i="13"/>
  <c r="AF681" i="13"/>
  <c r="AE681" i="13"/>
  <c r="AD681" i="13"/>
  <c r="AC681" i="13"/>
  <c r="AB681" i="13"/>
  <c r="Z681" i="13"/>
  <c r="L681" i="13"/>
  <c r="I681" i="13"/>
  <c r="AL681" i="13" s="1"/>
  <c r="BJ680" i="13"/>
  <c r="BF680" i="13"/>
  <c r="BD680" i="13"/>
  <c r="AP680" i="13"/>
  <c r="AO680" i="13"/>
  <c r="AL680" i="13"/>
  <c r="AK680" i="13"/>
  <c r="AJ680" i="13"/>
  <c r="AH680" i="13"/>
  <c r="AG680" i="13"/>
  <c r="AF680" i="13"/>
  <c r="AE680" i="13"/>
  <c r="AD680" i="13"/>
  <c r="Z680" i="13"/>
  <c r="L680" i="13"/>
  <c r="I680" i="13"/>
  <c r="BJ675" i="13"/>
  <c r="BI675" i="13"/>
  <c r="AC675" i="13" s="1"/>
  <c r="BH675" i="13"/>
  <c r="BF675" i="13"/>
  <c r="BD675" i="13"/>
  <c r="AX675" i="13"/>
  <c r="AW675" i="13"/>
  <c r="BC675" i="13" s="1"/>
  <c r="AP675" i="13"/>
  <c r="AO675" i="13"/>
  <c r="AK675" i="13"/>
  <c r="AJ675" i="13"/>
  <c r="AH675" i="13"/>
  <c r="AG675" i="13"/>
  <c r="AF675" i="13"/>
  <c r="AE675" i="13"/>
  <c r="AD675" i="13"/>
  <c r="AB675" i="13"/>
  <c r="Z675" i="13"/>
  <c r="L675" i="13"/>
  <c r="I675" i="13"/>
  <c r="AL675" i="13" s="1"/>
  <c r="BJ674" i="13"/>
  <c r="BI674" i="13"/>
  <c r="AC674" i="13" s="1"/>
  <c r="BH674" i="13"/>
  <c r="BF674" i="13"/>
  <c r="BD674" i="13"/>
  <c r="AP674" i="13"/>
  <c r="AX674" i="13" s="1"/>
  <c r="AO674" i="13"/>
  <c r="AW674" i="13" s="1"/>
  <c r="AL674" i="13"/>
  <c r="AK674" i="13"/>
  <c r="AJ674" i="13"/>
  <c r="AH674" i="13"/>
  <c r="AG674" i="13"/>
  <c r="AF674" i="13"/>
  <c r="AE674" i="13"/>
  <c r="AD674" i="13"/>
  <c r="AB674" i="13"/>
  <c r="Z674" i="13"/>
  <c r="L674" i="13"/>
  <c r="I674" i="13"/>
  <c r="BJ673" i="13"/>
  <c r="BF673" i="13"/>
  <c r="BD673" i="13"/>
  <c r="AW673" i="13"/>
  <c r="AP673" i="13"/>
  <c r="AO673" i="13"/>
  <c r="BH673" i="13" s="1"/>
  <c r="AB673" i="13" s="1"/>
  <c r="AK673" i="13"/>
  <c r="AJ673" i="13"/>
  <c r="AH673" i="13"/>
  <c r="AG673" i="13"/>
  <c r="AF673" i="13"/>
  <c r="AE673" i="13"/>
  <c r="AD673" i="13"/>
  <c r="Z673" i="13"/>
  <c r="L673" i="13"/>
  <c r="I673" i="13"/>
  <c r="AL673" i="13" s="1"/>
  <c r="BJ669" i="13"/>
  <c r="BI669" i="13"/>
  <c r="AC669" i="13" s="1"/>
  <c r="BH669" i="13"/>
  <c r="AB669" i="13" s="1"/>
  <c r="BF669" i="13"/>
  <c r="BD669" i="13"/>
  <c r="AP669" i="13"/>
  <c r="AX669" i="13" s="1"/>
  <c r="AO669" i="13"/>
  <c r="AW669" i="13" s="1"/>
  <c r="AL669" i="13"/>
  <c r="AK669" i="13"/>
  <c r="AT668" i="13" s="1"/>
  <c r="AJ669" i="13"/>
  <c r="AS668" i="13" s="1"/>
  <c r="AH669" i="13"/>
  <c r="AG669" i="13"/>
  <c r="AF669" i="13"/>
  <c r="AE669" i="13"/>
  <c r="AD669" i="13"/>
  <c r="Z669" i="13"/>
  <c r="L669" i="13"/>
  <c r="I669" i="13"/>
  <c r="L668" i="13"/>
  <c r="BJ666" i="13"/>
  <c r="Z666" i="13" s="1"/>
  <c r="BI666" i="13"/>
  <c r="BH666" i="13"/>
  <c r="BF666" i="13"/>
  <c r="BD666" i="13"/>
  <c r="BC666" i="13"/>
  <c r="AX666" i="13"/>
  <c r="AW666" i="13"/>
  <c r="AV666" i="13" s="1"/>
  <c r="AP666" i="13"/>
  <c r="AO666" i="13"/>
  <c r="AK666" i="13"/>
  <c r="AJ666" i="13"/>
  <c r="AS624" i="13" s="1"/>
  <c r="AH666" i="13"/>
  <c r="AG666" i="13"/>
  <c r="AF666" i="13"/>
  <c r="AE666" i="13"/>
  <c r="AD666" i="13"/>
  <c r="AC666" i="13"/>
  <c r="AB666" i="13"/>
  <c r="L666" i="13"/>
  <c r="I666" i="13"/>
  <c r="AL666" i="13" s="1"/>
  <c r="BJ665" i="13"/>
  <c r="BD665" i="13"/>
  <c r="AX665" i="13"/>
  <c r="AV665" i="13" s="1"/>
  <c r="AW665" i="13"/>
  <c r="AP665" i="13"/>
  <c r="BI665" i="13" s="1"/>
  <c r="AO665" i="13"/>
  <c r="BH665" i="13" s="1"/>
  <c r="AK665" i="13"/>
  <c r="AJ665" i="13"/>
  <c r="AH665" i="13"/>
  <c r="AG665" i="13"/>
  <c r="AF665" i="13"/>
  <c r="AE665" i="13"/>
  <c r="AD665" i="13"/>
  <c r="AC665" i="13"/>
  <c r="AB665" i="13"/>
  <c r="Z665" i="13"/>
  <c r="L665" i="13"/>
  <c r="I665" i="13"/>
  <c r="AL665" i="13" s="1"/>
  <c r="BJ656" i="13"/>
  <c r="BI656" i="13"/>
  <c r="BH656" i="13"/>
  <c r="BF656" i="13"/>
  <c r="BD656" i="13"/>
  <c r="AX656" i="13"/>
  <c r="AW656" i="13"/>
  <c r="AV656" i="13" s="1"/>
  <c r="AP656" i="13"/>
  <c r="AO656" i="13"/>
  <c r="AK656" i="13"/>
  <c r="AJ656" i="13"/>
  <c r="AH656" i="13"/>
  <c r="AG656" i="13"/>
  <c r="AF656" i="13"/>
  <c r="AE656" i="13"/>
  <c r="AD656" i="13"/>
  <c r="AC656" i="13"/>
  <c r="AB656" i="13"/>
  <c r="Z656" i="13"/>
  <c r="L656" i="13"/>
  <c r="I656" i="13"/>
  <c r="AL656" i="13" s="1"/>
  <c r="BJ650" i="13"/>
  <c r="BD650" i="13"/>
  <c r="AP650" i="13"/>
  <c r="BI650" i="13" s="1"/>
  <c r="AC650" i="13" s="1"/>
  <c r="AO650" i="13"/>
  <c r="BH650" i="13" s="1"/>
  <c r="AB650" i="13" s="1"/>
  <c r="AL650" i="13"/>
  <c r="AK650" i="13"/>
  <c r="AT624" i="13" s="1"/>
  <c r="AJ650" i="13"/>
  <c r="AH650" i="13"/>
  <c r="AG650" i="13"/>
  <c r="AF650" i="13"/>
  <c r="AE650" i="13"/>
  <c r="AD650" i="13"/>
  <c r="Z650" i="13"/>
  <c r="L650" i="13"/>
  <c r="BF650" i="13" s="1"/>
  <c r="I650" i="13"/>
  <c r="BJ645" i="13"/>
  <c r="BI645" i="13"/>
  <c r="BH645" i="13"/>
  <c r="BF645" i="13"/>
  <c r="BD645" i="13"/>
  <c r="BC645" i="13"/>
  <c r="AX645" i="13"/>
  <c r="AW645" i="13"/>
  <c r="AV645" i="13" s="1"/>
  <c r="AP645" i="13"/>
  <c r="AO645" i="13"/>
  <c r="AK645" i="13"/>
  <c r="AJ645" i="13"/>
  <c r="AH645" i="13"/>
  <c r="AG645" i="13"/>
  <c r="AF645" i="13"/>
  <c r="AE645" i="13"/>
  <c r="AD645" i="13"/>
  <c r="AC645" i="13"/>
  <c r="AB645" i="13"/>
  <c r="Z645" i="13"/>
  <c r="L645" i="13"/>
  <c r="I645" i="13"/>
  <c r="AL645" i="13" s="1"/>
  <c r="BJ636" i="13"/>
  <c r="BD636" i="13"/>
  <c r="AX636" i="13"/>
  <c r="AW636" i="13"/>
  <c r="BC636" i="13" s="1"/>
  <c r="AP636" i="13"/>
  <c r="BI636" i="13" s="1"/>
  <c r="AC636" i="13" s="1"/>
  <c r="AO636" i="13"/>
  <c r="BH636" i="13" s="1"/>
  <c r="AK636" i="13"/>
  <c r="AJ636" i="13"/>
  <c r="AH636" i="13"/>
  <c r="AG636" i="13"/>
  <c r="AF636" i="13"/>
  <c r="AE636" i="13"/>
  <c r="AD636" i="13"/>
  <c r="AB636" i="13"/>
  <c r="Z636" i="13"/>
  <c r="L636" i="13"/>
  <c r="BF636" i="13" s="1"/>
  <c r="I636" i="13"/>
  <c r="AL636" i="13" s="1"/>
  <c r="BJ627" i="13"/>
  <c r="BI627" i="13"/>
  <c r="BH627" i="13"/>
  <c r="BF627" i="13"/>
  <c r="BD627" i="13"/>
  <c r="AX627" i="13"/>
  <c r="AW627" i="13"/>
  <c r="AP627" i="13"/>
  <c r="AO627" i="13"/>
  <c r="AK627" i="13"/>
  <c r="AJ627" i="13"/>
  <c r="AH627" i="13"/>
  <c r="AG627" i="13"/>
  <c r="AF627" i="13"/>
  <c r="AE627" i="13"/>
  <c r="AD627" i="13"/>
  <c r="AC627" i="13"/>
  <c r="AB627" i="13"/>
  <c r="Z627" i="13"/>
  <c r="L627" i="13"/>
  <c r="I627" i="13"/>
  <c r="AL627" i="13" s="1"/>
  <c r="BJ625" i="13"/>
  <c r="BD625" i="13"/>
  <c r="AW625" i="13"/>
  <c r="AP625" i="13"/>
  <c r="AO625" i="13"/>
  <c r="BH625" i="13" s="1"/>
  <c r="AB625" i="13" s="1"/>
  <c r="AK625" i="13"/>
  <c r="AJ625" i="13"/>
  <c r="AH625" i="13"/>
  <c r="AG625" i="13"/>
  <c r="AF625" i="13"/>
  <c r="AE625" i="13"/>
  <c r="AD625" i="13"/>
  <c r="Z625" i="13"/>
  <c r="L625" i="13"/>
  <c r="BF625" i="13" s="1"/>
  <c r="I625" i="13"/>
  <c r="AL625" i="13" s="1"/>
  <c r="AU624" i="13" s="1"/>
  <c r="BJ622" i="13"/>
  <c r="BI622" i="13"/>
  <c r="AC622" i="13" s="1"/>
  <c r="BH622" i="13"/>
  <c r="AB622" i="13" s="1"/>
  <c r="BD622" i="13"/>
  <c r="AP622" i="13"/>
  <c r="AX622" i="13" s="1"/>
  <c r="AO622" i="13"/>
  <c r="AW622" i="13" s="1"/>
  <c r="AK622" i="13"/>
  <c r="AT621" i="13" s="1"/>
  <c r="AJ622" i="13"/>
  <c r="AS621" i="13" s="1"/>
  <c r="AH622" i="13"/>
  <c r="AG622" i="13"/>
  <c r="AF622" i="13"/>
  <c r="AE622" i="13"/>
  <c r="AD622" i="13"/>
  <c r="Z622" i="13"/>
  <c r="L622" i="13"/>
  <c r="BF622" i="13" s="1"/>
  <c r="I622" i="13"/>
  <c r="I621" i="13" s="1"/>
  <c r="L621" i="13"/>
  <c r="BJ619" i="13"/>
  <c r="BI619" i="13"/>
  <c r="AE619" i="13" s="1"/>
  <c r="BF619" i="13"/>
  <c r="BD619" i="13"/>
  <c r="AP619" i="13"/>
  <c r="AX619" i="13" s="1"/>
  <c r="AO619" i="13"/>
  <c r="AW619" i="13" s="1"/>
  <c r="AL619" i="13"/>
  <c r="AK619" i="13"/>
  <c r="AJ619" i="13"/>
  <c r="AH619" i="13"/>
  <c r="AG619" i="13"/>
  <c r="AF619" i="13"/>
  <c r="AC619" i="13"/>
  <c r="AB619" i="13"/>
  <c r="Z619" i="13"/>
  <c r="L619" i="13"/>
  <c r="I619" i="13"/>
  <c r="BJ616" i="13"/>
  <c r="BH616" i="13"/>
  <c r="AD616" i="13" s="1"/>
  <c r="BF616" i="13"/>
  <c r="BD616" i="13"/>
  <c r="AX616" i="13"/>
  <c r="AP616" i="13"/>
  <c r="BI616" i="13" s="1"/>
  <c r="AE616" i="13" s="1"/>
  <c r="AO616" i="13"/>
  <c r="AW616" i="13" s="1"/>
  <c r="AK616" i="13"/>
  <c r="AJ616" i="13"/>
  <c r="AH616" i="13"/>
  <c r="AG616" i="13"/>
  <c r="AF616" i="13"/>
  <c r="AC616" i="13"/>
  <c r="AB616" i="13"/>
  <c r="Z616" i="13"/>
  <c r="L616" i="13"/>
  <c r="I616" i="13"/>
  <c r="AL616" i="13" s="1"/>
  <c r="BJ612" i="13"/>
  <c r="BI612" i="13"/>
  <c r="BF612" i="13"/>
  <c r="BD612" i="13"/>
  <c r="AP612" i="13"/>
  <c r="AX612" i="13" s="1"/>
  <c r="AO612" i="13"/>
  <c r="AL612" i="13"/>
  <c r="AK612" i="13"/>
  <c r="AJ612" i="13"/>
  <c r="AS611" i="13" s="1"/>
  <c r="AH612" i="13"/>
  <c r="AG612" i="13"/>
  <c r="AF612" i="13"/>
  <c r="AE612" i="13"/>
  <c r="AC612" i="13"/>
  <c r="AB612" i="13"/>
  <c r="Z612" i="13"/>
  <c r="L612" i="13"/>
  <c r="I612" i="13"/>
  <c r="AU611" i="13"/>
  <c r="L611" i="13"/>
  <c r="BJ608" i="13"/>
  <c r="BI608" i="13"/>
  <c r="BH608" i="13"/>
  <c r="BF608" i="13"/>
  <c r="BD608" i="13"/>
  <c r="BC608" i="13"/>
  <c r="AX608" i="13"/>
  <c r="AW608" i="13"/>
  <c r="AV608" i="13"/>
  <c r="AP608" i="13"/>
  <c r="AO608" i="13"/>
  <c r="AL608" i="13"/>
  <c r="AK608" i="13"/>
  <c r="AJ608" i="13"/>
  <c r="AH608" i="13"/>
  <c r="AG608" i="13"/>
  <c r="AF608" i="13"/>
  <c r="AE608" i="13"/>
  <c r="AD608" i="13"/>
  <c r="AC608" i="13"/>
  <c r="AB608" i="13"/>
  <c r="Z608" i="13"/>
  <c r="L608" i="13"/>
  <c r="I608" i="13"/>
  <c r="BJ587" i="13"/>
  <c r="BD587" i="13"/>
  <c r="BC587" i="13"/>
  <c r="AX587" i="13"/>
  <c r="AW587" i="13"/>
  <c r="AV587" i="13" s="1"/>
  <c r="AP587" i="13"/>
  <c r="BI587" i="13" s="1"/>
  <c r="AE587" i="13" s="1"/>
  <c r="AO587" i="13"/>
  <c r="BH587" i="13" s="1"/>
  <c r="AD587" i="13" s="1"/>
  <c r="AK587" i="13"/>
  <c r="AJ587" i="13"/>
  <c r="AH587" i="13"/>
  <c r="AG587" i="13"/>
  <c r="AF587" i="13"/>
  <c r="AC587" i="13"/>
  <c r="AB587" i="13"/>
  <c r="Z587" i="13"/>
  <c r="L587" i="13"/>
  <c r="BF587" i="13" s="1"/>
  <c r="I587" i="13"/>
  <c r="AL587" i="13" s="1"/>
  <c r="BJ577" i="13"/>
  <c r="BI577" i="13"/>
  <c r="AE577" i="13" s="1"/>
  <c r="BH577" i="13"/>
  <c r="BD577" i="13"/>
  <c r="BC577" i="13"/>
  <c r="AX577" i="13"/>
  <c r="AV577" i="13" s="1"/>
  <c r="AW577" i="13"/>
  <c r="AP577" i="13"/>
  <c r="AO577" i="13"/>
  <c r="AK577" i="13"/>
  <c r="AJ577" i="13"/>
  <c r="AH577" i="13"/>
  <c r="AG577" i="13"/>
  <c r="AF577" i="13"/>
  <c r="AD577" i="13"/>
  <c r="AC577" i="13"/>
  <c r="AB577" i="13"/>
  <c r="Z577" i="13"/>
  <c r="L577" i="13"/>
  <c r="I577" i="13"/>
  <c r="BJ567" i="13"/>
  <c r="BH567" i="13"/>
  <c r="BD567" i="13"/>
  <c r="AX567" i="13"/>
  <c r="AW567" i="13"/>
  <c r="BC567" i="13" s="1"/>
  <c r="AP567" i="13"/>
  <c r="BI567" i="13" s="1"/>
  <c r="AE567" i="13" s="1"/>
  <c r="AO567" i="13"/>
  <c r="AK567" i="13"/>
  <c r="AJ567" i="13"/>
  <c r="AH567" i="13"/>
  <c r="AG567" i="13"/>
  <c r="AF567" i="13"/>
  <c r="AD567" i="13"/>
  <c r="AC567" i="13"/>
  <c r="AB567" i="13"/>
  <c r="Z567" i="13"/>
  <c r="L567" i="13"/>
  <c r="BF567" i="13" s="1"/>
  <c r="I567" i="13"/>
  <c r="AL567" i="13" s="1"/>
  <c r="BJ561" i="13"/>
  <c r="BD561" i="13"/>
  <c r="AP561" i="13"/>
  <c r="BI561" i="13" s="1"/>
  <c r="AO561" i="13"/>
  <c r="AW561" i="13" s="1"/>
  <c r="AL561" i="13"/>
  <c r="AK561" i="13"/>
  <c r="AJ561" i="13"/>
  <c r="AH561" i="13"/>
  <c r="AG561" i="13"/>
  <c r="AF561" i="13"/>
  <c r="AE561" i="13"/>
  <c r="AC561" i="13"/>
  <c r="AB561" i="13"/>
  <c r="Z561" i="13"/>
  <c r="L561" i="13"/>
  <c r="BF561" i="13" s="1"/>
  <c r="I561" i="13"/>
  <c r="BJ557" i="13"/>
  <c r="BD557" i="13"/>
  <c r="AP557" i="13"/>
  <c r="AO557" i="13"/>
  <c r="BH557" i="13" s="1"/>
  <c r="AD557" i="13" s="1"/>
  <c r="AK557" i="13"/>
  <c r="AJ557" i="13"/>
  <c r="AH557" i="13"/>
  <c r="AG557" i="13"/>
  <c r="AF557" i="13"/>
  <c r="AC557" i="13"/>
  <c r="AB557" i="13"/>
  <c r="Z557" i="13"/>
  <c r="L557" i="13"/>
  <c r="BF557" i="13" s="1"/>
  <c r="I557" i="13"/>
  <c r="AT556" i="13"/>
  <c r="AS556" i="13"/>
  <c r="BJ555" i="13"/>
  <c r="BI555" i="13"/>
  <c r="BF555" i="13"/>
  <c r="BD555" i="13"/>
  <c r="AX555" i="13"/>
  <c r="AP555" i="13"/>
  <c r="AO555" i="13"/>
  <c r="BH555" i="13" s="1"/>
  <c r="AL555" i="13"/>
  <c r="AK555" i="13"/>
  <c r="AJ555" i="13"/>
  <c r="AH555" i="13"/>
  <c r="AG555" i="13"/>
  <c r="AF555" i="13"/>
  <c r="AE555" i="13"/>
  <c r="AD555" i="13"/>
  <c r="AC555" i="13"/>
  <c r="AB555" i="13"/>
  <c r="Z555" i="13"/>
  <c r="L555" i="13"/>
  <c r="I555" i="13"/>
  <c r="BJ549" i="13"/>
  <c r="BH549" i="13"/>
  <c r="AD549" i="13" s="1"/>
  <c r="BD549" i="13"/>
  <c r="AP549" i="13"/>
  <c r="BI549" i="13" s="1"/>
  <c r="AE549" i="13" s="1"/>
  <c r="AO549" i="13"/>
  <c r="AW549" i="13" s="1"/>
  <c r="AL549" i="13"/>
  <c r="AK549" i="13"/>
  <c r="AJ549" i="13"/>
  <c r="AS524" i="13" s="1"/>
  <c r="AH549" i="13"/>
  <c r="AG549" i="13"/>
  <c r="AF549" i="13"/>
  <c r="AC549" i="13"/>
  <c r="AB549" i="13"/>
  <c r="Z549" i="13"/>
  <c r="L549" i="13"/>
  <c r="BF549" i="13" s="1"/>
  <c r="I549" i="13"/>
  <c r="BJ544" i="13"/>
  <c r="BI544" i="13"/>
  <c r="AE544" i="13" s="1"/>
  <c r="BD544" i="13"/>
  <c r="AX544" i="13"/>
  <c r="BC544" i="13" s="1"/>
  <c r="AW544" i="13"/>
  <c r="AP544" i="13"/>
  <c r="AO544" i="13"/>
  <c r="BH544" i="13" s="1"/>
  <c r="AD544" i="13" s="1"/>
  <c r="AK544" i="13"/>
  <c r="AJ544" i="13"/>
  <c r="AH544" i="13"/>
  <c r="AG544" i="13"/>
  <c r="AF544" i="13"/>
  <c r="AC544" i="13"/>
  <c r="AB544" i="13"/>
  <c r="Z544" i="13"/>
  <c r="L544" i="13"/>
  <c r="BF544" i="13" s="1"/>
  <c r="I544" i="13"/>
  <c r="AL544" i="13" s="1"/>
  <c r="BJ542" i="13"/>
  <c r="BI542" i="13"/>
  <c r="BH542" i="13"/>
  <c r="AD542" i="13" s="1"/>
  <c r="BF542" i="13"/>
  <c r="BD542" i="13"/>
  <c r="AX542" i="13"/>
  <c r="AP542" i="13"/>
  <c r="AO542" i="13"/>
  <c r="AW542" i="13" s="1"/>
  <c r="AL542" i="13"/>
  <c r="AK542" i="13"/>
  <c r="AJ542" i="13"/>
  <c r="AH542" i="13"/>
  <c r="AG542" i="13"/>
  <c r="AF542" i="13"/>
  <c r="AE542" i="13"/>
  <c r="AC542" i="13"/>
  <c r="AB542" i="13"/>
  <c r="Z542" i="13"/>
  <c r="L542" i="13"/>
  <c r="I542" i="13"/>
  <c r="BJ533" i="13"/>
  <c r="BF533" i="13"/>
  <c r="BD533" i="13"/>
  <c r="AX533" i="13"/>
  <c r="AP533" i="13"/>
  <c r="BI533" i="13" s="1"/>
  <c r="AE533" i="13" s="1"/>
  <c r="AO533" i="13"/>
  <c r="AK533" i="13"/>
  <c r="AJ533" i="13"/>
  <c r="AH533" i="13"/>
  <c r="AG533" i="13"/>
  <c r="AF533" i="13"/>
  <c r="AC533" i="13"/>
  <c r="AB533" i="13"/>
  <c r="Z533" i="13"/>
  <c r="L533" i="13"/>
  <c r="I533" i="13"/>
  <c r="AL533" i="13" s="1"/>
  <c r="BJ531" i="13"/>
  <c r="BH531" i="13"/>
  <c r="AD531" i="13" s="1"/>
  <c r="BF531" i="13"/>
  <c r="BD531" i="13"/>
  <c r="AX531" i="13"/>
  <c r="BC531" i="13" s="1"/>
  <c r="AP531" i="13"/>
  <c r="BI531" i="13" s="1"/>
  <c r="AO531" i="13"/>
  <c r="AW531" i="13" s="1"/>
  <c r="AL531" i="13"/>
  <c r="AK531" i="13"/>
  <c r="AJ531" i="13"/>
  <c r="AH531" i="13"/>
  <c r="AG531" i="13"/>
  <c r="AF531" i="13"/>
  <c r="AE531" i="13"/>
  <c r="AC531" i="13"/>
  <c r="AB531" i="13"/>
  <c r="Z531" i="13"/>
  <c r="L531" i="13"/>
  <c r="I531" i="13"/>
  <c r="BJ525" i="13"/>
  <c r="BD525" i="13"/>
  <c r="AP525" i="13"/>
  <c r="AO525" i="13"/>
  <c r="BH525" i="13" s="1"/>
  <c r="AD525" i="13" s="1"/>
  <c r="AK525" i="13"/>
  <c r="AJ525" i="13"/>
  <c r="AH525" i="13"/>
  <c r="AG525" i="13"/>
  <c r="AF525" i="13"/>
  <c r="AC525" i="13"/>
  <c r="AB525" i="13"/>
  <c r="Z525" i="13"/>
  <c r="L525" i="13"/>
  <c r="BF525" i="13" s="1"/>
  <c r="I525" i="13"/>
  <c r="AL525" i="13" s="1"/>
  <c r="AU524" i="13" s="1"/>
  <c r="AT524" i="13"/>
  <c r="BJ523" i="13"/>
  <c r="Z523" i="13" s="1"/>
  <c r="BI523" i="13"/>
  <c r="BF523" i="13"/>
  <c r="BD523" i="13"/>
  <c r="AX523" i="13"/>
  <c r="AW523" i="13"/>
  <c r="BC523" i="13" s="1"/>
  <c r="AP523" i="13"/>
  <c r="AO523" i="13"/>
  <c r="BH523" i="13" s="1"/>
  <c r="AK523" i="13"/>
  <c r="AJ523" i="13"/>
  <c r="AS479" i="13" s="1"/>
  <c r="AH523" i="13"/>
  <c r="AG523" i="13"/>
  <c r="AF523" i="13"/>
  <c r="AE523" i="13"/>
  <c r="AD523" i="13"/>
  <c r="AC523" i="13"/>
  <c r="AB523" i="13"/>
  <c r="L523" i="13"/>
  <c r="I523" i="13"/>
  <c r="AL523" i="13" s="1"/>
  <c r="BJ515" i="13"/>
  <c r="BH515" i="13"/>
  <c r="BD515" i="13"/>
  <c r="AX515" i="13"/>
  <c r="AV515" i="13" s="1"/>
  <c r="AW515" i="13"/>
  <c r="AP515" i="13"/>
  <c r="BI515" i="13" s="1"/>
  <c r="AE515" i="13" s="1"/>
  <c r="AO515" i="13"/>
  <c r="AK515" i="13"/>
  <c r="AJ515" i="13"/>
  <c r="AH515" i="13"/>
  <c r="AG515" i="13"/>
  <c r="AF515" i="13"/>
  <c r="AD515" i="13"/>
  <c r="AC515" i="13"/>
  <c r="AB515" i="13"/>
  <c r="Z515" i="13"/>
  <c r="L515" i="13"/>
  <c r="BF515" i="13" s="1"/>
  <c r="I515" i="13"/>
  <c r="AL515" i="13" s="1"/>
  <c r="BJ512" i="13"/>
  <c r="BI512" i="13"/>
  <c r="AE512" i="13" s="1"/>
  <c r="BF512" i="13"/>
  <c r="BD512" i="13"/>
  <c r="AX512" i="13"/>
  <c r="AW512" i="13"/>
  <c r="AP512" i="13"/>
  <c r="AO512" i="13"/>
  <c r="BH512" i="13" s="1"/>
  <c r="AD512" i="13" s="1"/>
  <c r="AK512" i="13"/>
  <c r="AJ512" i="13"/>
  <c r="AH512" i="13"/>
  <c r="AG512" i="13"/>
  <c r="AF512" i="13"/>
  <c r="AC512" i="13"/>
  <c r="AB512" i="13"/>
  <c r="Z512" i="13"/>
  <c r="L512" i="13"/>
  <c r="I512" i="13"/>
  <c r="AL512" i="13" s="1"/>
  <c r="BJ505" i="13"/>
  <c r="BH505" i="13"/>
  <c r="BF505" i="13"/>
  <c r="BD505" i="13"/>
  <c r="AW505" i="13"/>
  <c r="AP505" i="13"/>
  <c r="AO505" i="13"/>
  <c r="AL505" i="13"/>
  <c r="AK505" i="13"/>
  <c r="AJ505" i="13"/>
  <c r="AH505" i="13"/>
  <c r="AG505" i="13"/>
  <c r="AF505" i="13"/>
  <c r="AD505" i="13"/>
  <c r="AC505" i="13"/>
  <c r="AB505" i="13"/>
  <c r="Z505" i="13"/>
  <c r="L505" i="13"/>
  <c r="I505" i="13"/>
  <c r="BJ500" i="13"/>
  <c r="BD500" i="13"/>
  <c r="AP500" i="13"/>
  <c r="BI500" i="13" s="1"/>
  <c r="AE500" i="13" s="1"/>
  <c r="AO500" i="13"/>
  <c r="AK500" i="13"/>
  <c r="AJ500" i="13"/>
  <c r="AH500" i="13"/>
  <c r="AG500" i="13"/>
  <c r="AF500" i="13"/>
  <c r="AC500" i="13"/>
  <c r="AB500" i="13"/>
  <c r="Z500" i="13"/>
  <c r="L500" i="13"/>
  <c r="BF500" i="13" s="1"/>
  <c r="I500" i="13"/>
  <c r="AL500" i="13" s="1"/>
  <c r="BJ497" i="13"/>
  <c r="BH497" i="13"/>
  <c r="BF497" i="13"/>
  <c r="BD497" i="13"/>
  <c r="AX497" i="13"/>
  <c r="BC497" i="13" s="1"/>
  <c r="AW497" i="13"/>
  <c r="AV497" i="13" s="1"/>
  <c r="AP497" i="13"/>
  <c r="BI497" i="13" s="1"/>
  <c r="AE497" i="13" s="1"/>
  <c r="AO497" i="13"/>
  <c r="AL497" i="13"/>
  <c r="AK497" i="13"/>
  <c r="AJ497" i="13"/>
  <c r="AH497" i="13"/>
  <c r="AG497" i="13"/>
  <c r="AF497" i="13"/>
  <c r="AD497" i="13"/>
  <c r="AC497" i="13"/>
  <c r="AB497" i="13"/>
  <c r="Z497" i="13"/>
  <c r="L497" i="13"/>
  <c r="I497" i="13"/>
  <c r="BJ493" i="13"/>
  <c r="BI493" i="13"/>
  <c r="AE493" i="13" s="1"/>
  <c r="BD493" i="13"/>
  <c r="AX493" i="13"/>
  <c r="BC493" i="13" s="1"/>
  <c r="AW493" i="13"/>
  <c r="AV493" i="13" s="1"/>
  <c r="AP493" i="13"/>
  <c r="AO493" i="13"/>
  <c r="BH493" i="13" s="1"/>
  <c r="AD493" i="13" s="1"/>
  <c r="AK493" i="13"/>
  <c r="AT479" i="13" s="1"/>
  <c r="AJ493" i="13"/>
  <c r="AH493" i="13"/>
  <c r="AG493" i="13"/>
  <c r="AF493" i="13"/>
  <c r="AC493" i="13"/>
  <c r="AB493" i="13"/>
  <c r="Z493" i="13"/>
  <c r="L493" i="13"/>
  <c r="BF493" i="13" s="1"/>
  <c r="I493" i="13"/>
  <c r="AL493" i="13" s="1"/>
  <c r="BJ486" i="13"/>
  <c r="BI486" i="13"/>
  <c r="BH486" i="13"/>
  <c r="BD486" i="13"/>
  <c r="BC486" i="13"/>
  <c r="AX486" i="13"/>
  <c r="AW486" i="13"/>
  <c r="AV486" i="13"/>
  <c r="AP486" i="13"/>
  <c r="AO486" i="13"/>
  <c r="AL486" i="13"/>
  <c r="AK486" i="13"/>
  <c r="AJ486" i="13"/>
  <c r="AH486" i="13"/>
  <c r="AG486" i="13"/>
  <c r="AF486" i="13"/>
  <c r="AE486" i="13"/>
  <c r="AD486" i="13"/>
  <c r="AC486" i="13"/>
  <c r="AB486" i="13"/>
  <c r="Z486" i="13"/>
  <c r="L486" i="13"/>
  <c r="BF486" i="13" s="1"/>
  <c r="I486" i="13"/>
  <c r="BJ480" i="13"/>
  <c r="BD480" i="13"/>
  <c r="AP480" i="13"/>
  <c r="AO480" i="13"/>
  <c r="BH480" i="13" s="1"/>
  <c r="AD480" i="13" s="1"/>
  <c r="AK480" i="13"/>
  <c r="AJ480" i="13"/>
  <c r="AH480" i="13"/>
  <c r="AG480" i="13"/>
  <c r="AF480" i="13"/>
  <c r="AC480" i="13"/>
  <c r="AB480" i="13"/>
  <c r="Z480" i="13"/>
  <c r="L480" i="13"/>
  <c r="BF480" i="13" s="1"/>
  <c r="I480" i="13"/>
  <c r="AL480" i="13" s="1"/>
  <c r="BJ478" i="13"/>
  <c r="Z478" i="13" s="1"/>
  <c r="BI478" i="13"/>
  <c r="BH478" i="13"/>
  <c r="BF478" i="13"/>
  <c r="BD478" i="13"/>
  <c r="AX478" i="13"/>
  <c r="AP478" i="13"/>
  <c r="AO478" i="13"/>
  <c r="AW478" i="13" s="1"/>
  <c r="AK478" i="13"/>
  <c r="AJ478" i="13"/>
  <c r="AH478" i="13"/>
  <c r="AG478" i="13"/>
  <c r="AF478" i="13"/>
  <c r="AE478" i="13"/>
  <c r="AD478" i="13"/>
  <c r="AC478" i="13"/>
  <c r="AB478" i="13"/>
  <c r="L478" i="13"/>
  <c r="I478" i="13"/>
  <c r="AL478" i="13" s="1"/>
  <c r="BJ475" i="13"/>
  <c r="BH475" i="13"/>
  <c r="BD475" i="13"/>
  <c r="BC475" i="13"/>
  <c r="AX475" i="13"/>
  <c r="AW475" i="13"/>
  <c r="AV475" i="13" s="1"/>
  <c r="AP475" i="13"/>
  <c r="BI475" i="13" s="1"/>
  <c r="AE475" i="13" s="1"/>
  <c r="AO475" i="13"/>
  <c r="AL475" i="13"/>
  <c r="AK475" i="13"/>
  <c r="AJ475" i="13"/>
  <c r="AH475" i="13"/>
  <c r="AG475" i="13"/>
  <c r="AF475" i="13"/>
  <c r="AD475" i="13"/>
  <c r="AC475" i="13"/>
  <c r="AB475" i="13"/>
  <c r="Z475" i="13"/>
  <c r="L475" i="13"/>
  <c r="BF475" i="13" s="1"/>
  <c r="I475" i="13"/>
  <c r="BJ472" i="13"/>
  <c r="BI472" i="13"/>
  <c r="BH472" i="13"/>
  <c r="AD472" i="13" s="1"/>
  <c r="BF472" i="13"/>
  <c r="BD472" i="13"/>
  <c r="AX472" i="13"/>
  <c r="AW472" i="13"/>
  <c r="BC472" i="13" s="1"/>
  <c r="AV472" i="13"/>
  <c r="AP472" i="13"/>
  <c r="AO472" i="13"/>
  <c r="AL472" i="13"/>
  <c r="AK472" i="13"/>
  <c r="AJ472" i="13"/>
  <c r="AH472" i="13"/>
  <c r="AG472" i="13"/>
  <c r="AF472" i="13"/>
  <c r="AE472" i="13"/>
  <c r="AC472" i="13"/>
  <c r="AB472" i="13"/>
  <c r="Z472" i="13"/>
  <c r="L472" i="13"/>
  <c r="I472" i="13"/>
  <c r="BJ466" i="13"/>
  <c r="BF466" i="13"/>
  <c r="BD466" i="13"/>
  <c r="AW466" i="13"/>
  <c r="AP466" i="13"/>
  <c r="BI466" i="13" s="1"/>
  <c r="AE466" i="13" s="1"/>
  <c r="AO466" i="13"/>
  <c r="BH466" i="13" s="1"/>
  <c r="AD466" i="13" s="1"/>
  <c r="AK466" i="13"/>
  <c r="AJ466" i="13"/>
  <c r="AH466" i="13"/>
  <c r="AG466" i="13"/>
  <c r="AF466" i="13"/>
  <c r="AC466" i="13"/>
  <c r="AB466" i="13"/>
  <c r="Z466" i="13"/>
  <c r="L466" i="13"/>
  <c r="I466" i="13"/>
  <c r="AL466" i="13" s="1"/>
  <c r="BJ463" i="13"/>
  <c r="BH463" i="13"/>
  <c r="BD463" i="13"/>
  <c r="AX463" i="13"/>
  <c r="AV463" i="13" s="1"/>
  <c r="AW463" i="13"/>
  <c r="AP463" i="13"/>
  <c r="BI463" i="13" s="1"/>
  <c r="AE463" i="13" s="1"/>
  <c r="AO463" i="13"/>
  <c r="AK463" i="13"/>
  <c r="AJ463" i="13"/>
  <c r="AH463" i="13"/>
  <c r="AG463" i="13"/>
  <c r="AF463" i="13"/>
  <c r="AD463" i="13"/>
  <c r="AC463" i="13"/>
  <c r="AB463" i="13"/>
  <c r="Z463" i="13"/>
  <c r="L463" i="13"/>
  <c r="BF463" i="13" s="1"/>
  <c r="I463" i="13"/>
  <c r="AL463" i="13" s="1"/>
  <c r="BJ460" i="13"/>
  <c r="BI460" i="13"/>
  <c r="AE460" i="13" s="1"/>
  <c r="BD460" i="13"/>
  <c r="AP460" i="13"/>
  <c r="AX460" i="13" s="1"/>
  <c r="AO460" i="13"/>
  <c r="BH460" i="13" s="1"/>
  <c r="AD460" i="13" s="1"/>
  <c r="AK460" i="13"/>
  <c r="AJ460" i="13"/>
  <c r="AH460" i="13"/>
  <c r="AG460" i="13"/>
  <c r="AF460" i="13"/>
  <c r="AC460" i="13"/>
  <c r="AB460" i="13"/>
  <c r="Z460" i="13"/>
  <c r="L460" i="13"/>
  <c r="BF460" i="13" s="1"/>
  <c r="I460" i="13"/>
  <c r="AL460" i="13" s="1"/>
  <c r="BJ452" i="13"/>
  <c r="BH452" i="13"/>
  <c r="BD452" i="13"/>
  <c r="AX452" i="13"/>
  <c r="AV452" i="13" s="1"/>
  <c r="AW452" i="13"/>
  <c r="AP452" i="13"/>
  <c r="BI452" i="13" s="1"/>
  <c r="AE452" i="13" s="1"/>
  <c r="AO452" i="13"/>
  <c r="AK452" i="13"/>
  <c r="AJ452" i="13"/>
  <c r="AH452" i="13"/>
  <c r="AG452" i="13"/>
  <c r="AF452" i="13"/>
  <c r="AD452" i="13"/>
  <c r="AC452" i="13"/>
  <c r="AB452" i="13"/>
  <c r="Z452" i="13"/>
  <c r="L452" i="13"/>
  <c r="BF452" i="13" s="1"/>
  <c r="I452" i="13"/>
  <c r="AL452" i="13" s="1"/>
  <c r="BJ448" i="13"/>
  <c r="BD448" i="13"/>
  <c r="AP448" i="13"/>
  <c r="AX448" i="13" s="1"/>
  <c r="AO448" i="13"/>
  <c r="BH448" i="13" s="1"/>
  <c r="AD448" i="13" s="1"/>
  <c r="AK448" i="13"/>
  <c r="AJ448" i="13"/>
  <c r="AH448" i="13"/>
  <c r="AG448" i="13"/>
  <c r="AF448" i="13"/>
  <c r="AC448" i="13"/>
  <c r="AB448" i="13"/>
  <c r="Z448" i="13"/>
  <c r="L448" i="13"/>
  <c r="BF448" i="13" s="1"/>
  <c r="I448" i="13"/>
  <c r="AL448" i="13" s="1"/>
  <c r="BJ443" i="13"/>
  <c r="BH443" i="13"/>
  <c r="BD443" i="13"/>
  <c r="AW443" i="13"/>
  <c r="AP443" i="13"/>
  <c r="BI443" i="13" s="1"/>
  <c r="AE443" i="13" s="1"/>
  <c r="AO443" i="13"/>
  <c r="AK443" i="13"/>
  <c r="AJ443" i="13"/>
  <c r="AH443" i="13"/>
  <c r="AG443" i="13"/>
  <c r="AF443" i="13"/>
  <c r="AD443" i="13"/>
  <c r="AC443" i="13"/>
  <c r="AB443" i="13"/>
  <c r="Z443" i="13"/>
  <c r="L443" i="13"/>
  <c r="BF443" i="13" s="1"/>
  <c r="I443" i="13"/>
  <c r="AL443" i="13" s="1"/>
  <c r="BJ438" i="13"/>
  <c r="BD438" i="13"/>
  <c r="AW438" i="13"/>
  <c r="BC438" i="13" s="1"/>
  <c r="AP438" i="13"/>
  <c r="AX438" i="13" s="1"/>
  <c r="AO438" i="13"/>
  <c r="BH438" i="13" s="1"/>
  <c r="AD438" i="13" s="1"/>
  <c r="AK438" i="13"/>
  <c r="AJ438" i="13"/>
  <c r="AH438" i="13"/>
  <c r="AG438" i="13"/>
  <c r="AF438" i="13"/>
  <c r="AC438" i="13"/>
  <c r="AB438" i="13"/>
  <c r="Z438" i="13"/>
  <c r="L438" i="13"/>
  <c r="BF438" i="13" s="1"/>
  <c r="I438" i="13"/>
  <c r="AL438" i="13" s="1"/>
  <c r="BJ431" i="13"/>
  <c r="BH431" i="13"/>
  <c r="AD431" i="13" s="1"/>
  <c r="BD431" i="13"/>
  <c r="AW431" i="13"/>
  <c r="AP431" i="13"/>
  <c r="BI431" i="13" s="1"/>
  <c r="AE431" i="13" s="1"/>
  <c r="AO431" i="13"/>
  <c r="AK431" i="13"/>
  <c r="AT430" i="13" s="1"/>
  <c r="AJ431" i="13"/>
  <c r="AH431" i="13"/>
  <c r="AG431" i="13"/>
  <c r="AF431" i="13"/>
  <c r="AC431" i="13"/>
  <c r="AB431" i="13"/>
  <c r="Z431" i="13"/>
  <c r="L431" i="13"/>
  <c r="I431" i="13"/>
  <c r="AL431" i="13" s="1"/>
  <c r="BJ425" i="13"/>
  <c r="BH425" i="13"/>
  <c r="AD425" i="13" s="1"/>
  <c r="BF425" i="13"/>
  <c r="BD425" i="13"/>
  <c r="AP425" i="13"/>
  <c r="AO425" i="13"/>
  <c r="AW425" i="13" s="1"/>
  <c r="AL425" i="13"/>
  <c r="AK425" i="13"/>
  <c r="AT424" i="13" s="1"/>
  <c r="AJ425" i="13"/>
  <c r="AH425" i="13"/>
  <c r="AG425" i="13"/>
  <c r="AF425" i="13"/>
  <c r="AC425" i="13"/>
  <c r="AB425" i="13"/>
  <c r="Z425" i="13"/>
  <c r="L425" i="13"/>
  <c r="I425" i="13"/>
  <c r="AU424" i="13"/>
  <c r="AS424" i="13"/>
  <c r="L424" i="13"/>
  <c r="I424" i="13"/>
  <c r="BJ422" i="13"/>
  <c r="BH422" i="13"/>
  <c r="BD422" i="13"/>
  <c r="AX422" i="13"/>
  <c r="AV422" i="13" s="1"/>
  <c r="AW422" i="13"/>
  <c r="BC422" i="13" s="1"/>
  <c r="AP422" i="13"/>
  <c r="BI422" i="13" s="1"/>
  <c r="AO422" i="13"/>
  <c r="AL422" i="13"/>
  <c r="AK422" i="13"/>
  <c r="AJ422" i="13"/>
  <c r="AH422" i="13"/>
  <c r="AG422" i="13"/>
  <c r="AF422" i="13"/>
  <c r="AE422" i="13"/>
  <c r="AD422" i="13"/>
  <c r="AC422" i="13"/>
  <c r="AB422" i="13"/>
  <c r="Z422" i="13"/>
  <c r="L422" i="13"/>
  <c r="BF422" i="13" s="1"/>
  <c r="I422" i="13"/>
  <c r="BJ421" i="13"/>
  <c r="Z421" i="13" s="1"/>
  <c r="BI421" i="13"/>
  <c r="BD421" i="13"/>
  <c r="AX421" i="13"/>
  <c r="AP421" i="13"/>
  <c r="AO421" i="13"/>
  <c r="BH421" i="13" s="1"/>
  <c r="AK421" i="13"/>
  <c r="AJ421" i="13"/>
  <c r="AH421" i="13"/>
  <c r="AG421" i="13"/>
  <c r="AF421" i="13"/>
  <c r="AE421" i="13"/>
  <c r="AD421" i="13"/>
  <c r="AC421" i="13"/>
  <c r="AB421" i="13"/>
  <c r="L421" i="13"/>
  <c r="BF421" i="13" s="1"/>
  <c r="I421" i="13"/>
  <c r="AL421" i="13" s="1"/>
  <c r="BJ419" i="13"/>
  <c r="BH419" i="13"/>
  <c r="BD419" i="13"/>
  <c r="AX419" i="13"/>
  <c r="AW419" i="13"/>
  <c r="AV419" i="13" s="1"/>
  <c r="AP419" i="13"/>
  <c r="BI419" i="13" s="1"/>
  <c r="AE419" i="13" s="1"/>
  <c r="AO419" i="13"/>
  <c r="AL419" i="13"/>
  <c r="AK419" i="13"/>
  <c r="AJ419" i="13"/>
  <c r="AH419" i="13"/>
  <c r="AG419" i="13"/>
  <c r="AF419" i="13"/>
  <c r="AD419" i="13"/>
  <c r="AC419" i="13"/>
  <c r="AB419" i="13"/>
  <c r="Z419" i="13"/>
  <c r="L419" i="13"/>
  <c r="BF419" i="13" s="1"/>
  <c r="I419" i="13"/>
  <c r="BJ415" i="13"/>
  <c r="BI415" i="13"/>
  <c r="BF415" i="13"/>
  <c r="BD415" i="13"/>
  <c r="AX415" i="13"/>
  <c r="AP415" i="13"/>
  <c r="AO415" i="13"/>
  <c r="BH415" i="13" s="1"/>
  <c r="AD415" i="13" s="1"/>
  <c r="AK415" i="13"/>
  <c r="AJ415" i="13"/>
  <c r="AH415" i="13"/>
  <c r="AG415" i="13"/>
  <c r="AF415" i="13"/>
  <c r="AE415" i="13"/>
  <c r="AC415" i="13"/>
  <c r="AB415" i="13"/>
  <c r="Z415" i="13"/>
  <c r="L415" i="13"/>
  <c r="I415" i="13"/>
  <c r="AL415" i="13" s="1"/>
  <c r="BJ413" i="13"/>
  <c r="BH413" i="13"/>
  <c r="BD413" i="13"/>
  <c r="BC413" i="13"/>
  <c r="AX413" i="13"/>
  <c r="AW413" i="13"/>
  <c r="AV413" i="13"/>
  <c r="AP413" i="13"/>
  <c r="BI413" i="13" s="1"/>
  <c r="AE413" i="13" s="1"/>
  <c r="AO413" i="13"/>
  <c r="AK413" i="13"/>
  <c r="AJ413" i="13"/>
  <c r="AH413" i="13"/>
  <c r="AG413" i="13"/>
  <c r="AF413" i="13"/>
  <c r="AD413" i="13"/>
  <c r="AC413" i="13"/>
  <c r="AB413" i="13"/>
  <c r="Z413" i="13"/>
  <c r="L413" i="13"/>
  <c r="BF413" i="13" s="1"/>
  <c r="I413" i="13"/>
  <c r="AL413" i="13" s="1"/>
  <c r="BJ411" i="13"/>
  <c r="BI411" i="13"/>
  <c r="BD411" i="13"/>
  <c r="AX411" i="13"/>
  <c r="AP411" i="13"/>
  <c r="AO411" i="13"/>
  <c r="BH411" i="13" s="1"/>
  <c r="AD411" i="13" s="1"/>
  <c r="AK411" i="13"/>
  <c r="AJ411" i="13"/>
  <c r="AH411" i="13"/>
  <c r="AG411" i="13"/>
  <c r="AF411" i="13"/>
  <c r="AE411" i="13"/>
  <c r="AC411" i="13"/>
  <c r="AB411" i="13"/>
  <c r="Z411" i="13"/>
  <c r="L411" i="13"/>
  <c r="BF411" i="13" s="1"/>
  <c r="I411" i="13"/>
  <c r="AL411" i="13" s="1"/>
  <c r="BJ409" i="13"/>
  <c r="BH409" i="13"/>
  <c r="BD409" i="13"/>
  <c r="AX409" i="13"/>
  <c r="AW409" i="13"/>
  <c r="AV409" i="13" s="1"/>
  <c r="AP409" i="13"/>
  <c r="BI409" i="13" s="1"/>
  <c r="AE409" i="13" s="1"/>
  <c r="AO409" i="13"/>
  <c r="AL409" i="13"/>
  <c r="AK409" i="13"/>
  <c r="AJ409" i="13"/>
  <c r="AH409" i="13"/>
  <c r="AG409" i="13"/>
  <c r="AF409" i="13"/>
  <c r="AD409" i="13"/>
  <c r="AC409" i="13"/>
  <c r="AB409" i="13"/>
  <c r="Z409" i="13"/>
  <c r="L409" i="13"/>
  <c r="BF409" i="13" s="1"/>
  <c r="I409" i="13"/>
  <c r="BJ407" i="13"/>
  <c r="BI407" i="13"/>
  <c r="BF407" i="13"/>
  <c r="BD407" i="13"/>
  <c r="AX407" i="13"/>
  <c r="AP407" i="13"/>
  <c r="AO407" i="13"/>
  <c r="BH407" i="13" s="1"/>
  <c r="AD407" i="13" s="1"/>
  <c r="AK407" i="13"/>
  <c r="AJ407" i="13"/>
  <c r="AH407" i="13"/>
  <c r="AG407" i="13"/>
  <c r="AF407" i="13"/>
  <c r="AE407" i="13"/>
  <c r="AC407" i="13"/>
  <c r="AB407" i="13"/>
  <c r="Z407" i="13"/>
  <c r="L407" i="13"/>
  <c r="I407" i="13"/>
  <c r="AL407" i="13" s="1"/>
  <c r="BJ405" i="13"/>
  <c r="BH405" i="13"/>
  <c r="AD405" i="13" s="1"/>
  <c r="BD405" i="13"/>
  <c r="BC405" i="13"/>
  <c r="AX405" i="13"/>
  <c r="AW405" i="13"/>
  <c r="AV405" i="13"/>
  <c r="AP405" i="13"/>
  <c r="BI405" i="13" s="1"/>
  <c r="AE405" i="13" s="1"/>
  <c r="AO405" i="13"/>
  <c r="AK405" i="13"/>
  <c r="AJ405" i="13"/>
  <c r="AH405" i="13"/>
  <c r="AG405" i="13"/>
  <c r="AF405" i="13"/>
  <c r="AC405" i="13"/>
  <c r="AB405" i="13"/>
  <c r="Z405" i="13"/>
  <c r="L405" i="13"/>
  <c r="BF405" i="13" s="1"/>
  <c r="I405" i="13"/>
  <c r="AL405" i="13" s="1"/>
  <c r="BJ403" i="13"/>
  <c r="BI403" i="13"/>
  <c r="BD403" i="13"/>
  <c r="AX403" i="13"/>
  <c r="AP403" i="13"/>
  <c r="AO403" i="13"/>
  <c r="BH403" i="13" s="1"/>
  <c r="AD403" i="13" s="1"/>
  <c r="AK403" i="13"/>
  <c r="AJ403" i="13"/>
  <c r="AH403" i="13"/>
  <c r="AG403" i="13"/>
  <c r="AF403" i="13"/>
  <c r="AE403" i="13"/>
  <c r="AC403" i="13"/>
  <c r="AB403" i="13"/>
  <c r="Z403" i="13"/>
  <c r="L403" i="13"/>
  <c r="BF403" i="13" s="1"/>
  <c r="I403" i="13"/>
  <c r="AL403" i="13" s="1"/>
  <c r="BJ401" i="13"/>
  <c r="BH401" i="13"/>
  <c r="BD401" i="13"/>
  <c r="AX401" i="13"/>
  <c r="BC401" i="13" s="1"/>
  <c r="AW401" i="13"/>
  <c r="AV401" i="13"/>
  <c r="AP401" i="13"/>
  <c r="BI401" i="13" s="1"/>
  <c r="AE401" i="13" s="1"/>
  <c r="AO401" i="13"/>
  <c r="AK401" i="13"/>
  <c r="AJ401" i="13"/>
  <c r="AH401" i="13"/>
  <c r="AG401" i="13"/>
  <c r="AF401" i="13"/>
  <c r="AD401" i="13"/>
  <c r="AC401" i="13"/>
  <c r="AB401" i="13"/>
  <c r="Z401" i="13"/>
  <c r="L401" i="13"/>
  <c r="BF401" i="13" s="1"/>
  <c r="I401" i="13"/>
  <c r="AL401" i="13" s="1"/>
  <c r="BJ399" i="13"/>
  <c r="BI399" i="13"/>
  <c r="BD399" i="13"/>
  <c r="AX399" i="13"/>
  <c r="AP399" i="13"/>
  <c r="AO399" i="13"/>
  <c r="BH399" i="13" s="1"/>
  <c r="AD399" i="13" s="1"/>
  <c r="AK399" i="13"/>
  <c r="AJ399" i="13"/>
  <c r="AH399" i="13"/>
  <c r="AG399" i="13"/>
  <c r="AF399" i="13"/>
  <c r="AE399" i="13"/>
  <c r="AC399" i="13"/>
  <c r="AB399" i="13"/>
  <c r="Z399" i="13"/>
  <c r="L399" i="13"/>
  <c r="BF399" i="13" s="1"/>
  <c r="I399" i="13"/>
  <c r="AL399" i="13" s="1"/>
  <c r="BJ397" i="13"/>
  <c r="BH397" i="13"/>
  <c r="BD397" i="13"/>
  <c r="AX397" i="13"/>
  <c r="AW397" i="13"/>
  <c r="BC397" i="13" s="1"/>
  <c r="AP397" i="13"/>
  <c r="BI397" i="13" s="1"/>
  <c r="AE397" i="13" s="1"/>
  <c r="AO397" i="13"/>
  <c r="AK397" i="13"/>
  <c r="AJ397" i="13"/>
  <c r="AH397" i="13"/>
  <c r="AG397" i="13"/>
  <c r="AF397" i="13"/>
  <c r="AD397" i="13"/>
  <c r="AC397" i="13"/>
  <c r="AB397" i="13"/>
  <c r="Z397" i="13"/>
  <c r="L397" i="13"/>
  <c r="BF397" i="13" s="1"/>
  <c r="I397" i="13"/>
  <c r="AL397" i="13" s="1"/>
  <c r="BJ395" i="13"/>
  <c r="BI395" i="13"/>
  <c r="BD395" i="13"/>
  <c r="AX395" i="13"/>
  <c r="AP395" i="13"/>
  <c r="AO395" i="13"/>
  <c r="BH395" i="13" s="1"/>
  <c r="AD395" i="13" s="1"/>
  <c r="AK395" i="13"/>
  <c r="AJ395" i="13"/>
  <c r="AH395" i="13"/>
  <c r="AG395" i="13"/>
  <c r="AF395" i="13"/>
  <c r="AE395" i="13"/>
  <c r="AC395" i="13"/>
  <c r="AB395" i="13"/>
  <c r="Z395" i="13"/>
  <c r="L395" i="13"/>
  <c r="BF395" i="13" s="1"/>
  <c r="I395" i="13"/>
  <c r="AL395" i="13" s="1"/>
  <c r="BJ393" i="13"/>
  <c r="BH393" i="13"/>
  <c r="AD393" i="13" s="1"/>
  <c r="BD393" i="13"/>
  <c r="AX393" i="13"/>
  <c r="AW393" i="13"/>
  <c r="BC393" i="13" s="1"/>
  <c r="AV393" i="13"/>
  <c r="AP393" i="13"/>
  <c r="BI393" i="13" s="1"/>
  <c r="AE393" i="13" s="1"/>
  <c r="AO393" i="13"/>
  <c r="AK393" i="13"/>
  <c r="AJ393" i="13"/>
  <c r="AH393" i="13"/>
  <c r="AG393" i="13"/>
  <c r="AF393" i="13"/>
  <c r="AC393" i="13"/>
  <c r="AB393" i="13"/>
  <c r="Z393" i="13"/>
  <c r="L393" i="13"/>
  <c r="BF393" i="13" s="1"/>
  <c r="I393" i="13"/>
  <c r="AL393" i="13" s="1"/>
  <c r="BJ390" i="13"/>
  <c r="BI390" i="13"/>
  <c r="BD390" i="13"/>
  <c r="AX390" i="13"/>
  <c r="AW390" i="13"/>
  <c r="AV390" i="13" s="1"/>
  <c r="AP390" i="13"/>
  <c r="AO390" i="13"/>
  <c r="BH390" i="13" s="1"/>
  <c r="AD390" i="13" s="1"/>
  <c r="AK390" i="13"/>
  <c r="AJ390" i="13"/>
  <c r="AH390" i="13"/>
  <c r="AG390" i="13"/>
  <c r="AF390" i="13"/>
  <c r="AE390" i="13"/>
  <c r="AC390" i="13"/>
  <c r="AB390" i="13"/>
  <c r="Z390" i="13"/>
  <c r="L390" i="13"/>
  <c r="BF390" i="13" s="1"/>
  <c r="I390" i="13"/>
  <c r="AL390" i="13" s="1"/>
  <c r="BJ386" i="13"/>
  <c r="BH386" i="13"/>
  <c r="BD386" i="13"/>
  <c r="BC386" i="13"/>
  <c r="AX386" i="13"/>
  <c r="AV386" i="13" s="1"/>
  <c r="AW386" i="13"/>
  <c r="AP386" i="13"/>
  <c r="BI386" i="13" s="1"/>
  <c r="AE386" i="13" s="1"/>
  <c r="AO386" i="13"/>
  <c r="AL386" i="13"/>
  <c r="AK386" i="13"/>
  <c r="AJ386" i="13"/>
  <c r="AH386" i="13"/>
  <c r="AG386" i="13"/>
  <c r="AF386" i="13"/>
  <c r="AD386" i="13"/>
  <c r="AC386" i="13"/>
  <c r="AB386" i="13"/>
  <c r="Z386" i="13"/>
  <c r="L386" i="13"/>
  <c r="BF386" i="13" s="1"/>
  <c r="I386" i="13"/>
  <c r="BJ382" i="13"/>
  <c r="BI382" i="13"/>
  <c r="BD382" i="13"/>
  <c r="AX382" i="13"/>
  <c r="AP382" i="13"/>
  <c r="AO382" i="13"/>
  <c r="AK382" i="13"/>
  <c r="AJ382" i="13"/>
  <c r="AH382" i="13"/>
  <c r="AG382" i="13"/>
  <c r="AF382" i="13"/>
  <c r="AE382" i="13"/>
  <c r="AC382" i="13"/>
  <c r="AB382" i="13"/>
  <c r="Z382" i="13"/>
  <c r="L382" i="13"/>
  <c r="BF382" i="13" s="1"/>
  <c r="I382" i="13"/>
  <c r="AL382" i="13" s="1"/>
  <c r="BJ379" i="13"/>
  <c r="BH379" i="13"/>
  <c r="BD379" i="13"/>
  <c r="AX379" i="13"/>
  <c r="AV379" i="13" s="1"/>
  <c r="AW379" i="13"/>
  <c r="AP379" i="13"/>
  <c r="BI379" i="13" s="1"/>
  <c r="AE379" i="13" s="1"/>
  <c r="AO379" i="13"/>
  <c r="AK379" i="13"/>
  <c r="AT378" i="13" s="1"/>
  <c r="AJ379" i="13"/>
  <c r="AH379" i="13"/>
  <c r="AG379" i="13"/>
  <c r="AF379" i="13"/>
  <c r="AD379" i="13"/>
  <c r="AC379" i="13"/>
  <c r="AB379" i="13"/>
  <c r="Z379" i="13"/>
  <c r="L379" i="13"/>
  <c r="I379" i="13"/>
  <c r="I378" i="13" s="1"/>
  <c r="BJ377" i="13"/>
  <c r="BI377" i="13"/>
  <c r="BD377" i="13"/>
  <c r="AP377" i="13"/>
  <c r="AX377" i="13" s="1"/>
  <c r="AO377" i="13"/>
  <c r="AW377" i="13" s="1"/>
  <c r="BC377" i="13" s="1"/>
  <c r="AL377" i="13"/>
  <c r="AK377" i="13"/>
  <c r="AJ377" i="13"/>
  <c r="AH377" i="13"/>
  <c r="AG377" i="13"/>
  <c r="AF377" i="13"/>
  <c r="AE377" i="13"/>
  <c r="AD377" i="13"/>
  <c r="AC377" i="13"/>
  <c r="AB377" i="13"/>
  <c r="Z377" i="13"/>
  <c r="L377" i="13"/>
  <c r="BF377" i="13" s="1"/>
  <c r="I377" i="13"/>
  <c r="BJ375" i="13"/>
  <c r="BI375" i="13"/>
  <c r="AE375" i="13" s="1"/>
  <c r="BH375" i="13"/>
  <c r="AD375" i="13" s="1"/>
  <c r="BF375" i="13"/>
  <c r="BD375" i="13"/>
  <c r="AX375" i="13"/>
  <c r="AW375" i="13"/>
  <c r="BC375" i="13" s="1"/>
  <c r="AV375" i="13"/>
  <c r="AP375" i="13"/>
  <c r="AO375" i="13"/>
  <c r="AK375" i="13"/>
  <c r="AJ375" i="13"/>
  <c r="AS374" i="13" s="1"/>
  <c r="AH375" i="13"/>
  <c r="AG375" i="13"/>
  <c r="AF375" i="13"/>
  <c r="AC375" i="13"/>
  <c r="AB375" i="13"/>
  <c r="Z375" i="13"/>
  <c r="L375" i="13"/>
  <c r="L374" i="13" s="1"/>
  <c r="I375" i="13"/>
  <c r="AT374" i="13"/>
  <c r="BJ373" i="13"/>
  <c r="Z373" i="13" s="1"/>
  <c r="BF373" i="13"/>
  <c r="BD373" i="13"/>
  <c r="AX373" i="13"/>
  <c r="AP373" i="13"/>
  <c r="BI373" i="13" s="1"/>
  <c r="AO373" i="13"/>
  <c r="AL373" i="13"/>
  <c r="AK373" i="13"/>
  <c r="AJ373" i="13"/>
  <c r="AH373" i="13"/>
  <c r="AG373" i="13"/>
  <c r="AF373" i="13"/>
  <c r="AE373" i="13"/>
  <c r="AD373" i="13"/>
  <c r="AC373" i="13"/>
  <c r="AB373" i="13"/>
  <c r="L373" i="13"/>
  <c r="I373" i="13"/>
  <c r="BJ372" i="13"/>
  <c r="BI372" i="13"/>
  <c r="BF372" i="13"/>
  <c r="BD372" i="13"/>
  <c r="AP372" i="13"/>
  <c r="AX372" i="13" s="1"/>
  <c r="AO372" i="13"/>
  <c r="AW372" i="13" s="1"/>
  <c r="BC372" i="13" s="1"/>
  <c r="AL372" i="13"/>
  <c r="AK372" i="13"/>
  <c r="AJ372" i="13"/>
  <c r="AH372" i="13"/>
  <c r="AG372" i="13"/>
  <c r="AF372" i="13"/>
  <c r="AE372" i="13"/>
  <c r="AD372" i="13"/>
  <c r="AC372" i="13"/>
  <c r="AB372" i="13"/>
  <c r="Z372" i="13"/>
  <c r="L372" i="13"/>
  <c r="I372" i="13"/>
  <c r="BJ370" i="13"/>
  <c r="BD370" i="13"/>
  <c r="AP370" i="13"/>
  <c r="BI370" i="13" s="1"/>
  <c r="AE370" i="13" s="1"/>
  <c r="AO370" i="13"/>
  <c r="AW370" i="13" s="1"/>
  <c r="AL370" i="13"/>
  <c r="AK370" i="13"/>
  <c r="AJ370" i="13"/>
  <c r="AH370" i="13"/>
  <c r="AG370" i="13"/>
  <c r="AF370" i="13"/>
  <c r="AC370" i="13"/>
  <c r="AB370" i="13"/>
  <c r="Z370" i="13"/>
  <c r="L370" i="13"/>
  <c r="BF370" i="13" s="1"/>
  <c r="I370" i="13"/>
  <c r="BJ368" i="13"/>
  <c r="BI368" i="13"/>
  <c r="BH368" i="13"/>
  <c r="BF368" i="13"/>
  <c r="BD368" i="13"/>
  <c r="BC368" i="13"/>
  <c r="AV368" i="13"/>
  <c r="AP368" i="13"/>
  <c r="AX368" i="13" s="1"/>
  <c r="AO368" i="13"/>
  <c r="AW368" i="13" s="1"/>
  <c r="AL368" i="13"/>
  <c r="AK368" i="13"/>
  <c r="AJ368" i="13"/>
  <c r="AH368" i="13"/>
  <c r="AG368" i="13"/>
  <c r="AF368" i="13"/>
  <c r="AE368" i="13"/>
  <c r="AD368" i="13"/>
  <c r="AC368" i="13"/>
  <c r="AB368" i="13"/>
  <c r="Z368" i="13"/>
  <c r="L368" i="13"/>
  <c r="I368" i="13"/>
  <c r="BJ366" i="13"/>
  <c r="BH366" i="13"/>
  <c r="AD366" i="13" s="1"/>
  <c r="BD366" i="13"/>
  <c r="AP366" i="13"/>
  <c r="BI366" i="13" s="1"/>
  <c r="AE366" i="13" s="1"/>
  <c r="AO366" i="13"/>
  <c r="AW366" i="13" s="1"/>
  <c r="AL366" i="13"/>
  <c r="AK366" i="13"/>
  <c r="AJ366" i="13"/>
  <c r="AH366" i="13"/>
  <c r="AG366" i="13"/>
  <c r="AF366" i="13"/>
  <c r="AC366" i="13"/>
  <c r="AB366" i="13"/>
  <c r="Z366" i="13"/>
  <c r="L366" i="13"/>
  <c r="BF366" i="13" s="1"/>
  <c r="I366" i="13"/>
  <c r="BJ364" i="13"/>
  <c r="BI364" i="13"/>
  <c r="AE364" i="13" s="1"/>
  <c r="BH364" i="13"/>
  <c r="AD364" i="13" s="1"/>
  <c r="BF364" i="13"/>
  <c r="BD364" i="13"/>
  <c r="BC364" i="13"/>
  <c r="AV364" i="13"/>
  <c r="AP364" i="13"/>
  <c r="AX364" i="13" s="1"/>
  <c r="AO364" i="13"/>
  <c r="AW364" i="13" s="1"/>
  <c r="AL364" i="13"/>
  <c r="AK364" i="13"/>
  <c r="AJ364" i="13"/>
  <c r="AH364" i="13"/>
  <c r="AG364" i="13"/>
  <c r="AF364" i="13"/>
  <c r="AC364" i="13"/>
  <c r="AB364" i="13"/>
  <c r="Z364" i="13"/>
  <c r="L364" i="13"/>
  <c r="I364" i="13"/>
  <c r="BJ358" i="13"/>
  <c r="BH358" i="13"/>
  <c r="BF358" i="13"/>
  <c r="BD358" i="13"/>
  <c r="AX358" i="13"/>
  <c r="AW358" i="13"/>
  <c r="AP358" i="13"/>
  <c r="BI358" i="13" s="1"/>
  <c r="AE358" i="13" s="1"/>
  <c r="AO358" i="13"/>
  <c r="AL358" i="13"/>
  <c r="AK358" i="13"/>
  <c r="AJ358" i="13"/>
  <c r="AH358" i="13"/>
  <c r="AG358" i="13"/>
  <c r="AF358" i="13"/>
  <c r="AD358" i="13"/>
  <c r="AC358" i="13"/>
  <c r="AB358" i="13"/>
  <c r="Z358" i="13"/>
  <c r="L358" i="13"/>
  <c r="I358" i="13"/>
  <c r="BJ352" i="13"/>
  <c r="BI352" i="13"/>
  <c r="BF352" i="13"/>
  <c r="BD352" i="13"/>
  <c r="AP352" i="13"/>
  <c r="AX352" i="13" s="1"/>
  <c r="AO352" i="13"/>
  <c r="AL352" i="13"/>
  <c r="AK352" i="13"/>
  <c r="AJ352" i="13"/>
  <c r="AH352" i="13"/>
  <c r="AG352" i="13"/>
  <c r="AF352" i="13"/>
  <c r="AE352" i="13"/>
  <c r="AC352" i="13"/>
  <c r="AB352" i="13"/>
  <c r="Z352" i="13"/>
  <c r="L352" i="13"/>
  <c r="I352" i="13"/>
  <c r="BJ346" i="13"/>
  <c r="BD346" i="13"/>
  <c r="AW346" i="13"/>
  <c r="AP346" i="13"/>
  <c r="BI346" i="13" s="1"/>
  <c r="AE346" i="13" s="1"/>
  <c r="AO346" i="13"/>
  <c r="BH346" i="13" s="1"/>
  <c r="AD346" i="13" s="1"/>
  <c r="AK346" i="13"/>
  <c r="AJ346" i="13"/>
  <c r="AH346" i="13"/>
  <c r="AG346" i="13"/>
  <c r="AF346" i="13"/>
  <c r="AC346" i="13"/>
  <c r="AB346" i="13"/>
  <c r="Z346" i="13"/>
  <c r="L346" i="13"/>
  <c r="L325" i="13" s="1"/>
  <c r="I346" i="13"/>
  <c r="I325" i="13" s="1"/>
  <c r="BJ344" i="13"/>
  <c r="BI344" i="13"/>
  <c r="AE344" i="13" s="1"/>
  <c r="BF344" i="13"/>
  <c r="BD344" i="13"/>
  <c r="AP344" i="13"/>
  <c r="AX344" i="13" s="1"/>
  <c r="AO344" i="13"/>
  <c r="BH344" i="13" s="1"/>
  <c r="AD344" i="13" s="1"/>
  <c r="AL344" i="13"/>
  <c r="AK344" i="13"/>
  <c r="AJ344" i="13"/>
  <c r="AH344" i="13"/>
  <c r="AG344" i="13"/>
  <c r="AF344" i="13"/>
  <c r="AC344" i="13"/>
  <c r="AB344" i="13"/>
  <c r="Z344" i="13"/>
  <c r="L344" i="13"/>
  <c r="I344" i="13"/>
  <c r="BJ338" i="13"/>
  <c r="BD338" i="13"/>
  <c r="AP338" i="13"/>
  <c r="AO338" i="13"/>
  <c r="BH338" i="13" s="1"/>
  <c r="AD338" i="13" s="1"/>
  <c r="AK338" i="13"/>
  <c r="AJ338" i="13"/>
  <c r="AH338" i="13"/>
  <c r="AG338" i="13"/>
  <c r="AF338" i="13"/>
  <c r="AC338" i="13"/>
  <c r="AB338" i="13"/>
  <c r="Z338" i="13"/>
  <c r="L338" i="13"/>
  <c r="BF338" i="13" s="1"/>
  <c r="I338" i="13"/>
  <c r="AL338" i="13" s="1"/>
  <c r="BJ332" i="13"/>
  <c r="BI332" i="13"/>
  <c r="AE332" i="13" s="1"/>
  <c r="BH332" i="13"/>
  <c r="AD332" i="13" s="1"/>
  <c r="BF332" i="13"/>
  <c r="BD332" i="13"/>
  <c r="AP332" i="13"/>
  <c r="AX332" i="13" s="1"/>
  <c r="AO332" i="13"/>
  <c r="AW332" i="13" s="1"/>
  <c r="AL332" i="13"/>
  <c r="AK332" i="13"/>
  <c r="AJ332" i="13"/>
  <c r="AH332" i="13"/>
  <c r="AG332" i="13"/>
  <c r="AF332" i="13"/>
  <c r="AC332" i="13"/>
  <c r="AB332" i="13"/>
  <c r="Z332" i="13"/>
  <c r="L332" i="13"/>
  <c r="I332" i="13"/>
  <c r="BJ326" i="13"/>
  <c r="BH326" i="13"/>
  <c r="AD326" i="13" s="1"/>
  <c r="BD326" i="13"/>
  <c r="AP326" i="13"/>
  <c r="BI326" i="13" s="1"/>
  <c r="AE326" i="13" s="1"/>
  <c r="AO326" i="13"/>
  <c r="AW326" i="13" s="1"/>
  <c r="AK326" i="13"/>
  <c r="AJ326" i="13"/>
  <c r="AS325" i="13" s="1"/>
  <c r="AH326" i="13"/>
  <c r="AG326" i="13"/>
  <c r="AF326" i="13"/>
  <c r="AC326" i="13"/>
  <c r="AB326" i="13"/>
  <c r="Z326" i="13"/>
  <c r="L326" i="13"/>
  <c r="BF326" i="13" s="1"/>
  <c r="I326" i="13"/>
  <c r="AL326" i="13" s="1"/>
  <c r="BJ324" i="13"/>
  <c r="BH324" i="13"/>
  <c r="BF324" i="13"/>
  <c r="BD324" i="13"/>
  <c r="AP324" i="13"/>
  <c r="AO324" i="13"/>
  <c r="AW324" i="13" s="1"/>
  <c r="AK324" i="13"/>
  <c r="AJ324" i="13"/>
  <c r="AH324" i="13"/>
  <c r="AG324" i="13"/>
  <c r="AF324" i="13"/>
  <c r="AE324" i="13"/>
  <c r="AD324" i="13"/>
  <c r="AC324" i="13"/>
  <c r="AB324" i="13"/>
  <c r="Z324" i="13"/>
  <c r="L324" i="13"/>
  <c r="I324" i="13"/>
  <c r="AL324" i="13" s="1"/>
  <c r="BJ322" i="13"/>
  <c r="BI322" i="13"/>
  <c r="BH322" i="13"/>
  <c r="AD322" i="13" s="1"/>
  <c r="BD322" i="13"/>
  <c r="AX322" i="13"/>
  <c r="AP322" i="13"/>
  <c r="AO322" i="13"/>
  <c r="AW322" i="13" s="1"/>
  <c r="AK322" i="13"/>
  <c r="AJ322" i="13"/>
  <c r="AH322" i="13"/>
  <c r="AG322" i="13"/>
  <c r="AF322" i="13"/>
  <c r="AE322" i="13"/>
  <c r="AC322" i="13"/>
  <c r="AB322" i="13"/>
  <c r="Z322" i="13"/>
  <c r="L322" i="13"/>
  <c r="BF322" i="13" s="1"/>
  <c r="I322" i="13"/>
  <c r="AL322" i="13" s="1"/>
  <c r="BJ320" i="13"/>
  <c r="BH320" i="13"/>
  <c r="AD320" i="13" s="1"/>
  <c r="BF320" i="13"/>
  <c r="BD320" i="13"/>
  <c r="AX320" i="13"/>
  <c r="AW320" i="13"/>
  <c r="AV320" i="13" s="1"/>
  <c r="AP320" i="13"/>
  <c r="BI320" i="13" s="1"/>
  <c r="AE320" i="13" s="1"/>
  <c r="AO320" i="13"/>
  <c r="AK320" i="13"/>
  <c r="AJ320" i="13"/>
  <c r="AH320" i="13"/>
  <c r="AG320" i="13"/>
  <c r="AF320" i="13"/>
  <c r="AC320" i="13"/>
  <c r="AB320" i="13"/>
  <c r="Z320" i="13"/>
  <c r="L320" i="13"/>
  <c r="I320" i="13"/>
  <c r="AL320" i="13" s="1"/>
  <c r="BJ318" i="13"/>
  <c r="BI318" i="13"/>
  <c r="AE318" i="13" s="1"/>
  <c r="BD318" i="13"/>
  <c r="AX318" i="13"/>
  <c r="AW318" i="13"/>
  <c r="AP318" i="13"/>
  <c r="AO318" i="13"/>
  <c r="BH318" i="13" s="1"/>
  <c r="AD318" i="13" s="1"/>
  <c r="AK318" i="13"/>
  <c r="AJ318" i="13"/>
  <c r="AH318" i="13"/>
  <c r="AG318" i="13"/>
  <c r="AF318" i="13"/>
  <c r="AC318" i="13"/>
  <c r="AB318" i="13"/>
  <c r="Z318" i="13"/>
  <c r="L318" i="13"/>
  <c r="BF318" i="13" s="1"/>
  <c r="I318" i="13"/>
  <c r="AL318" i="13" s="1"/>
  <c r="BJ316" i="13"/>
  <c r="BD316" i="13"/>
  <c r="AP316" i="13"/>
  <c r="AO316" i="13"/>
  <c r="AK316" i="13"/>
  <c r="AJ316" i="13"/>
  <c r="AH316" i="13"/>
  <c r="AG316" i="13"/>
  <c r="AF316" i="13"/>
  <c r="AC316" i="13"/>
  <c r="AB316" i="13"/>
  <c r="Z316" i="13"/>
  <c r="L316" i="13"/>
  <c r="BF316" i="13" s="1"/>
  <c r="I316" i="13"/>
  <c r="AL316" i="13" s="1"/>
  <c r="BJ314" i="13"/>
  <c r="BI314" i="13"/>
  <c r="AE314" i="13" s="1"/>
  <c r="BD314" i="13"/>
  <c r="AX314" i="13"/>
  <c r="AP314" i="13"/>
  <c r="AO314" i="13"/>
  <c r="BH314" i="13" s="1"/>
  <c r="AD314" i="13" s="1"/>
  <c r="AL314" i="13"/>
  <c r="AK314" i="13"/>
  <c r="AJ314" i="13"/>
  <c r="AH314" i="13"/>
  <c r="AG314" i="13"/>
  <c r="AF314" i="13"/>
  <c r="AC314" i="13"/>
  <c r="AB314" i="13"/>
  <c r="Z314" i="13"/>
  <c r="L314" i="13"/>
  <c r="BF314" i="13" s="1"/>
  <c r="I314" i="13"/>
  <c r="BJ312" i="13"/>
  <c r="BD312" i="13"/>
  <c r="AX312" i="13"/>
  <c r="AP312" i="13"/>
  <c r="BI312" i="13" s="1"/>
  <c r="AE312" i="13" s="1"/>
  <c r="AO312" i="13"/>
  <c r="BH312" i="13" s="1"/>
  <c r="AD312" i="13" s="1"/>
  <c r="AK312" i="13"/>
  <c r="AJ312" i="13"/>
  <c r="AH312" i="13"/>
  <c r="AG312" i="13"/>
  <c r="AF312" i="13"/>
  <c r="AC312" i="13"/>
  <c r="AB312" i="13"/>
  <c r="Z312" i="13"/>
  <c r="L312" i="13"/>
  <c r="BF312" i="13" s="1"/>
  <c r="I312" i="13"/>
  <c r="AL312" i="13" s="1"/>
  <c r="BJ310" i="13"/>
  <c r="BI310" i="13"/>
  <c r="BD310" i="13"/>
  <c r="AX310" i="13"/>
  <c r="AP310" i="13"/>
  <c r="AO310" i="13"/>
  <c r="AL310" i="13"/>
  <c r="AK310" i="13"/>
  <c r="AJ310" i="13"/>
  <c r="AH310" i="13"/>
  <c r="AG310" i="13"/>
  <c r="AF310" i="13"/>
  <c r="AE310" i="13"/>
  <c r="AC310" i="13"/>
  <c r="AB310" i="13"/>
  <c r="Z310" i="13"/>
  <c r="L310" i="13"/>
  <c r="BF310" i="13" s="1"/>
  <c r="I310" i="13"/>
  <c r="BJ308" i="13"/>
  <c r="BH308" i="13"/>
  <c r="AD308" i="13" s="1"/>
  <c r="BF308" i="13"/>
  <c r="BD308" i="13"/>
  <c r="AP308" i="13"/>
  <c r="BI308" i="13" s="1"/>
  <c r="AE308" i="13" s="1"/>
  <c r="AO308" i="13"/>
  <c r="AW308" i="13" s="1"/>
  <c r="AK308" i="13"/>
  <c r="AJ308" i="13"/>
  <c r="AH308" i="13"/>
  <c r="AG308" i="13"/>
  <c r="AF308" i="13"/>
  <c r="AC308" i="13"/>
  <c r="AB308" i="13"/>
  <c r="Z308" i="13"/>
  <c r="L308" i="13"/>
  <c r="I308" i="13"/>
  <c r="AL308" i="13" s="1"/>
  <c r="BJ306" i="13"/>
  <c r="BI306" i="13"/>
  <c r="BH306" i="13"/>
  <c r="AD306" i="13" s="1"/>
  <c r="BD306" i="13"/>
  <c r="AX306" i="13"/>
  <c r="AP306" i="13"/>
  <c r="AO306" i="13"/>
  <c r="AW306" i="13" s="1"/>
  <c r="AK306" i="13"/>
  <c r="AJ306" i="13"/>
  <c r="AH306" i="13"/>
  <c r="AG306" i="13"/>
  <c r="AF306" i="13"/>
  <c r="AE306" i="13"/>
  <c r="AC306" i="13"/>
  <c r="AB306" i="13"/>
  <c r="Z306" i="13"/>
  <c r="L306" i="13"/>
  <c r="BF306" i="13" s="1"/>
  <c r="I306" i="13"/>
  <c r="AL306" i="13" s="1"/>
  <c r="BJ304" i="13"/>
  <c r="BH304" i="13"/>
  <c r="AD304" i="13" s="1"/>
  <c r="BD304" i="13"/>
  <c r="AX304" i="13"/>
  <c r="AW304" i="13"/>
  <c r="AV304" i="13" s="1"/>
  <c r="AP304" i="13"/>
  <c r="BI304" i="13" s="1"/>
  <c r="AE304" i="13" s="1"/>
  <c r="AO304" i="13"/>
  <c r="AK304" i="13"/>
  <c r="AT303" i="13" s="1"/>
  <c r="AJ304" i="13"/>
  <c r="AS303" i="13" s="1"/>
  <c r="AH304" i="13"/>
  <c r="AG304" i="13"/>
  <c r="AF304" i="13"/>
  <c r="AC304" i="13"/>
  <c r="AB304" i="13"/>
  <c r="Z304" i="13"/>
  <c r="L304" i="13"/>
  <c r="I304" i="13"/>
  <c r="BJ302" i="13"/>
  <c r="Z302" i="13" s="1"/>
  <c r="BD302" i="13"/>
  <c r="AP302" i="13"/>
  <c r="AX302" i="13" s="1"/>
  <c r="AO302" i="13"/>
  <c r="AL302" i="13"/>
  <c r="AK302" i="13"/>
  <c r="AJ302" i="13"/>
  <c r="AH302" i="13"/>
  <c r="AG302" i="13"/>
  <c r="AF302" i="13"/>
  <c r="AE302" i="13"/>
  <c r="AD302" i="13"/>
  <c r="AC302" i="13"/>
  <c r="AB302" i="13"/>
  <c r="L302" i="13"/>
  <c r="BF302" i="13" s="1"/>
  <c r="I302" i="13"/>
  <c r="BJ300" i="13"/>
  <c r="BH300" i="13"/>
  <c r="AD300" i="13" s="1"/>
  <c r="BF300" i="13"/>
  <c r="BD300" i="13"/>
  <c r="AP300" i="13"/>
  <c r="AX300" i="13" s="1"/>
  <c r="AV300" i="13" s="1"/>
  <c r="AO300" i="13"/>
  <c r="AW300" i="13" s="1"/>
  <c r="AK300" i="13"/>
  <c r="AJ300" i="13"/>
  <c r="AH300" i="13"/>
  <c r="AG300" i="13"/>
  <c r="AF300" i="13"/>
  <c r="AC300" i="13"/>
  <c r="AB300" i="13"/>
  <c r="Z300" i="13"/>
  <c r="L300" i="13"/>
  <c r="I300" i="13"/>
  <c r="AL300" i="13" s="1"/>
  <c r="BJ298" i="13"/>
  <c r="BI298" i="13"/>
  <c r="AE298" i="13" s="1"/>
  <c r="BD298" i="13"/>
  <c r="AP298" i="13"/>
  <c r="AX298" i="13" s="1"/>
  <c r="AO298" i="13"/>
  <c r="AL298" i="13"/>
  <c r="AK298" i="13"/>
  <c r="AJ298" i="13"/>
  <c r="AH298" i="13"/>
  <c r="AG298" i="13"/>
  <c r="AF298" i="13"/>
  <c r="AC298" i="13"/>
  <c r="AB298" i="13"/>
  <c r="Z298" i="13"/>
  <c r="L298" i="13"/>
  <c r="BF298" i="13" s="1"/>
  <c r="I298" i="13"/>
  <c r="I297" i="13" s="1"/>
  <c r="AT297" i="13"/>
  <c r="AS297" i="13"/>
  <c r="L297" i="13"/>
  <c r="BJ296" i="13"/>
  <c r="BF296" i="13"/>
  <c r="BD296" i="13"/>
  <c r="AP296" i="13"/>
  <c r="BI296" i="13" s="1"/>
  <c r="AO296" i="13"/>
  <c r="AW296" i="13" s="1"/>
  <c r="AL296" i="13"/>
  <c r="AK296" i="13"/>
  <c r="AJ296" i="13"/>
  <c r="AH296" i="13"/>
  <c r="AG296" i="13"/>
  <c r="AF296" i="13"/>
  <c r="AE296" i="13"/>
  <c r="AD296" i="13"/>
  <c r="AC296" i="13"/>
  <c r="AB296" i="13"/>
  <c r="Z296" i="13"/>
  <c r="L296" i="13"/>
  <c r="I296" i="13"/>
  <c r="BJ294" i="13"/>
  <c r="BI294" i="13"/>
  <c r="BH294" i="13"/>
  <c r="BD294" i="13"/>
  <c r="BC294" i="13"/>
  <c r="AX294" i="13"/>
  <c r="AW294" i="13"/>
  <c r="AP294" i="13"/>
  <c r="AO294" i="13"/>
  <c r="AK294" i="13"/>
  <c r="AJ294" i="13"/>
  <c r="AH294" i="13"/>
  <c r="AG294" i="13"/>
  <c r="AF294" i="13"/>
  <c r="AE294" i="13"/>
  <c r="AD294" i="13"/>
  <c r="AC294" i="13"/>
  <c r="AB294" i="13"/>
  <c r="Z294" i="13"/>
  <c r="L294" i="13"/>
  <c r="BF294" i="13" s="1"/>
  <c r="I294" i="13"/>
  <c r="AL294" i="13" s="1"/>
  <c r="BJ293" i="13"/>
  <c r="BI293" i="13"/>
  <c r="AE293" i="13" s="1"/>
  <c r="BD293" i="13"/>
  <c r="BC293" i="13"/>
  <c r="AX293" i="13"/>
  <c r="AP293" i="13"/>
  <c r="AO293" i="13"/>
  <c r="AW293" i="13" s="1"/>
  <c r="AV293" i="13" s="1"/>
  <c r="AL293" i="13"/>
  <c r="AK293" i="13"/>
  <c r="AJ293" i="13"/>
  <c r="AH293" i="13"/>
  <c r="AG293" i="13"/>
  <c r="AF293" i="13"/>
  <c r="AC293" i="13"/>
  <c r="AB293" i="13"/>
  <c r="Z293" i="13"/>
  <c r="L293" i="13"/>
  <c r="BF293" i="13" s="1"/>
  <c r="I293" i="13"/>
  <c r="BJ291" i="13"/>
  <c r="BI291" i="13"/>
  <c r="BH291" i="13"/>
  <c r="BD291" i="13"/>
  <c r="AX291" i="13"/>
  <c r="AW291" i="13"/>
  <c r="BC291" i="13" s="1"/>
  <c r="AP291" i="13"/>
  <c r="AO291" i="13"/>
  <c r="AK291" i="13"/>
  <c r="AJ291" i="13"/>
  <c r="AH291" i="13"/>
  <c r="AG291" i="13"/>
  <c r="AF291" i="13"/>
  <c r="AE291" i="13"/>
  <c r="AD291" i="13"/>
  <c r="AC291" i="13"/>
  <c r="AB291" i="13"/>
  <c r="Z291" i="13"/>
  <c r="L291" i="13"/>
  <c r="BF291" i="13" s="1"/>
  <c r="I291" i="13"/>
  <c r="AL291" i="13" s="1"/>
  <c r="BJ289" i="13"/>
  <c r="BI289" i="13"/>
  <c r="BH289" i="13"/>
  <c r="AD289" i="13" s="1"/>
  <c r="BD289" i="13"/>
  <c r="AX289" i="13"/>
  <c r="AV289" i="13" s="1"/>
  <c r="AP289" i="13"/>
  <c r="AO289" i="13"/>
  <c r="AW289" i="13" s="1"/>
  <c r="AL289" i="13"/>
  <c r="AK289" i="13"/>
  <c r="AJ289" i="13"/>
  <c r="AH289" i="13"/>
  <c r="AG289" i="13"/>
  <c r="AF289" i="13"/>
  <c r="AE289" i="13"/>
  <c r="AC289" i="13"/>
  <c r="AB289" i="13"/>
  <c r="Z289" i="13"/>
  <c r="L289" i="13"/>
  <c r="BF289" i="13" s="1"/>
  <c r="I289" i="13"/>
  <c r="BJ287" i="13"/>
  <c r="BH287" i="13"/>
  <c r="BF287" i="13"/>
  <c r="BD287" i="13"/>
  <c r="AW287" i="13"/>
  <c r="AP287" i="13"/>
  <c r="AO287" i="13"/>
  <c r="AK287" i="13"/>
  <c r="AJ287" i="13"/>
  <c r="AH287" i="13"/>
  <c r="AG287" i="13"/>
  <c r="AF287" i="13"/>
  <c r="AD287" i="13"/>
  <c r="AC287" i="13"/>
  <c r="AB287" i="13"/>
  <c r="Z287" i="13"/>
  <c r="L287" i="13"/>
  <c r="I287" i="13"/>
  <c r="AL287" i="13" s="1"/>
  <c r="BJ285" i="13"/>
  <c r="BI285" i="13"/>
  <c r="AE285" i="13" s="1"/>
  <c r="BH285" i="13"/>
  <c r="BF285" i="13"/>
  <c r="BD285" i="13"/>
  <c r="AX285" i="13"/>
  <c r="BC285" i="13" s="1"/>
  <c r="AV285" i="13"/>
  <c r="AP285" i="13"/>
  <c r="AO285" i="13"/>
  <c r="AW285" i="13" s="1"/>
  <c r="AL285" i="13"/>
  <c r="AK285" i="13"/>
  <c r="AJ285" i="13"/>
  <c r="AH285" i="13"/>
  <c r="AG285" i="13"/>
  <c r="AF285" i="13"/>
  <c r="AD285" i="13"/>
  <c r="AC285" i="13"/>
  <c r="AB285" i="13"/>
  <c r="Z285" i="13"/>
  <c r="L285" i="13"/>
  <c r="I285" i="13"/>
  <c r="BJ283" i="13"/>
  <c r="BD283" i="13"/>
  <c r="AP283" i="13"/>
  <c r="AO283" i="13"/>
  <c r="AL283" i="13"/>
  <c r="AK283" i="13"/>
  <c r="AJ283" i="13"/>
  <c r="AH283" i="13"/>
  <c r="AG283" i="13"/>
  <c r="AF283" i="13"/>
  <c r="AC283" i="13"/>
  <c r="AB283" i="13"/>
  <c r="Z283" i="13"/>
  <c r="L283" i="13"/>
  <c r="BF283" i="13" s="1"/>
  <c r="I283" i="13"/>
  <c r="BJ281" i="13"/>
  <c r="BI281" i="13"/>
  <c r="AE281" i="13" s="1"/>
  <c r="BH281" i="13"/>
  <c r="AD281" i="13" s="1"/>
  <c r="BD281" i="13"/>
  <c r="AP281" i="13"/>
  <c r="AX281" i="13" s="1"/>
  <c r="AV281" i="13" s="1"/>
  <c r="AO281" i="13"/>
  <c r="AW281" i="13" s="1"/>
  <c r="AL281" i="13"/>
  <c r="AK281" i="13"/>
  <c r="AJ281" i="13"/>
  <c r="AH281" i="13"/>
  <c r="AG281" i="13"/>
  <c r="AF281" i="13"/>
  <c r="AC281" i="13"/>
  <c r="AB281" i="13"/>
  <c r="Z281" i="13"/>
  <c r="L281" i="13"/>
  <c r="BF281" i="13" s="1"/>
  <c r="I281" i="13"/>
  <c r="BJ279" i="13"/>
  <c r="BI279" i="13"/>
  <c r="AE279" i="13" s="1"/>
  <c r="BD279" i="13"/>
  <c r="AP279" i="13"/>
  <c r="AX279" i="13" s="1"/>
  <c r="AO279" i="13"/>
  <c r="AL279" i="13"/>
  <c r="AK279" i="13"/>
  <c r="AJ279" i="13"/>
  <c r="AH279" i="13"/>
  <c r="AG279" i="13"/>
  <c r="AF279" i="13"/>
  <c r="AC279" i="13"/>
  <c r="AB279" i="13"/>
  <c r="Z279" i="13"/>
  <c r="L279" i="13"/>
  <c r="BF279" i="13" s="1"/>
  <c r="I279" i="13"/>
  <c r="BJ277" i="13"/>
  <c r="BI277" i="13"/>
  <c r="AE277" i="13" s="1"/>
  <c r="BF277" i="13"/>
  <c r="BD277" i="13"/>
  <c r="AP277" i="13"/>
  <c r="AX277" i="13" s="1"/>
  <c r="AO277" i="13"/>
  <c r="AW277" i="13" s="1"/>
  <c r="AL277" i="13"/>
  <c r="AK277" i="13"/>
  <c r="AJ277" i="13"/>
  <c r="AH277" i="13"/>
  <c r="AG277" i="13"/>
  <c r="AF277" i="13"/>
  <c r="AC277" i="13"/>
  <c r="AB277" i="13"/>
  <c r="Z277" i="13"/>
  <c r="L277" i="13"/>
  <c r="I277" i="13"/>
  <c r="BJ275" i="13"/>
  <c r="BI275" i="13"/>
  <c r="AE275" i="13" s="1"/>
  <c r="BD275" i="13"/>
  <c r="AX275" i="13"/>
  <c r="AP275" i="13"/>
  <c r="AO275" i="13"/>
  <c r="AW275" i="13" s="1"/>
  <c r="AL275" i="13"/>
  <c r="AK275" i="13"/>
  <c r="AJ275" i="13"/>
  <c r="AH275" i="13"/>
  <c r="AG275" i="13"/>
  <c r="AF275" i="13"/>
  <c r="AC275" i="13"/>
  <c r="AB275" i="13"/>
  <c r="Z275" i="13"/>
  <c r="L275" i="13"/>
  <c r="BF275" i="13" s="1"/>
  <c r="I275" i="13"/>
  <c r="BJ273" i="13"/>
  <c r="BF273" i="13"/>
  <c r="BD273" i="13"/>
  <c r="AX273" i="13"/>
  <c r="AP273" i="13"/>
  <c r="BI273" i="13" s="1"/>
  <c r="AE273" i="13" s="1"/>
  <c r="AO273" i="13"/>
  <c r="AW273" i="13" s="1"/>
  <c r="AL273" i="13"/>
  <c r="AK273" i="13"/>
  <c r="AJ273" i="13"/>
  <c r="AH273" i="13"/>
  <c r="AG273" i="13"/>
  <c r="AF273" i="13"/>
  <c r="AC273" i="13"/>
  <c r="AB273" i="13"/>
  <c r="Z273" i="13"/>
  <c r="L273" i="13"/>
  <c r="I273" i="13"/>
  <c r="BJ271" i="13"/>
  <c r="BH271" i="13"/>
  <c r="BF271" i="13"/>
  <c r="BD271" i="13"/>
  <c r="AW271" i="13"/>
  <c r="AP271" i="13"/>
  <c r="BI271" i="13" s="1"/>
  <c r="AE271" i="13" s="1"/>
  <c r="AO271" i="13"/>
  <c r="AL271" i="13"/>
  <c r="AK271" i="13"/>
  <c r="AJ271" i="13"/>
  <c r="AH271" i="13"/>
  <c r="AG271" i="13"/>
  <c r="AF271" i="13"/>
  <c r="AD271" i="13"/>
  <c r="AC271" i="13"/>
  <c r="AB271" i="13"/>
  <c r="Z271" i="13"/>
  <c r="L271" i="13"/>
  <c r="I271" i="13"/>
  <c r="BJ269" i="13"/>
  <c r="BI269" i="13"/>
  <c r="AE269" i="13" s="1"/>
  <c r="BF269" i="13"/>
  <c r="BD269" i="13"/>
  <c r="BC269" i="13"/>
  <c r="AP269" i="13"/>
  <c r="AX269" i="13" s="1"/>
  <c r="AV269" i="13" s="1"/>
  <c r="AO269" i="13"/>
  <c r="AW269" i="13" s="1"/>
  <c r="AL269" i="13"/>
  <c r="AK269" i="13"/>
  <c r="AJ269" i="13"/>
  <c r="AH269" i="13"/>
  <c r="AG269" i="13"/>
  <c r="AF269" i="13"/>
  <c r="AC269" i="13"/>
  <c r="AB269" i="13"/>
  <c r="Z269" i="13"/>
  <c r="L269" i="13"/>
  <c r="I269" i="13"/>
  <c r="BJ267" i="13"/>
  <c r="BF267" i="13"/>
  <c r="BD267" i="13"/>
  <c r="AP267" i="13"/>
  <c r="BI267" i="13" s="1"/>
  <c r="AE267" i="13" s="1"/>
  <c r="AO267" i="13"/>
  <c r="BH267" i="13" s="1"/>
  <c r="AD267" i="13" s="1"/>
  <c r="AK267" i="13"/>
  <c r="AJ267" i="13"/>
  <c r="AH267" i="13"/>
  <c r="AG267" i="13"/>
  <c r="AF267" i="13"/>
  <c r="AC267" i="13"/>
  <c r="AB267" i="13"/>
  <c r="Z267" i="13"/>
  <c r="L267" i="13"/>
  <c r="I267" i="13"/>
  <c r="AL267" i="13" s="1"/>
  <c r="AU260" i="13" s="1"/>
  <c r="BJ265" i="13"/>
  <c r="BH265" i="13"/>
  <c r="AD265" i="13" s="1"/>
  <c r="BD265" i="13"/>
  <c r="BC265" i="13"/>
  <c r="AX265" i="13"/>
  <c r="AP265" i="13"/>
  <c r="BI265" i="13" s="1"/>
  <c r="AE265" i="13" s="1"/>
  <c r="AO265" i="13"/>
  <c r="AW265" i="13" s="1"/>
  <c r="AV265" i="13" s="1"/>
  <c r="AL265" i="13"/>
  <c r="AK265" i="13"/>
  <c r="AJ265" i="13"/>
  <c r="AH265" i="13"/>
  <c r="AG265" i="13"/>
  <c r="AF265" i="13"/>
  <c r="AC265" i="13"/>
  <c r="AB265" i="13"/>
  <c r="Z265" i="13"/>
  <c r="L265" i="13"/>
  <c r="BF265" i="13" s="1"/>
  <c r="I265" i="13"/>
  <c r="BJ263" i="13"/>
  <c r="BD263" i="13"/>
  <c r="AP263" i="13"/>
  <c r="BI263" i="13" s="1"/>
  <c r="AE263" i="13" s="1"/>
  <c r="AO263" i="13"/>
  <c r="BH263" i="13" s="1"/>
  <c r="AD263" i="13" s="1"/>
  <c r="AL263" i="13"/>
  <c r="AK263" i="13"/>
  <c r="AJ263" i="13"/>
  <c r="AH263" i="13"/>
  <c r="AG263" i="13"/>
  <c r="AF263" i="13"/>
  <c r="AC263" i="13"/>
  <c r="AB263" i="13"/>
  <c r="Z263" i="13"/>
  <c r="L263" i="13"/>
  <c r="BF263" i="13" s="1"/>
  <c r="I263" i="13"/>
  <c r="BJ261" i="13"/>
  <c r="BI261" i="13"/>
  <c r="AE261" i="13" s="1"/>
  <c r="BD261" i="13"/>
  <c r="AX261" i="13"/>
  <c r="AP261" i="13"/>
  <c r="AO261" i="13"/>
  <c r="AW261" i="13" s="1"/>
  <c r="AL261" i="13"/>
  <c r="AK261" i="13"/>
  <c r="AJ261" i="13"/>
  <c r="AH261" i="13"/>
  <c r="AG261" i="13"/>
  <c r="AF261" i="13"/>
  <c r="AC261" i="13"/>
  <c r="AB261" i="13"/>
  <c r="Z261" i="13"/>
  <c r="L261" i="13"/>
  <c r="I261" i="13"/>
  <c r="BJ259" i="13"/>
  <c r="BI259" i="13"/>
  <c r="BH259" i="13"/>
  <c r="BD259" i="13"/>
  <c r="AW259" i="13"/>
  <c r="AV259" i="13" s="1"/>
  <c r="AP259" i="13"/>
  <c r="AX259" i="13" s="1"/>
  <c r="BC259" i="13" s="1"/>
  <c r="AO259" i="13"/>
  <c r="AL259" i="13"/>
  <c r="AK259" i="13"/>
  <c r="AJ259" i="13"/>
  <c r="AH259" i="13"/>
  <c r="AG259" i="13"/>
  <c r="AF259" i="13"/>
  <c r="AE259" i="13"/>
  <c r="AD259" i="13"/>
  <c r="AC259" i="13"/>
  <c r="AB259" i="13"/>
  <c r="Z259" i="13"/>
  <c r="L259" i="13"/>
  <c r="BF259" i="13" s="1"/>
  <c r="I259" i="13"/>
  <c r="BJ258" i="13"/>
  <c r="BF258" i="13"/>
  <c r="BD258" i="13"/>
  <c r="AP258" i="13"/>
  <c r="AX258" i="13" s="1"/>
  <c r="AO258" i="13"/>
  <c r="AL258" i="13"/>
  <c r="AK258" i="13"/>
  <c r="AJ258" i="13"/>
  <c r="AH258" i="13"/>
  <c r="AG258" i="13"/>
  <c r="AF258" i="13"/>
  <c r="AE258" i="13"/>
  <c r="AD258" i="13"/>
  <c r="AC258" i="13"/>
  <c r="AB258" i="13"/>
  <c r="Z258" i="13"/>
  <c r="L258" i="13"/>
  <c r="I258" i="13"/>
  <c r="BJ254" i="13"/>
  <c r="BI254" i="13"/>
  <c r="AE254" i="13" s="1"/>
  <c r="BH254" i="13"/>
  <c r="AD254" i="13" s="1"/>
  <c r="BD254" i="13"/>
  <c r="AX254" i="13"/>
  <c r="AV254" i="13" s="1"/>
  <c r="AW254" i="13"/>
  <c r="BC254" i="13" s="1"/>
  <c r="AP254" i="13"/>
  <c r="AO254" i="13"/>
  <c r="AL254" i="13"/>
  <c r="AK254" i="13"/>
  <c r="AJ254" i="13"/>
  <c r="AH254" i="13"/>
  <c r="AG254" i="13"/>
  <c r="AF254" i="13"/>
  <c r="AC254" i="13"/>
  <c r="AB254" i="13"/>
  <c r="Z254" i="13"/>
  <c r="L254" i="13"/>
  <c r="BF254" i="13" s="1"/>
  <c r="I254" i="13"/>
  <c r="BJ250" i="13"/>
  <c r="BD250" i="13"/>
  <c r="AP250" i="13"/>
  <c r="BI250" i="13" s="1"/>
  <c r="AE250" i="13" s="1"/>
  <c r="AO250" i="13"/>
  <c r="AL250" i="13"/>
  <c r="AK250" i="13"/>
  <c r="AJ250" i="13"/>
  <c r="AH250" i="13"/>
  <c r="AG250" i="13"/>
  <c r="AF250" i="13"/>
  <c r="AC250" i="13"/>
  <c r="AB250" i="13"/>
  <c r="Z250" i="13"/>
  <c r="L250" i="13"/>
  <c r="BF250" i="13" s="1"/>
  <c r="I250" i="13"/>
  <c r="BJ248" i="13"/>
  <c r="BH248" i="13"/>
  <c r="BF248" i="13"/>
  <c r="BD248" i="13"/>
  <c r="AW248" i="13"/>
  <c r="AP248" i="13"/>
  <c r="BI248" i="13" s="1"/>
  <c r="AE248" i="13" s="1"/>
  <c r="AO248" i="13"/>
  <c r="AK248" i="13"/>
  <c r="AJ248" i="13"/>
  <c r="AH248" i="13"/>
  <c r="AG248" i="13"/>
  <c r="AF248" i="13"/>
  <c r="AD248" i="13"/>
  <c r="AC248" i="13"/>
  <c r="AB248" i="13"/>
  <c r="Z248" i="13"/>
  <c r="L248" i="13"/>
  <c r="I248" i="13"/>
  <c r="AL248" i="13" s="1"/>
  <c r="BJ246" i="13"/>
  <c r="BD246" i="13"/>
  <c r="AX246" i="13"/>
  <c r="AW246" i="13"/>
  <c r="AV246" i="13" s="1"/>
  <c r="AP246" i="13"/>
  <c r="BI246" i="13" s="1"/>
  <c r="AE246" i="13" s="1"/>
  <c r="AO246" i="13"/>
  <c r="BH246" i="13" s="1"/>
  <c r="AD246" i="13" s="1"/>
  <c r="AK246" i="13"/>
  <c r="AJ246" i="13"/>
  <c r="AH246" i="13"/>
  <c r="AG246" i="13"/>
  <c r="AF246" i="13"/>
  <c r="AC246" i="13"/>
  <c r="AB246" i="13"/>
  <c r="Z246" i="13"/>
  <c r="L246" i="13"/>
  <c r="BF246" i="13" s="1"/>
  <c r="I246" i="13"/>
  <c r="AL246" i="13" s="1"/>
  <c r="BJ244" i="13"/>
  <c r="BH244" i="13"/>
  <c r="BD244" i="13"/>
  <c r="BC244" i="13"/>
  <c r="AX244" i="13"/>
  <c r="AW244" i="13"/>
  <c r="AP244" i="13"/>
  <c r="BI244" i="13" s="1"/>
  <c r="AE244" i="13" s="1"/>
  <c r="AO244" i="13"/>
  <c r="AK244" i="13"/>
  <c r="AJ244" i="13"/>
  <c r="AH244" i="13"/>
  <c r="AG244" i="13"/>
  <c r="AF244" i="13"/>
  <c r="AD244" i="13"/>
  <c r="AC244" i="13"/>
  <c r="AB244" i="13"/>
  <c r="Z244" i="13"/>
  <c r="L244" i="13"/>
  <c r="BF244" i="13" s="1"/>
  <c r="I244" i="13"/>
  <c r="AL244" i="13" s="1"/>
  <c r="BJ242" i="13"/>
  <c r="BF242" i="13"/>
  <c r="BD242" i="13"/>
  <c r="AW242" i="13"/>
  <c r="AP242" i="13"/>
  <c r="AO242" i="13"/>
  <c r="BH242" i="13" s="1"/>
  <c r="AD242" i="13" s="1"/>
  <c r="AL242" i="13"/>
  <c r="AK242" i="13"/>
  <c r="AJ242" i="13"/>
  <c r="AH242" i="13"/>
  <c r="AG242" i="13"/>
  <c r="AF242" i="13"/>
  <c r="AC242" i="13"/>
  <c r="AB242" i="13"/>
  <c r="Z242" i="13"/>
  <c r="L242" i="13"/>
  <c r="I242" i="13"/>
  <c r="BJ240" i="13"/>
  <c r="BI240" i="13"/>
  <c r="BH240" i="13"/>
  <c r="BD240" i="13"/>
  <c r="AW240" i="13"/>
  <c r="AP240" i="13"/>
  <c r="AX240" i="13" s="1"/>
  <c r="AV240" i="13" s="1"/>
  <c r="AO240" i="13"/>
  <c r="AK240" i="13"/>
  <c r="AJ240" i="13"/>
  <c r="AH240" i="13"/>
  <c r="AG240" i="13"/>
  <c r="AF240" i="13"/>
  <c r="AE240" i="13"/>
  <c r="AD240" i="13"/>
  <c r="AC240" i="13"/>
  <c r="AB240" i="13"/>
  <c r="Z240" i="13"/>
  <c r="L240" i="13"/>
  <c r="BF240" i="13" s="1"/>
  <c r="I240" i="13"/>
  <c r="AL240" i="13" s="1"/>
  <c r="BJ238" i="13"/>
  <c r="BD238" i="13"/>
  <c r="AP238" i="13"/>
  <c r="AO238" i="13"/>
  <c r="AL238" i="13"/>
  <c r="AK238" i="13"/>
  <c r="AJ238" i="13"/>
  <c r="AH238" i="13"/>
  <c r="AG238" i="13"/>
  <c r="AF238" i="13"/>
  <c r="AC238" i="13"/>
  <c r="AB238" i="13"/>
  <c r="Z238" i="13"/>
  <c r="L238" i="13"/>
  <c r="BF238" i="13" s="1"/>
  <c r="I238" i="13"/>
  <c r="BJ236" i="13"/>
  <c r="BI236" i="13"/>
  <c r="AE236" i="13" s="1"/>
  <c r="BH236" i="13"/>
  <c r="AD236" i="13" s="1"/>
  <c r="BD236" i="13"/>
  <c r="AW236" i="13"/>
  <c r="BC236" i="13" s="1"/>
  <c r="AP236" i="13"/>
  <c r="AX236" i="13" s="1"/>
  <c r="AO236" i="13"/>
  <c r="AK236" i="13"/>
  <c r="AJ236" i="13"/>
  <c r="AH236" i="13"/>
  <c r="AG236" i="13"/>
  <c r="AF236" i="13"/>
  <c r="AC236" i="13"/>
  <c r="AB236" i="13"/>
  <c r="Z236" i="13"/>
  <c r="L236" i="13"/>
  <c r="BF236" i="13" s="1"/>
  <c r="I236" i="13"/>
  <c r="AL236" i="13" s="1"/>
  <c r="BJ234" i="13"/>
  <c r="BD234" i="13"/>
  <c r="AP234" i="13"/>
  <c r="AO234" i="13"/>
  <c r="AL234" i="13"/>
  <c r="AK234" i="13"/>
  <c r="AJ234" i="13"/>
  <c r="AH234" i="13"/>
  <c r="AG234" i="13"/>
  <c r="AF234" i="13"/>
  <c r="AC234" i="13"/>
  <c r="AB234" i="13"/>
  <c r="Z234" i="13"/>
  <c r="L234" i="13"/>
  <c r="BF234" i="13" s="1"/>
  <c r="I234" i="13"/>
  <c r="BJ231" i="13"/>
  <c r="BI231" i="13"/>
  <c r="BH231" i="13"/>
  <c r="BD231" i="13"/>
  <c r="AW231" i="13"/>
  <c r="AP231" i="13"/>
  <c r="AX231" i="13" s="1"/>
  <c r="AO231" i="13"/>
  <c r="AK231" i="13"/>
  <c r="AJ231" i="13"/>
  <c r="AH231" i="13"/>
  <c r="AG231" i="13"/>
  <c r="AF231" i="13"/>
  <c r="AE231" i="13"/>
  <c r="AD231" i="13"/>
  <c r="AC231" i="13"/>
  <c r="AB231" i="13"/>
  <c r="Z231" i="13"/>
  <c r="L231" i="13"/>
  <c r="BF231" i="13" s="1"/>
  <c r="I231" i="13"/>
  <c r="BJ228" i="13"/>
  <c r="BD228" i="13"/>
  <c r="AP228" i="13"/>
  <c r="AO228" i="13"/>
  <c r="AL228" i="13"/>
  <c r="AK228" i="13"/>
  <c r="AJ228" i="13"/>
  <c r="AH228" i="13"/>
  <c r="AG228" i="13"/>
  <c r="AF228" i="13"/>
  <c r="AC228" i="13"/>
  <c r="AB228" i="13"/>
  <c r="Z228" i="13"/>
  <c r="L228" i="13"/>
  <c r="BF228" i="13" s="1"/>
  <c r="I228" i="13"/>
  <c r="BJ225" i="13"/>
  <c r="BI225" i="13"/>
  <c r="AE225" i="13" s="1"/>
  <c r="BH225" i="13"/>
  <c r="AD225" i="13" s="1"/>
  <c r="BD225" i="13"/>
  <c r="AW225" i="13"/>
  <c r="AP225" i="13"/>
  <c r="AX225" i="13" s="1"/>
  <c r="AV225" i="13" s="1"/>
  <c r="AO225" i="13"/>
  <c r="AK225" i="13"/>
  <c r="AJ225" i="13"/>
  <c r="AH225" i="13"/>
  <c r="AG225" i="13"/>
  <c r="AF225" i="13"/>
  <c r="AC225" i="13"/>
  <c r="AB225" i="13"/>
  <c r="Z225" i="13"/>
  <c r="L225" i="13"/>
  <c r="BF225" i="13" s="1"/>
  <c r="I225" i="13"/>
  <c r="AL225" i="13" s="1"/>
  <c r="BJ222" i="13"/>
  <c r="BD222" i="13"/>
  <c r="AP222" i="13"/>
  <c r="BI222" i="13" s="1"/>
  <c r="AE222" i="13" s="1"/>
  <c r="AO222" i="13"/>
  <c r="AL222" i="13"/>
  <c r="AK222" i="13"/>
  <c r="AJ222" i="13"/>
  <c r="AH222" i="13"/>
  <c r="AG222" i="13"/>
  <c r="AF222" i="13"/>
  <c r="AC222" i="13"/>
  <c r="AB222" i="13"/>
  <c r="Z222" i="13"/>
  <c r="L222" i="13"/>
  <c r="BF222" i="13" s="1"/>
  <c r="I222" i="13"/>
  <c r="BJ219" i="13"/>
  <c r="BI219" i="13"/>
  <c r="BH219" i="13"/>
  <c r="AD219" i="13" s="1"/>
  <c r="BD219" i="13"/>
  <c r="AW219" i="13"/>
  <c r="BC219" i="13" s="1"/>
  <c r="AV219" i="13"/>
  <c r="AP219" i="13"/>
  <c r="AX219" i="13" s="1"/>
  <c r="AO219" i="13"/>
  <c r="AK219" i="13"/>
  <c r="AJ219" i="13"/>
  <c r="AH219" i="13"/>
  <c r="AG219" i="13"/>
  <c r="AF219" i="13"/>
  <c r="AE219" i="13"/>
  <c r="AC219" i="13"/>
  <c r="AB219" i="13"/>
  <c r="Z219" i="13"/>
  <c r="L219" i="13"/>
  <c r="BF219" i="13" s="1"/>
  <c r="I219" i="13"/>
  <c r="AL219" i="13" s="1"/>
  <c r="BJ216" i="13"/>
  <c r="BD216" i="13"/>
  <c r="AP216" i="13"/>
  <c r="BI216" i="13" s="1"/>
  <c r="AE216" i="13" s="1"/>
  <c r="AO216" i="13"/>
  <c r="AL216" i="13"/>
  <c r="AK216" i="13"/>
  <c r="AJ216" i="13"/>
  <c r="AH216" i="13"/>
  <c r="AG216" i="13"/>
  <c r="AF216" i="13"/>
  <c r="AC216" i="13"/>
  <c r="AB216" i="13"/>
  <c r="Z216" i="13"/>
  <c r="L216" i="13"/>
  <c r="BF216" i="13" s="1"/>
  <c r="I216" i="13"/>
  <c r="BJ213" i="13"/>
  <c r="BI213" i="13"/>
  <c r="BH213" i="13"/>
  <c r="BD213" i="13"/>
  <c r="AW213" i="13"/>
  <c r="AV213" i="13"/>
  <c r="AP213" i="13"/>
  <c r="AX213" i="13" s="1"/>
  <c r="AO213" i="13"/>
  <c r="AK213" i="13"/>
  <c r="AJ213" i="13"/>
  <c r="AH213" i="13"/>
  <c r="AG213" i="13"/>
  <c r="AF213" i="13"/>
  <c r="AE213" i="13"/>
  <c r="AD213" i="13"/>
  <c r="AC213" i="13"/>
  <c r="AB213" i="13"/>
  <c r="Z213" i="13"/>
  <c r="L213" i="13"/>
  <c r="BF213" i="13" s="1"/>
  <c r="I213" i="13"/>
  <c r="AL213" i="13" s="1"/>
  <c r="BJ209" i="13"/>
  <c r="BD209" i="13"/>
  <c r="AP209" i="13"/>
  <c r="BI209" i="13" s="1"/>
  <c r="AE209" i="13" s="1"/>
  <c r="AO209" i="13"/>
  <c r="AL209" i="13"/>
  <c r="AK209" i="13"/>
  <c r="AJ209" i="13"/>
  <c r="AH209" i="13"/>
  <c r="AG209" i="13"/>
  <c r="AF209" i="13"/>
  <c r="AC209" i="13"/>
  <c r="AB209" i="13"/>
  <c r="Z209" i="13"/>
  <c r="L209" i="13"/>
  <c r="BF209" i="13" s="1"/>
  <c r="I209" i="13"/>
  <c r="BJ206" i="13"/>
  <c r="BI206" i="13"/>
  <c r="AE206" i="13" s="1"/>
  <c r="BH206" i="13"/>
  <c r="AD206" i="13" s="1"/>
  <c r="BD206" i="13"/>
  <c r="AW206" i="13"/>
  <c r="AV206" i="13" s="1"/>
  <c r="AP206" i="13"/>
  <c r="AX206" i="13" s="1"/>
  <c r="AO206" i="13"/>
  <c r="AK206" i="13"/>
  <c r="AJ206" i="13"/>
  <c r="AH206" i="13"/>
  <c r="AG206" i="13"/>
  <c r="AF206" i="13"/>
  <c r="AC206" i="13"/>
  <c r="AB206" i="13"/>
  <c r="Z206" i="13"/>
  <c r="L206" i="13"/>
  <c r="BF206" i="13" s="1"/>
  <c r="I206" i="13"/>
  <c r="AL206" i="13" s="1"/>
  <c r="BJ203" i="13"/>
  <c r="BD203" i="13"/>
  <c r="AP203" i="13"/>
  <c r="BI203" i="13" s="1"/>
  <c r="AE203" i="13" s="1"/>
  <c r="AO203" i="13"/>
  <c r="AL203" i="13"/>
  <c r="AK203" i="13"/>
  <c r="AJ203" i="13"/>
  <c r="AH203" i="13"/>
  <c r="AG203" i="13"/>
  <c r="AF203" i="13"/>
  <c r="AC203" i="13"/>
  <c r="AB203" i="13"/>
  <c r="Z203" i="13"/>
  <c r="L203" i="13"/>
  <c r="BF203" i="13" s="1"/>
  <c r="I203" i="13"/>
  <c r="BJ200" i="13"/>
  <c r="BI200" i="13"/>
  <c r="BH200" i="13"/>
  <c r="BD200" i="13"/>
  <c r="AW200" i="13"/>
  <c r="AP200" i="13"/>
  <c r="AX200" i="13" s="1"/>
  <c r="AV200" i="13" s="1"/>
  <c r="AO200" i="13"/>
  <c r="AK200" i="13"/>
  <c r="AJ200" i="13"/>
  <c r="AH200" i="13"/>
  <c r="AG200" i="13"/>
  <c r="AF200" i="13"/>
  <c r="AE200" i="13"/>
  <c r="AD200" i="13"/>
  <c r="AC200" i="13"/>
  <c r="AB200" i="13"/>
  <c r="Z200" i="13"/>
  <c r="L200" i="13"/>
  <c r="BF200" i="13" s="1"/>
  <c r="I200" i="13"/>
  <c r="AL200" i="13" s="1"/>
  <c r="BJ195" i="13"/>
  <c r="BD195" i="13"/>
  <c r="AX195" i="13"/>
  <c r="AP195" i="13"/>
  <c r="BI195" i="13" s="1"/>
  <c r="AE195" i="13" s="1"/>
  <c r="AO195" i="13"/>
  <c r="AL195" i="13"/>
  <c r="AK195" i="13"/>
  <c r="AJ195" i="13"/>
  <c r="AH195" i="13"/>
  <c r="AG195" i="13"/>
  <c r="AF195" i="13"/>
  <c r="AC195" i="13"/>
  <c r="AB195" i="13"/>
  <c r="Z195" i="13"/>
  <c r="L195" i="13"/>
  <c r="BF195" i="13" s="1"/>
  <c r="I195" i="13"/>
  <c r="BJ192" i="13"/>
  <c r="BI192" i="13"/>
  <c r="AE192" i="13" s="1"/>
  <c r="BH192" i="13"/>
  <c r="BD192" i="13"/>
  <c r="AW192" i="13"/>
  <c r="AP192" i="13"/>
  <c r="AX192" i="13" s="1"/>
  <c r="AO192" i="13"/>
  <c r="AK192" i="13"/>
  <c r="AJ192" i="13"/>
  <c r="AH192" i="13"/>
  <c r="AG192" i="13"/>
  <c r="AF192" i="13"/>
  <c r="AD192" i="13"/>
  <c r="AC192" i="13"/>
  <c r="AB192" i="13"/>
  <c r="Z192" i="13"/>
  <c r="L192" i="13"/>
  <c r="BF192" i="13" s="1"/>
  <c r="I192" i="13"/>
  <c r="AL192" i="13" s="1"/>
  <c r="BJ189" i="13"/>
  <c r="BD189" i="13"/>
  <c r="AX189" i="13"/>
  <c r="AP189" i="13"/>
  <c r="BI189" i="13" s="1"/>
  <c r="AE189" i="13" s="1"/>
  <c r="AO189" i="13"/>
  <c r="AL189" i="13"/>
  <c r="AK189" i="13"/>
  <c r="AJ189" i="13"/>
  <c r="AH189" i="13"/>
  <c r="AG189" i="13"/>
  <c r="AF189" i="13"/>
  <c r="AC189" i="13"/>
  <c r="AB189" i="13"/>
  <c r="Z189" i="13"/>
  <c r="L189" i="13"/>
  <c r="BF189" i="13" s="1"/>
  <c r="I189" i="13"/>
  <c r="BJ186" i="13"/>
  <c r="BI186" i="13"/>
  <c r="AE186" i="13" s="1"/>
  <c r="BH186" i="13"/>
  <c r="BD186" i="13"/>
  <c r="AW186" i="13"/>
  <c r="BC186" i="13" s="1"/>
  <c r="AP186" i="13"/>
  <c r="AX186" i="13" s="1"/>
  <c r="AO186" i="13"/>
  <c r="AK186" i="13"/>
  <c r="AJ186" i="13"/>
  <c r="AH186" i="13"/>
  <c r="AG186" i="13"/>
  <c r="AF186" i="13"/>
  <c r="AD186" i="13"/>
  <c r="AC186" i="13"/>
  <c r="AB186" i="13"/>
  <c r="Z186" i="13"/>
  <c r="L186" i="13"/>
  <c r="BF186" i="13" s="1"/>
  <c r="I186" i="13"/>
  <c r="AL186" i="13" s="1"/>
  <c r="BJ182" i="13"/>
  <c r="BD182" i="13"/>
  <c r="AP182" i="13"/>
  <c r="BI182" i="13" s="1"/>
  <c r="AE182" i="13" s="1"/>
  <c r="AO182" i="13"/>
  <c r="AL182" i="13"/>
  <c r="AK182" i="13"/>
  <c r="AJ182" i="13"/>
  <c r="AH182" i="13"/>
  <c r="AG182" i="13"/>
  <c r="AF182" i="13"/>
  <c r="AC182" i="13"/>
  <c r="AB182" i="13"/>
  <c r="Z182" i="13"/>
  <c r="L182" i="13"/>
  <c r="I182" i="13"/>
  <c r="BJ178" i="13"/>
  <c r="BI178" i="13"/>
  <c r="BH178" i="13"/>
  <c r="BF178" i="13"/>
  <c r="BD178" i="13"/>
  <c r="AW178" i="13"/>
  <c r="AP178" i="13"/>
  <c r="AX178" i="13" s="1"/>
  <c r="AV178" i="13" s="1"/>
  <c r="AO178" i="13"/>
  <c r="AK178" i="13"/>
  <c r="AJ178" i="13"/>
  <c r="AS177" i="13" s="1"/>
  <c r="AH178" i="13"/>
  <c r="AG178" i="13"/>
  <c r="AF178" i="13"/>
  <c r="AE178" i="13"/>
  <c r="AD178" i="13"/>
  <c r="AC178" i="13"/>
  <c r="AB178" i="13"/>
  <c r="Z178" i="13"/>
  <c r="L178" i="13"/>
  <c r="I178" i="13"/>
  <c r="AL178" i="13" s="1"/>
  <c r="BJ176" i="13"/>
  <c r="BI176" i="13"/>
  <c r="BF176" i="13"/>
  <c r="BD176" i="13"/>
  <c r="AX176" i="13"/>
  <c r="AP176" i="13"/>
  <c r="AO176" i="13"/>
  <c r="BH176" i="13" s="1"/>
  <c r="AK176" i="13"/>
  <c r="AJ176" i="13"/>
  <c r="AH176" i="13"/>
  <c r="AG176" i="13"/>
  <c r="AF176" i="13"/>
  <c r="AE176" i="13"/>
  <c r="AD176" i="13"/>
  <c r="AC176" i="13"/>
  <c r="AB176" i="13"/>
  <c r="Z176" i="13"/>
  <c r="L176" i="13"/>
  <c r="I176" i="13"/>
  <c r="AL176" i="13" s="1"/>
  <c r="BJ174" i="13"/>
  <c r="BH174" i="13"/>
  <c r="AD174" i="13" s="1"/>
  <c r="BF174" i="13"/>
  <c r="BD174" i="13"/>
  <c r="AW174" i="13"/>
  <c r="AP174" i="13"/>
  <c r="AO174" i="13"/>
  <c r="AK174" i="13"/>
  <c r="AJ174" i="13"/>
  <c r="AH174" i="13"/>
  <c r="AG174" i="13"/>
  <c r="AF174" i="13"/>
  <c r="AC174" i="13"/>
  <c r="AB174" i="13"/>
  <c r="Z174" i="13"/>
  <c r="L174" i="13"/>
  <c r="I174" i="13"/>
  <c r="AL174" i="13" s="1"/>
  <c r="BJ170" i="13"/>
  <c r="BI170" i="13"/>
  <c r="BF170" i="13"/>
  <c r="BD170" i="13"/>
  <c r="AX170" i="13"/>
  <c r="AW170" i="13"/>
  <c r="AV170" i="13" s="1"/>
  <c r="AP170" i="13"/>
  <c r="AO170" i="13"/>
  <c r="BH170" i="13" s="1"/>
  <c r="AD170" i="13" s="1"/>
  <c r="AK170" i="13"/>
  <c r="AJ170" i="13"/>
  <c r="AH170" i="13"/>
  <c r="AG170" i="13"/>
  <c r="AF170" i="13"/>
  <c r="AE170" i="13"/>
  <c r="AC170" i="13"/>
  <c r="AB170" i="13"/>
  <c r="Z170" i="13"/>
  <c r="L170" i="13"/>
  <c r="I170" i="13"/>
  <c r="AL170" i="13" s="1"/>
  <c r="BJ167" i="13"/>
  <c r="BH167" i="13"/>
  <c r="AD167" i="13" s="1"/>
  <c r="BF167" i="13"/>
  <c r="BD167" i="13"/>
  <c r="AW167" i="13"/>
  <c r="AP167" i="13"/>
  <c r="AO167" i="13"/>
  <c r="AL167" i="13"/>
  <c r="AK167" i="13"/>
  <c r="AJ167" i="13"/>
  <c r="AH167" i="13"/>
  <c r="AG167" i="13"/>
  <c r="AF167" i="13"/>
  <c r="AC167" i="13"/>
  <c r="AB167" i="13"/>
  <c r="Z167" i="13"/>
  <c r="L167" i="13"/>
  <c r="I167" i="13"/>
  <c r="BJ165" i="13"/>
  <c r="BI165" i="13"/>
  <c r="AE165" i="13" s="1"/>
  <c r="BF165" i="13"/>
  <c r="BD165" i="13"/>
  <c r="AX165" i="13"/>
  <c r="AW165" i="13"/>
  <c r="AV165" i="13" s="1"/>
  <c r="AP165" i="13"/>
  <c r="AO165" i="13"/>
  <c r="BH165" i="13" s="1"/>
  <c r="AD165" i="13" s="1"/>
  <c r="AK165" i="13"/>
  <c r="AJ165" i="13"/>
  <c r="AH165" i="13"/>
  <c r="AG165" i="13"/>
  <c r="AF165" i="13"/>
  <c r="AC165" i="13"/>
  <c r="AB165" i="13"/>
  <c r="Z165" i="13"/>
  <c r="L165" i="13"/>
  <c r="I165" i="13"/>
  <c r="AL165" i="13" s="1"/>
  <c r="BJ163" i="13"/>
  <c r="BH163" i="13"/>
  <c r="BF163" i="13"/>
  <c r="BD163" i="13"/>
  <c r="AW163" i="13"/>
  <c r="AP163" i="13"/>
  <c r="AO163" i="13"/>
  <c r="AL163" i="13"/>
  <c r="AK163" i="13"/>
  <c r="AJ163" i="13"/>
  <c r="AH163" i="13"/>
  <c r="AG163" i="13"/>
  <c r="AF163" i="13"/>
  <c r="AD163" i="13"/>
  <c r="AC163" i="13"/>
  <c r="AB163" i="13"/>
  <c r="Z163" i="13"/>
  <c r="L163" i="13"/>
  <c r="I163" i="13"/>
  <c r="BJ161" i="13"/>
  <c r="BI161" i="13"/>
  <c r="AE161" i="13" s="1"/>
  <c r="BF161" i="13"/>
  <c r="BD161" i="13"/>
  <c r="AX161" i="13"/>
  <c r="AP161" i="13"/>
  <c r="AO161" i="13"/>
  <c r="BH161" i="13" s="1"/>
  <c r="AD161" i="13" s="1"/>
  <c r="AK161" i="13"/>
  <c r="AJ161" i="13"/>
  <c r="AH161" i="13"/>
  <c r="AG161" i="13"/>
  <c r="AF161" i="13"/>
  <c r="AC161" i="13"/>
  <c r="AB161" i="13"/>
  <c r="Z161" i="13"/>
  <c r="L161" i="13"/>
  <c r="I161" i="13"/>
  <c r="AL161" i="13" s="1"/>
  <c r="BJ158" i="13"/>
  <c r="BH158" i="13"/>
  <c r="BF158" i="13"/>
  <c r="BD158" i="13"/>
  <c r="AW158" i="13"/>
  <c r="AP158" i="13"/>
  <c r="AO158" i="13"/>
  <c r="AL158" i="13"/>
  <c r="AK158" i="13"/>
  <c r="AJ158" i="13"/>
  <c r="AH158" i="13"/>
  <c r="AG158" i="13"/>
  <c r="AF158" i="13"/>
  <c r="AD158" i="13"/>
  <c r="AC158" i="13"/>
  <c r="AB158" i="13"/>
  <c r="Z158" i="13"/>
  <c r="L158" i="13"/>
  <c r="I158" i="13"/>
  <c r="BJ156" i="13"/>
  <c r="BI156" i="13"/>
  <c r="AE156" i="13" s="1"/>
  <c r="BF156" i="13"/>
  <c r="BD156" i="13"/>
  <c r="AP156" i="13"/>
  <c r="AX156" i="13" s="1"/>
  <c r="AO156" i="13"/>
  <c r="BH156" i="13" s="1"/>
  <c r="AD156" i="13" s="1"/>
  <c r="AK156" i="13"/>
  <c r="AJ156" i="13"/>
  <c r="AH156" i="13"/>
  <c r="AG156" i="13"/>
  <c r="AF156" i="13"/>
  <c r="AC156" i="13"/>
  <c r="AB156" i="13"/>
  <c r="Z156" i="13"/>
  <c r="L156" i="13"/>
  <c r="I156" i="13"/>
  <c r="AL156" i="13" s="1"/>
  <c r="BJ154" i="13"/>
  <c r="BH154" i="13"/>
  <c r="BF154" i="13"/>
  <c r="BD154" i="13"/>
  <c r="AW154" i="13"/>
  <c r="AP154" i="13"/>
  <c r="AO154" i="13"/>
  <c r="AL154" i="13"/>
  <c r="AK154" i="13"/>
  <c r="AJ154" i="13"/>
  <c r="AH154" i="13"/>
  <c r="AG154" i="13"/>
  <c r="AF154" i="13"/>
  <c r="AD154" i="13"/>
  <c r="AC154" i="13"/>
  <c r="AB154" i="13"/>
  <c r="Z154" i="13"/>
  <c r="L154" i="13"/>
  <c r="I154" i="13"/>
  <c r="BJ152" i="13"/>
  <c r="BI152" i="13"/>
  <c r="AE152" i="13" s="1"/>
  <c r="BF152" i="13"/>
  <c r="BD152" i="13"/>
  <c r="AP152" i="13"/>
  <c r="AX152" i="13" s="1"/>
  <c r="AO152" i="13"/>
  <c r="BH152" i="13" s="1"/>
  <c r="AD152" i="13" s="1"/>
  <c r="AK152" i="13"/>
  <c r="AJ152" i="13"/>
  <c r="AH152" i="13"/>
  <c r="AG152" i="13"/>
  <c r="AF152" i="13"/>
  <c r="AC152" i="13"/>
  <c r="AB152" i="13"/>
  <c r="Z152" i="13"/>
  <c r="L152" i="13"/>
  <c r="I152" i="13"/>
  <c r="AL152" i="13" s="1"/>
  <c r="BJ150" i="13"/>
  <c r="BH150" i="13"/>
  <c r="BF150" i="13"/>
  <c r="BD150" i="13"/>
  <c r="AW150" i="13"/>
  <c r="AP150" i="13"/>
  <c r="AO150" i="13"/>
  <c r="AK150" i="13"/>
  <c r="AJ150" i="13"/>
  <c r="AH150" i="13"/>
  <c r="AG150" i="13"/>
  <c r="AF150" i="13"/>
  <c r="AD150" i="13"/>
  <c r="AC150" i="13"/>
  <c r="AB150" i="13"/>
  <c r="Z150" i="13"/>
  <c r="L150" i="13"/>
  <c r="I150" i="13"/>
  <c r="AL150" i="13" s="1"/>
  <c r="BJ147" i="13"/>
  <c r="BI147" i="13"/>
  <c r="AE147" i="13" s="1"/>
  <c r="BF147" i="13"/>
  <c r="BD147" i="13"/>
  <c r="AP147" i="13"/>
  <c r="AX147" i="13" s="1"/>
  <c r="AO147" i="13"/>
  <c r="BH147" i="13" s="1"/>
  <c r="AD147" i="13" s="1"/>
  <c r="AL147" i="13"/>
  <c r="AK147" i="13"/>
  <c r="AJ147" i="13"/>
  <c r="AH147" i="13"/>
  <c r="AG147" i="13"/>
  <c r="AF147" i="13"/>
  <c r="AC147" i="13"/>
  <c r="AB147" i="13"/>
  <c r="Z147" i="13"/>
  <c r="L147" i="13"/>
  <c r="I147" i="13"/>
  <c r="BJ145" i="13"/>
  <c r="BH145" i="13"/>
  <c r="BF145" i="13"/>
  <c r="BD145" i="13"/>
  <c r="AW145" i="13"/>
  <c r="AP145" i="13"/>
  <c r="AO145" i="13"/>
  <c r="AK145" i="13"/>
  <c r="AJ145" i="13"/>
  <c r="AH145" i="13"/>
  <c r="AG145" i="13"/>
  <c r="AF145" i="13"/>
  <c r="AD145" i="13"/>
  <c r="AC145" i="13"/>
  <c r="AB145" i="13"/>
  <c r="Z145" i="13"/>
  <c r="L145" i="13"/>
  <c r="I145" i="13"/>
  <c r="AL145" i="13" s="1"/>
  <c r="BJ143" i="13"/>
  <c r="BI143" i="13"/>
  <c r="AE143" i="13" s="1"/>
  <c r="BF143" i="13"/>
  <c r="BD143" i="13"/>
  <c r="AP143" i="13"/>
  <c r="AX143" i="13" s="1"/>
  <c r="AO143" i="13"/>
  <c r="BH143" i="13" s="1"/>
  <c r="AD143" i="13" s="1"/>
  <c r="AK143" i="13"/>
  <c r="AJ143" i="13"/>
  <c r="AH143" i="13"/>
  <c r="AG143" i="13"/>
  <c r="AF143" i="13"/>
  <c r="AC143" i="13"/>
  <c r="AB143" i="13"/>
  <c r="Z143" i="13"/>
  <c r="L143" i="13"/>
  <c r="I143" i="13"/>
  <c r="AL143" i="13" s="1"/>
  <c r="BJ140" i="13"/>
  <c r="BH140" i="13"/>
  <c r="AD140" i="13" s="1"/>
  <c r="BF140" i="13"/>
  <c r="BD140" i="13"/>
  <c r="AW140" i="13"/>
  <c r="AP140" i="13"/>
  <c r="AO140" i="13"/>
  <c r="AK140" i="13"/>
  <c r="AJ140" i="13"/>
  <c r="AH140" i="13"/>
  <c r="AG140" i="13"/>
  <c r="AF140" i="13"/>
  <c r="AC140" i="13"/>
  <c r="AB140" i="13"/>
  <c r="Z140" i="13"/>
  <c r="L140" i="13"/>
  <c r="I140" i="13"/>
  <c r="L139" i="13"/>
  <c r="BJ138" i="13"/>
  <c r="BD138" i="13"/>
  <c r="AX138" i="13"/>
  <c r="AP138" i="13"/>
  <c r="BI138" i="13" s="1"/>
  <c r="AO138" i="13"/>
  <c r="BH138" i="13" s="1"/>
  <c r="AK138" i="13"/>
  <c r="AJ138" i="13"/>
  <c r="AH138" i="13"/>
  <c r="AG138" i="13"/>
  <c r="AF138" i="13"/>
  <c r="AE138" i="13"/>
  <c r="AD138" i="13"/>
  <c r="AC138" i="13"/>
  <c r="AB138" i="13"/>
  <c r="Z138" i="13"/>
  <c r="L138" i="13"/>
  <c r="BF138" i="13" s="1"/>
  <c r="I138" i="13"/>
  <c r="AL138" i="13" s="1"/>
  <c r="BJ136" i="13"/>
  <c r="BI136" i="13"/>
  <c r="BH136" i="13"/>
  <c r="BD136" i="13"/>
  <c r="AX136" i="13"/>
  <c r="AW136" i="13"/>
  <c r="AV136" i="13"/>
  <c r="AP136" i="13"/>
  <c r="AO136" i="13"/>
  <c r="AK136" i="13"/>
  <c r="AJ136" i="13"/>
  <c r="AH136" i="13"/>
  <c r="AG136" i="13"/>
  <c r="AF136" i="13"/>
  <c r="AE136" i="13"/>
  <c r="AD136" i="13"/>
  <c r="AC136" i="13"/>
  <c r="AB136" i="13"/>
  <c r="Z136" i="13"/>
  <c r="L136" i="13"/>
  <c r="L119" i="13" s="1"/>
  <c r="I136" i="13"/>
  <c r="AL136" i="13" s="1"/>
  <c r="BJ134" i="13"/>
  <c r="BD134" i="13"/>
  <c r="AX134" i="13"/>
  <c r="AP134" i="13"/>
  <c r="BI134" i="13" s="1"/>
  <c r="AE134" i="13" s="1"/>
  <c r="AO134" i="13"/>
  <c r="AK134" i="13"/>
  <c r="AJ134" i="13"/>
  <c r="AH134" i="13"/>
  <c r="AG134" i="13"/>
  <c r="AF134" i="13"/>
  <c r="AC134" i="13"/>
  <c r="AB134" i="13"/>
  <c r="Z134" i="13"/>
  <c r="L134" i="13"/>
  <c r="BF134" i="13" s="1"/>
  <c r="I134" i="13"/>
  <c r="AL134" i="13" s="1"/>
  <c r="BJ131" i="13"/>
  <c r="BI131" i="13"/>
  <c r="BH131" i="13"/>
  <c r="AD131" i="13" s="1"/>
  <c r="BF131" i="13"/>
  <c r="BD131" i="13"/>
  <c r="AX131" i="13"/>
  <c r="AP131" i="13"/>
  <c r="AO131" i="13"/>
  <c r="AW131" i="13" s="1"/>
  <c r="AK131" i="13"/>
  <c r="AJ131" i="13"/>
  <c r="AH131" i="13"/>
  <c r="AG131" i="13"/>
  <c r="AF131" i="13"/>
  <c r="AE131" i="13"/>
  <c r="AC131" i="13"/>
  <c r="AB131" i="13"/>
  <c r="Z131" i="13"/>
  <c r="L131" i="13"/>
  <c r="I131" i="13"/>
  <c r="AL131" i="13" s="1"/>
  <c r="BJ125" i="13"/>
  <c r="BH125" i="13"/>
  <c r="AD125" i="13" s="1"/>
  <c r="BF125" i="13"/>
  <c r="BD125" i="13"/>
  <c r="AP125" i="13"/>
  <c r="BI125" i="13" s="1"/>
  <c r="AE125" i="13" s="1"/>
  <c r="AO125" i="13"/>
  <c r="AW125" i="13" s="1"/>
  <c r="AK125" i="13"/>
  <c r="AJ125" i="13"/>
  <c r="AH125" i="13"/>
  <c r="AG125" i="13"/>
  <c r="AF125" i="13"/>
  <c r="AC125" i="13"/>
  <c r="AB125" i="13"/>
  <c r="Z125" i="13"/>
  <c r="L125" i="13"/>
  <c r="I125" i="13"/>
  <c r="AL125" i="13" s="1"/>
  <c r="AU119" i="13" s="1"/>
  <c r="BJ120" i="13"/>
  <c r="BI120" i="13"/>
  <c r="BD120" i="13"/>
  <c r="AX120" i="13"/>
  <c r="AW120" i="13"/>
  <c r="BC120" i="13" s="1"/>
  <c r="AV120" i="13"/>
  <c r="AP120" i="13"/>
  <c r="AO120" i="13"/>
  <c r="BH120" i="13" s="1"/>
  <c r="AD120" i="13" s="1"/>
  <c r="AK120" i="13"/>
  <c r="AJ120" i="13"/>
  <c r="AS119" i="13" s="1"/>
  <c r="AH120" i="13"/>
  <c r="AG120" i="13"/>
  <c r="AF120" i="13"/>
  <c r="AE120" i="13"/>
  <c r="AC120" i="13"/>
  <c r="AB120" i="13"/>
  <c r="Z120" i="13"/>
  <c r="L120" i="13"/>
  <c r="BF120" i="13" s="1"/>
  <c r="I120" i="13"/>
  <c r="AL120" i="13" s="1"/>
  <c r="BJ115" i="13"/>
  <c r="BI115" i="13"/>
  <c r="AC115" i="13" s="1"/>
  <c r="BH115" i="13"/>
  <c r="AB115" i="13" s="1"/>
  <c r="BD115" i="13"/>
  <c r="AX115" i="13"/>
  <c r="AP115" i="13"/>
  <c r="AO115" i="13"/>
  <c r="AW115" i="13" s="1"/>
  <c r="AK115" i="13"/>
  <c r="AJ115" i="13"/>
  <c r="AH115" i="13"/>
  <c r="AG115" i="13"/>
  <c r="AF115" i="13"/>
  <c r="AE115" i="13"/>
  <c r="AD115" i="13"/>
  <c r="Z115" i="13"/>
  <c r="L115" i="13"/>
  <c r="BF115" i="13" s="1"/>
  <c r="I115" i="13"/>
  <c r="AL115" i="13" s="1"/>
  <c r="AU110" i="13" s="1"/>
  <c r="BJ111" i="13"/>
  <c r="BD111" i="13"/>
  <c r="AP111" i="13"/>
  <c r="AO111" i="13"/>
  <c r="AW111" i="13" s="1"/>
  <c r="AK111" i="13"/>
  <c r="AT110" i="13" s="1"/>
  <c r="AJ111" i="13"/>
  <c r="AH111" i="13"/>
  <c r="AG111" i="13"/>
  <c r="AF111" i="13"/>
  <c r="AE111" i="13"/>
  <c r="AD111" i="13"/>
  <c r="Z111" i="13"/>
  <c r="L111" i="13"/>
  <c r="I111" i="13"/>
  <c r="AL111" i="13" s="1"/>
  <c r="AS110" i="13"/>
  <c r="I110" i="13"/>
  <c r="BJ105" i="13"/>
  <c r="BH105" i="13"/>
  <c r="BD105" i="13"/>
  <c r="AP105" i="13"/>
  <c r="BI105" i="13" s="1"/>
  <c r="AC105" i="13" s="1"/>
  <c r="AO105" i="13"/>
  <c r="AW105" i="13" s="1"/>
  <c r="AL105" i="13"/>
  <c r="AK105" i="13"/>
  <c r="AJ105" i="13"/>
  <c r="AH105" i="13"/>
  <c r="AG105" i="13"/>
  <c r="AF105" i="13"/>
  <c r="AE105" i="13"/>
  <c r="AD105" i="13"/>
  <c r="AB105" i="13"/>
  <c r="Z105" i="13"/>
  <c r="L105" i="13"/>
  <c r="BF105" i="13" s="1"/>
  <c r="I105" i="13"/>
  <c r="BJ102" i="13"/>
  <c r="BF102" i="13"/>
  <c r="BD102" i="13"/>
  <c r="AP102" i="13"/>
  <c r="AX102" i="13" s="1"/>
  <c r="AO102" i="13"/>
  <c r="AW102" i="13" s="1"/>
  <c r="AK102" i="13"/>
  <c r="AT101" i="13" s="1"/>
  <c r="AJ102" i="13"/>
  <c r="AH102" i="13"/>
  <c r="AG102" i="13"/>
  <c r="AF102" i="13"/>
  <c r="AE102" i="13"/>
  <c r="AD102" i="13"/>
  <c r="Z102" i="13"/>
  <c r="L102" i="13"/>
  <c r="I102" i="13"/>
  <c r="AL102" i="13" s="1"/>
  <c r="AU101" i="13" s="1"/>
  <c r="AS101" i="13"/>
  <c r="I101" i="13"/>
  <c r="BJ97" i="13"/>
  <c r="BI97" i="13"/>
  <c r="BD97" i="13"/>
  <c r="AX97" i="13"/>
  <c r="AW97" i="13"/>
  <c r="AP97" i="13"/>
  <c r="AO97" i="13"/>
  <c r="BH97" i="13" s="1"/>
  <c r="AK97" i="13"/>
  <c r="AJ97" i="13"/>
  <c r="AH97" i="13"/>
  <c r="AG97" i="13"/>
  <c r="AF97" i="13"/>
  <c r="AE97" i="13"/>
  <c r="AD97" i="13"/>
  <c r="AC97" i="13"/>
  <c r="AB97" i="13"/>
  <c r="Z97" i="13"/>
  <c r="L97" i="13"/>
  <c r="BF97" i="13" s="1"/>
  <c r="I97" i="13"/>
  <c r="AL97" i="13" s="1"/>
  <c r="BJ92" i="13"/>
  <c r="BH92" i="13"/>
  <c r="AB92" i="13" s="1"/>
  <c r="BF92" i="13"/>
  <c r="BD92" i="13"/>
  <c r="AW92" i="13"/>
  <c r="AP92" i="13"/>
  <c r="AO92" i="13"/>
  <c r="AL92" i="13"/>
  <c r="AK92" i="13"/>
  <c r="AJ92" i="13"/>
  <c r="AH92" i="13"/>
  <c r="AG92" i="13"/>
  <c r="AF92" i="13"/>
  <c r="AE92" i="13"/>
  <c r="AD92" i="13"/>
  <c r="Z92" i="13"/>
  <c r="L92" i="13"/>
  <c r="I92" i="13"/>
  <c r="BJ83" i="13"/>
  <c r="BI83" i="13"/>
  <c r="BF83" i="13"/>
  <c r="BD83" i="13"/>
  <c r="AX83" i="13"/>
  <c r="AP83" i="13"/>
  <c r="AO83" i="13"/>
  <c r="BH83" i="13" s="1"/>
  <c r="AK83" i="13"/>
  <c r="AJ83" i="13"/>
  <c r="AH83" i="13"/>
  <c r="AG83" i="13"/>
  <c r="AF83" i="13"/>
  <c r="AE83" i="13"/>
  <c r="AD83" i="13"/>
  <c r="AC83" i="13"/>
  <c r="AB83" i="13"/>
  <c r="Z83" i="13"/>
  <c r="L83" i="13"/>
  <c r="I83" i="13"/>
  <c r="AL83" i="13" s="1"/>
  <c r="BJ78" i="13"/>
  <c r="BH78" i="13"/>
  <c r="AB78" i="13" s="1"/>
  <c r="BF78" i="13"/>
  <c r="BD78" i="13"/>
  <c r="AW78" i="13"/>
  <c r="AP78" i="13"/>
  <c r="AO78" i="13"/>
  <c r="AL78" i="13"/>
  <c r="AK78" i="13"/>
  <c r="AJ78" i="13"/>
  <c r="AH78" i="13"/>
  <c r="AG78" i="13"/>
  <c r="AF78" i="13"/>
  <c r="AE78" i="13"/>
  <c r="AD78" i="13"/>
  <c r="Z78" i="13"/>
  <c r="L78" i="13"/>
  <c r="I78" i="13"/>
  <c r="BJ75" i="13"/>
  <c r="BI75" i="13"/>
  <c r="AC75" i="13" s="1"/>
  <c r="BD75" i="13"/>
  <c r="AX75" i="13"/>
  <c r="AW75" i="13"/>
  <c r="AP75" i="13"/>
  <c r="AO75" i="13"/>
  <c r="BH75" i="13" s="1"/>
  <c r="AK75" i="13"/>
  <c r="AT69" i="13" s="1"/>
  <c r="AJ75" i="13"/>
  <c r="AH75" i="13"/>
  <c r="AG75" i="13"/>
  <c r="AF75" i="13"/>
  <c r="AE75" i="13"/>
  <c r="AD75" i="13"/>
  <c r="AB75" i="13"/>
  <c r="Z75" i="13"/>
  <c r="L75" i="13"/>
  <c r="I75" i="13"/>
  <c r="AL75" i="13" s="1"/>
  <c r="BJ70" i="13"/>
  <c r="BH70" i="13"/>
  <c r="AB70" i="13" s="1"/>
  <c r="BF70" i="13"/>
  <c r="BD70" i="13"/>
  <c r="AW70" i="13"/>
  <c r="AP70" i="13"/>
  <c r="AO70" i="13"/>
  <c r="AK70" i="13"/>
  <c r="AJ70" i="13"/>
  <c r="AH70" i="13"/>
  <c r="AG70" i="13"/>
  <c r="AF70" i="13"/>
  <c r="AE70" i="13"/>
  <c r="AD70" i="13"/>
  <c r="Z70" i="13"/>
  <c r="L70" i="13"/>
  <c r="I70" i="13"/>
  <c r="AL70" i="13" s="1"/>
  <c r="BJ67" i="13"/>
  <c r="BI67" i="13"/>
  <c r="BD67" i="13"/>
  <c r="AX67" i="13"/>
  <c r="AP67" i="13"/>
  <c r="AO67" i="13"/>
  <c r="AL67" i="13"/>
  <c r="AK67" i="13"/>
  <c r="AJ67" i="13"/>
  <c r="AH67" i="13"/>
  <c r="AG67" i="13"/>
  <c r="AF67" i="13"/>
  <c r="AE67" i="13"/>
  <c r="AD67" i="13"/>
  <c r="AC67" i="13"/>
  <c r="Z67" i="13"/>
  <c r="L67" i="13"/>
  <c r="BF67" i="13" s="1"/>
  <c r="I67" i="13"/>
  <c r="BJ64" i="13"/>
  <c r="BH64" i="13"/>
  <c r="AB64" i="13" s="1"/>
  <c r="BD64" i="13"/>
  <c r="AX64" i="13"/>
  <c r="AW64" i="13"/>
  <c r="AV64" i="13"/>
  <c r="AP64" i="13"/>
  <c r="BI64" i="13" s="1"/>
  <c r="AO64" i="13"/>
  <c r="AK64" i="13"/>
  <c r="AJ64" i="13"/>
  <c r="AS48" i="13" s="1"/>
  <c r="AH64" i="13"/>
  <c r="AG64" i="13"/>
  <c r="AF64" i="13"/>
  <c r="AE64" i="13"/>
  <c r="AD64" i="13"/>
  <c r="AC64" i="13"/>
  <c r="Z64" i="13"/>
  <c r="L64" i="13"/>
  <c r="BF64" i="13" s="1"/>
  <c r="I64" i="13"/>
  <c r="AL64" i="13" s="1"/>
  <c r="BJ61" i="13"/>
  <c r="BI61" i="13"/>
  <c r="BD61" i="13"/>
  <c r="AX61" i="13"/>
  <c r="AW61" i="13"/>
  <c r="BC61" i="13" s="1"/>
  <c r="AV61" i="13"/>
  <c r="AP61" i="13"/>
  <c r="AO61" i="13"/>
  <c r="BH61" i="13" s="1"/>
  <c r="AB61" i="13" s="1"/>
  <c r="AK61" i="13"/>
  <c r="AJ61" i="13"/>
  <c r="AH61" i="13"/>
  <c r="AG61" i="13"/>
  <c r="AF61" i="13"/>
  <c r="AE61" i="13"/>
  <c r="AD61" i="13"/>
  <c r="AC61" i="13"/>
  <c r="Z61" i="13"/>
  <c r="L61" i="13"/>
  <c r="BF61" i="13" s="1"/>
  <c r="I61" i="13"/>
  <c r="AL61" i="13" s="1"/>
  <c r="BJ58" i="13"/>
  <c r="BF58" i="13"/>
  <c r="BD58" i="13"/>
  <c r="AP58" i="13"/>
  <c r="BI58" i="13" s="1"/>
  <c r="AC58" i="13" s="1"/>
  <c r="AO58" i="13"/>
  <c r="BH58" i="13" s="1"/>
  <c r="AB58" i="13" s="1"/>
  <c r="AK58" i="13"/>
  <c r="AJ58" i="13"/>
  <c r="AH58" i="13"/>
  <c r="AG58" i="13"/>
  <c r="AF58" i="13"/>
  <c r="AE58" i="13"/>
  <c r="AD58" i="13"/>
  <c r="Z58" i="13"/>
  <c r="L58" i="13"/>
  <c r="I58" i="13"/>
  <c r="AL58" i="13" s="1"/>
  <c r="BJ55" i="13"/>
  <c r="BI55" i="13"/>
  <c r="AC55" i="13" s="1"/>
  <c r="BD55" i="13"/>
  <c r="AX55" i="13"/>
  <c r="AP55" i="13"/>
  <c r="AO55" i="13"/>
  <c r="AW55" i="13" s="1"/>
  <c r="AK55" i="13"/>
  <c r="AJ55" i="13"/>
  <c r="AH55" i="13"/>
  <c r="AG55" i="13"/>
  <c r="AF55" i="13"/>
  <c r="AE55" i="13"/>
  <c r="AD55" i="13"/>
  <c r="Z55" i="13"/>
  <c r="L55" i="13"/>
  <c r="BF55" i="13" s="1"/>
  <c r="I55" i="13"/>
  <c r="AL55" i="13" s="1"/>
  <c r="BJ52" i="13"/>
  <c r="BF52" i="13"/>
  <c r="BD52" i="13"/>
  <c r="AP52" i="13"/>
  <c r="BI52" i="13" s="1"/>
  <c r="AO52" i="13"/>
  <c r="AW52" i="13" s="1"/>
  <c r="AK52" i="13"/>
  <c r="AJ52" i="13"/>
  <c r="AH52" i="13"/>
  <c r="AG52" i="13"/>
  <c r="AF52" i="13"/>
  <c r="AE52" i="13"/>
  <c r="AD52" i="13"/>
  <c r="AC52" i="13"/>
  <c r="Z52" i="13"/>
  <c r="L52" i="13"/>
  <c r="I52" i="13"/>
  <c r="AL52" i="13" s="1"/>
  <c r="BJ49" i="13"/>
  <c r="BI49" i="13"/>
  <c r="AC49" i="13" s="1"/>
  <c r="BH49" i="13"/>
  <c r="AB49" i="13" s="1"/>
  <c r="BF49" i="13"/>
  <c r="BD49" i="13"/>
  <c r="AP49" i="13"/>
  <c r="AX49" i="13" s="1"/>
  <c r="AO49" i="13"/>
  <c r="AW49" i="13" s="1"/>
  <c r="AL49" i="13"/>
  <c r="AK49" i="13"/>
  <c r="AT48" i="13" s="1"/>
  <c r="AJ49" i="13"/>
  <c r="AH49" i="13"/>
  <c r="AG49" i="13"/>
  <c r="AF49" i="13"/>
  <c r="AE49" i="13"/>
  <c r="AD49" i="13"/>
  <c r="Z49" i="13"/>
  <c r="L49" i="13"/>
  <c r="I49" i="13"/>
  <c r="L48" i="13"/>
  <c r="BJ46" i="13"/>
  <c r="BI46" i="13"/>
  <c r="AC46" i="13" s="1"/>
  <c r="BH46" i="13"/>
  <c r="BD46" i="13"/>
  <c r="AX46" i="13"/>
  <c r="AW46" i="13"/>
  <c r="AV46" i="13" s="1"/>
  <c r="AP46" i="13"/>
  <c r="AO46" i="13"/>
  <c r="AK46" i="13"/>
  <c r="AJ46" i="13"/>
  <c r="AH46" i="13"/>
  <c r="AG46" i="13"/>
  <c r="AF46" i="13"/>
  <c r="AE46" i="13"/>
  <c r="AD46" i="13"/>
  <c r="AB46" i="13"/>
  <c r="Z46" i="13"/>
  <c r="L46" i="13"/>
  <c r="BF46" i="13" s="1"/>
  <c r="I46" i="13"/>
  <c r="AL46" i="13" s="1"/>
  <c r="BJ44" i="13"/>
  <c r="BD44" i="13"/>
  <c r="AX44" i="13"/>
  <c r="AW44" i="13"/>
  <c r="AP44" i="13"/>
  <c r="BI44" i="13" s="1"/>
  <c r="AC44" i="13" s="1"/>
  <c r="AO44" i="13"/>
  <c r="BH44" i="13" s="1"/>
  <c r="AB44" i="13" s="1"/>
  <c r="AK44" i="13"/>
  <c r="AJ44" i="13"/>
  <c r="AH44" i="13"/>
  <c r="AG44" i="13"/>
  <c r="AF44" i="13"/>
  <c r="AE44" i="13"/>
  <c r="AD44" i="13"/>
  <c r="Z44" i="13"/>
  <c r="L44" i="13"/>
  <c r="BF44" i="13" s="1"/>
  <c r="I44" i="13"/>
  <c r="AL44" i="13" s="1"/>
  <c r="BJ42" i="13"/>
  <c r="BI42" i="13"/>
  <c r="AC42" i="13" s="1"/>
  <c r="BH42" i="13"/>
  <c r="BD42" i="13"/>
  <c r="AX42" i="13"/>
  <c r="AW42" i="13"/>
  <c r="AV42" i="13" s="1"/>
  <c r="AP42" i="13"/>
  <c r="AO42" i="13"/>
  <c r="AK42" i="13"/>
  <c r="AJ42" i="13"/>
  <c r="AH42" i="13"/>
  <c r="AG42" i="13"/>
  <c r="AF42" i="13"/>
  <c r="AE42" i="13"/>
  <c r="AD42" i="13"/>
  <c r="AB42" i="13"/>
  <c r="Z42" i="13"/>
  <c r="L42" i="13"/>
  <c r="BF42" i="13" s="1"/>
  <c r="I42" i="13"/>
  <c r="AL42" i="13" s="1"/>
  <c r="BJ36" i="13"/>
  <c r="BD36" i="13"/>
  <c r="AX36" i="13"/>
  <c r="AW36" i="13"/>
  <c r="AP36" i="13"/>
  <c r="BI36" i="13" s="1"/>
  <c r="AC36" i="13" s="1"/>
  <c r="AO36" i="13"/>
  <c r="BH36" i="13" s="1"/>
  <c r="AK36" i="13"/>
  <c r="AJ36" i="13"/>
  <c r="AH36" i="13"/>
  <c r="AG36" i="13"/>
  <c r="AF36" i="13"/>
  <c r="AE36" i="13"/>
  <c r="AD36" i="13"/>
  <c r="AB36" i="13"/>
  <c r="Z36" i="13"/>
  <c r="L36" i="13"/>
  <c r="BF36" i="13" s="1"/>
  <c r="I36" i="13"/>
  <c r="AL36" i="13" s="1"/>
  <c r="BJ33" i="13"/>
  <c r="BI33" i="13"/>
  <c r="AC33" i="13" s="1"/>
  <c r="BH33" i="13"/>
  <c r="BD33" i="13"/>
  <c r="AX33" i="13"/>
  <c r="AW33" i="13"/>
  <c r="AV33" i="13" s="1"/>
  <c r="AP33" i="13"/>
  <c r="AO33" i="13"/>
  <c r="AK33" i="13"/>
  <c r="AJ33" i="13"/>
  <c r="AH33" i="13"/>
  <c r="AG33" i="13"/>
  <c r="AF33" i="13"/>
  <c r="AE33" i="13"/>
  <c r="AD33" i="13"/>
  <c r="AB33" i="13"/>
  <c r="Z33" i="13"/>
  <c r="L33" i="13"/>
  <c r="BF33" i="13" s="1"/>
  <c r="I33" i="13"/>
  <c r="AL33" i="13" s="1"/>
  <c r="BJ30" i="13"/>
  <c r="BD30" i="13"/>
  <c r="AX30" i="13"/>
  <c r="AW30" i="13"/>
  <c r="AP30" i="13"/>
  <c r="BI30" i="13" s="1"/>
  <c r="AC30" i="13" s="1"/>
  <c r="AO30" i="13"/>
  <c r="BH30" i="13" s="1"/>
  <c r="AK30" i="13"/>
  <c r="AJ30" i="13"/>
  <c r="AH30" i="13"/>
  <c r="AG30" i="13"/>
  <c r="AF30" i="13"/>
  <c r="AE30" i="13"/>
  <c r="AD30" i="13"/>
  <c r="AB30" i="13"/>
  <c r="Z30" i="13"/>
  <c r="L30" i="13"/>
  <c r="BF30" i="13" s="1"/>
  <c r="I30" i="13"/>
  <c r="AL30" i="13" s="1"/>
  <c r="BJ27" i="13"/>
  <c r="BI27" i="13"/>
  <c r="AC27" i="13" s="1"/>
  <c r="BH27" i="13"/>
  <c r="BD27" i="13"/>
  <c r="AX27" i="13"/>
  <c r="AW27" i="13"/>
  <c r="AV27" i="13" s="1"/>
  <c r="AP27" i="13"/>
  <c r="AO27" i="13"/>
  <c r="AK27" i="13"/>
  <c r="AJ27" i="13"/>
  <c r="AH27" i="13"/>
  <c r="AG27" i="13"/>
  <c r="AF27" i="13"/>
  <c r="AE27" i="13"/>
  <c r="AD27" i="13"/>
  <c r="AB27" i="13"/>
  <c r="Z27" i="13"/>
  <c r="L27" i="13"/>
  <c r="BF27" i="13" s="1"/>
  <c r="I27" i="13"/>
  <c r="AL27" i="13" s="1"/>
  <c r="BJ19" i="13"/>
  <c r="BD19" i="13"/>
  <c r="AW19" i="13"/>
  <c r="AP19" i="13"/>
  <c r="BI19" i="13" s="1"/>
  <c r="AC19" i="13" s="1"/>
  <c r="AO19" i="13"/>
  <c r="BH19" i="13" s="1"/>
  <c r="AK19" i="13"/>
  <c r="AJ19" i="13"/>
  <c r="AH19" i="13"/>
  <c r="AG19" i="13"/>
  <c r="AF19" i="13"/>
  <c r="AE19" i="13"/>
  <c r="AD19" i="13"/>
  <c r="AB19" i="13"/>
  <c r="Z19" i="13"/>
  <c r="L19" i="13"/>
  <c r="BF19" i="13" s="1"/>
  <c r="I19" i="13"/>
  <c r="AL19" i="13" s="1"/>
  <c r="BJ17" i="13"/>
  <c r="BI17" i="13"/>
  <c r="AC17" i="13" s="1"/>
  <c r="BH17" i="13"/>
  <c r="BD17" i="13"/>
  <c r="AX17" i="13"/>
  <c r="AW17" i="13"/>
  <c r="AV17" i="13" s="1"/>
  <c r="AP17" i="13"/>
  <c r="AO17" i="13"/>
  <c r="AK17" i="13"/>
  <c r="AJ17" i="13"/>
  <c r="AH17" i="13"/>
  <c r="AG17" i="13"/>
  <c r="AF17" i="13"/>
  <c r="AE17" i="13"/>
  <c r="AD17" i="13"/>
  <c r="AB17" i="13"/>
  <c r="Z17" i="13"/>
  <c r="L17" i="13"/>
  <c r="BF17" i="13" s="1"/>
  <c r="I17" i="13"/>
  <c r="BJ14" i="13"/>
  <c r="BD14" i="13"/>
  <c r="AW14" i="13"/>
  <c r="AP14" i="13"/>
  <c r="BI14" i="13" s="1"/>
  <c r="AC14" i="13" s="1"/>
  <c r="AO14" i="13"/>
  <c r="BH14" i="13" s="1"/>
  <c r="AK14" i="13"/>
  <c r="AJ14" i="13"/>
  <c r="AS13" i="13" s="1"/>
  <c r="AH14" i="13"/>
  <c r="AG14" i="13"/>
  <c r="AF14" i="13"/>
  <c r="AE14" i="13"/>
  <c r="AD14" i="13"/>
  <c r="AB14" i="13"/>
  <c r="Z14" i="13"/>
  <c r="L14" i="13"/>
  <c r="I14" i="13"/>
  <c r="AL14" i="13" s="1"/>
  <c r="AU1" i="13"/>
  <c r="AT1" i="13"/>
  <c r="AS1" i="13"/>
  <c r="AK31" i="12"/>
  <c r="AJ31" i="12"/>
  <c r="AH31" i="12"/>
  <c r="AG31" i="12"/>
  <c r="AF31" i="12"/>
  <c r="AE31" i="12"/>
  <c r="AD31" i="12"/>
  <c r="Z31" i="12"/>
  <c r="K31" i="12"/>
  <c r="J31" i="12"/>
  <c r="L31" i="12" s="1"/>
  <c r="BF31" i="12" s="1"/>
  <c r="H31" i="12"/>
  <c r="G31" i="12"/>
  <c r="BD29" i="12"/>
  <c r="AP29" i="12"/>
  <c r="AK29" i="12"/>
  <c r="AJ29" i="12"/>
  <c r="AH29" i="12"/>
  <c r="AG29" i="12"/>
  <c r="AF29" i="12"/>
  <c r="AE29" i="12"/>
  <c r="AD29" i="12"/>
  <c r="Z29" i="12"/>
  <c r="K29" i="12"/>
  <c r="J29" i="12"/>
  <c r="H29" i="12"/>
  <c r="AO29" i="12" s="1"/>
  <c r="G29" i="12"/>
  <c r="AP27" i="12"/>
  <c r="BI27" i="12" s="1"/>
  <c r="AC27" i="12" s="1"/>
  <c r="AO27" i="12"/>
  <c r="BH27" i="12" s="1"/>
  <c r="AB27" i="12" s="1"/>
  <c r="AK27" i="12"/>
  <c r="AT22" i="12" s="1"/>
  <c r="AJ27" i="12"/>
  <c r="AH27" i="12"/>
  <c r="AG27" i="12"/>
  <c r="AF27" i="12"/>
  <c r="AE27" i="12"/>
  <c r="AD27" i="12"/>
  <c r="Z27" i="12"/>
  <c r="K27" i="12"/>
  <c r="J27" i="12"/>
  <c r="I27" i="12"/>
  <c r="AL27" i="12" s="1"/>
  <c r="H27" i="12"/>
  <c r="BD27" i="12" s="1"/>
  <c r="G27" i="12"/>
  <c r="BD25" i="12"/>
  <c r="AP25" i="12"/>
  <c r="AK25" i="12"/>
  <c r="AJ25" i="12"/>
  <c r="AH25" i="12"/>
  <c r="AG25" i="12"/>
  <c r="AF25" i="12"/>
  <c r="AE25" i="12"/>
  <c r="AD25" i="12"/>
  <c r="Z25" i="12"/>
  <c r="K25" i="12"/>
  <c r="J25" i="12"/>
  <c r="H25" i="12"/>
  <c r="AO25" i="12" s="1"/>
  <c r="G25" i="12"/>
  <c r="BD23" i="12"/>
  <c r="AK23" i="12"/>
  <c r="AJ23" i="12"/>
  <c r="AH23" i="12"/>
  <c r="AG23" i="12"/>
  <c r="AF23" i="12"/>
  <c r="AE23" i="12"/>
  <c r="AD23" i="12"/>
  <c r="Z23" i="12"/>
  <c r="K23" i="12"/>
  <c r="J23" i="12"/>
  <c r="L23" i="12" s="1"/>
  <c r="H23" i="12"/>
  <c r="G23" i="12"/>
  <c r="BJ20" i="12"/>
  <c r="BI20" i="12"/>
  <c r="BF20" i="12"/>
  <c r="BD20" i="12"/>
  <c r="AX20" i="12"/>
  <c r="AP20" i="12"/>
  <c r="AK20" i="12"/>
  <c r="AJ20" i="12"/>
  <c r="AH20" i="12"/>
  <c r="AG20" i="12"/>
  <c r="AF20" i="12"/>
  <c r="AE20" i="12"/>
  <c r="AD20" i="12"/>
  <c r="AC20" i="12"/>
  <c r="Z20" i="12"/>
  <c r="L20" i="12"/>
  <c r="K20" i="12"/>
  <c r="J20" i="12"/>
  <c r="I20" i="12"/>
  <c r="AL20" i="12" s="1"/>
  <c r="H20" i="12"/>
  <c r="AO20" i="12" s="1"/>
  <c r="G20" i="12"/>
  <c r="AO18" i="12"/>
  <c r="AK18" i="12"/>
  <c r="AJ18" i="12"/>
  <c r="AH18" i="12"/>
  <c r="AG18" i="12"/>
  <c r="AF18" i="12"/>
  <c r="AE18" i="12"/>
  <c r="AD18" i="12"/>
  <c r="Z18" i="12"/>
  <c r="K18" i="12"/>
  <c r="J18" i="12"/>
  <c r="H18" i="12"/>
  <c r="AP18" i="12" s="1"/>
  <c r="G18" i="12"/>
  <c r="BD16" i="12"/>
  <c r="AP16" i="12"/>
  <c r="AK16" i="12"/>
  <c r="AJ16" i="12"/>
  <c r="AH16" i="12"/>
  <c r="AG16" i="12"/>
  <c r="AF16" i="12"/>
  <c r="AE16" i="12"/>
  <c r="AD16" i="12"/>
  <c r="Z16" i="12"/>
  <c r="K16" i="12"/>
  <c r="J16" i="12"/>
  <c r="H16" i="12"/>
  <c r="AO16" i="12" s="1"/>
  <c r="G16" i="12"/>
  <c r="AK14" i="12"/>
  <c r="C26" i="10" s="1"/>
  <c r="F26" i="10" s="1"/>
  <c r="AJ14" i="12"/>
  <c r="AH14" i="12"/>
  <c r="AG14" i="12"/>
  <c r="AF14" i="12"/>
  <c r="AE14" i="12"/>
  <c r="AD14" i="12"/>
  <c r="Z14" i="12"/>
  <c r="K14" i="12"/>
  <c r="J14" i="12"/>
  <c r="G14" i="12"/>
  <c r="I8" i="12"/>
  <c r="F8" i="12"/>
  <c r="C8" i="12"/>
  <c r="I6" i="12"/>
  <c r="F6" i="12"/>
  <c r="C6" i="12"/>
  <c r="I4" i="12"/>
  <c r="F4" i="12"/>
  <c r="C4" i="12"/>
  <c r="I2" i="12"/>
  <c r="F2" i="12"/>
  <c r="C2" i="12"/>
  <c r="AU1" i="12"/>
  <c r="AT1" i="12"/>
  <c r="AS1" i="12"/>
  <c r="I35" i="11"/>
  <c r="I36" i="11" s="1"/>
  <c r="I26" i="11"/>
  <c r="I25" i="11"/>
  <c r="I24" i="11"/>
  <c r="I17" i="10" s="1"/>
  <c r="I22" i="10" s="1"/>
  <c r="I23" i="11"/>
  <c r="I22" i="11"/>
  <c r="I15" i="10" s="1"/>
  <c r="I21" i="11"/>
  <c r="I14" i="10" s="1"/>
  <c r="I17" i="11"/>
  <c r="F16" i="10" s="1"/>
  <c r="I16" i="11"/>
  <c r="I15" i="11"/>
  <c r="F14" i="10" s="1"/>
  <c r="F22" i="10" s="1"/>
  <c r="I10" i="11"/>
  <c r="F10" i="11"/>
  <c r="C10" i="11"/>
  <c r="F8" i="11"/>
  <c r="C8" i="11"/>
  <c r="F6" i="11"/>
  <c r="C6" i="11"/>
  <c r="F4" i="11"/>
  <c r="C4" i="11"/>
  <c r="F2" i="11"/>
  <c r="C2" i="11"/>
  <c r="I23" i="10"/>
  <c r="I19" i="10"/>
  <c r="I18" i="10"/>
  <c r="I16" i="10"/>
  <c r="F15" i="10"/>
  <c r="I10" i="10"/>
  <c r="F10" i="10"/>
  <c r="C10" i="10"/>
  <c r="F8" i="10"/>
  <c r="C8" i="10"/>
  <c r="F6" i="10"/>
  <c r="C6" i="10"/>
  <c r="F4" i="10"/>
  <c r="C4" i="10"/>
  <c r="F2" i="10"/>
  <c r="C2" i="10"/>
  <c r="AP42" i="9"/>
  <c r="AO42" i="9"/>
  <c r="BH42" i="9" s="1"/>
  <c r="AF42" i="9" s="1"/>
  <c r="AK42" i="9"/>
  <c r="AJ42" i="9"/>
  <c r="AH42" i="9"/>
  <c r="AG42" i="9"/>
  <c r="AE42" i="9"/>
  <c r="AD42" i="9"/>
  <c r="AC42" i="9"/>
  <c r="AB42" i="9"/>
  <c r="Z42" i="9"/>
  <c r="K42" i="9"/>
  <c r="J42" i="9"/>
  <c r="I42" i="9"/>
  <c r="AL42" i="9" s="1"/>
  <c r="H42" i="9"/>
  <c r="BD42" i="9" s="1"/>
  <c r="G42" i="9"/>
  <c r="BI42" i="9" s="1"/>
  <c r="BJ40" i="9"/>
  <c r="BF40" i="9"/>
  <c r="BD40" i="9"/>
  <c r="AX40" i="9"/>
  <c r="AP40" i="9"/>
  <c r="AK40" i="9"/>
  <c r="AJ40" i="9"/>
  <c r="AH40" i="9"/>
  <c r="AG40" i="9"/>
  <c r="AF40" i="9"/>
  <c r="AE40" i="9"/>
  <c r="AD40" i="9"/>
  <c r="Z40" i="9"/>
  <c r="L40" i="9"/>
  <c r="K40" i="9"/>
  <c r="J40" i="9"/>
  <c r="I40" i="9"/>
  <c r="AL40" i="9" s="1"/>
  <c r="H40" i="9"/>
  <c r="AO40" i="9" s="1"/>
  <c r="G40" i="9"/>
  <c r="BD39" i="9"/>
  <c r="AK39" i="9"/>
  <c r="AJ39" i="9"/>
  <c r="AH39" i="9"/>
  <c r="AE39" i="9"/>
  <c r="AD39" i="9"/>
  <c r="AC39" i="9"/>
  <c r="AB39" i="9"/>
  <c r="Z39" i="9"/>
  <c r="K39" i="9"/>
  <c r="J39" i="9"/>
  <c r="L39" i="9" s="1"/>
  <c r="BF39" i="9" s="1"/>
  <c r="H39" i="9"/>
  <c r="G39" i="9"/>
  <c r="I39" i="9" s="1"/>
  <c r="AL39" i="9" s="1"/>
  <c r="BI38" i="9"/>
  <c r="AC38" i="9" s="1"/>
  <c r="BD38" i="9"/>
  <c r="AX38" i="9"/>
  <c r="AK38" i="9"/>
  <c r="AJ38" i="9"/>
  <c r="AH38" i="9"/>
  <c r="AG38" i="9"/>
  <c r="AF38" i="9"/>
  <c r="AE38" i="9"/>
  <c r="AD38" i="9"/>
  <c r="Z38" i="9"/>
  <c r="L38" i="9"/>
  <c r="BF38" i="9" s="1"/>
  <c r="K38" i="9"/>
  <c r="J38" i="9"/>
  <c r="H38" i="9"/>
  <c r="AP38" i="9" s="1"/>
  <c r="G38" i="9"/>
  <c r="AW37" i="9"/>
  <c r="AP37" i="9"/>
  <c r="AO37" i="9"/>
  <c r="BH37" i="9" s="1"/>
  <c r="AB37" i="9" s="1"/>
  <c r="AK37" i="9"/>
  <c r="AJ37" i="9"/>
  <c r="AH37" i="9"/>
  <c r="AG37" i="9"/>
  <c r="AF37" i="9"/>
  <c r="AE37" i="9"/>
  <c r="AD37" i="9"/>
  <c r="Z37" i="9"/>
  <c r="K37" i="9"/>
  <c r="J37" i="9"/>
  <c r="H37" i="9"/>
  <c r="BD37" i="9" s="1"/>
  <c r="G37" i="9"/>
  <c r="BJ36" i="9"/>
  <c r="BD36" i="9"/>
  <c r="AX36" i="9"/>
  <c r="AP36" i="9"/>
  <c r="AK36" i="9"/>
  <c r="AJ36" i="9"/>
  <c r="AH36" i="9"/>
  <c r="AG36" i="9"/>
  <c r="AF36" i="9"/>
  <c r="AE36" i="9"/>
  <c r="AD36" i="9"/>
  <c r="Z36" i="9"/>
  <c r="L36" i="9"/>
  <c r="BF36" i="9" s="1"/>
  <c r="K36" i="9"/>
  <c r="J36" i="9"/>
  <c r="I36" i="9"/>
  <c r="AL36" i="9" s="1"/>
  <c r="H36" i="9"/>
  <c r="AO36" i="9" s="1"/>
  <c r="G36" i="9"/>
  <c r="AO35" i="9"/>
  <c r="AW35" i="9" s="1"/>
  <c r="AK35" i="9"/>
  <c r="AJ35" i="9"/>
  <c r="AH35" i="9"/>
  <c r="AG35" i="9"/>
  <c r="AF35" i="9"/>
  <c r="AE35" i="9"/>
  <c r="AD35" i="9"/>
  <c r="Z35" i="9"/>
  <c r="K35" i="9"/>
  <c r="J35" i="9"/>
  <c r="L35" i="9" s="1"/>
  <c r="BF35" i="9" s="1"/>
  <c r="H35" i="9"/>
  <c r="G35" i="9"/>
  <c r="BD34" i="9"/>
  <c r="AK34" i="9"/>
  <c r="AJ34" i="9"/>
  <c r="AH34" i="9"/>
  <c r="AG34" i="9"/>
  <c r="AF34" i="9"/>
  <c r="AE34" i="9"/>
  <c r="AD34" i="9"/>
  <c r="Z34" i="9"/>
  <c r="K34" i="9"/>
  <c r="J34" i="9"/>
  <c r="H34" i="9"/>
  <c r="AP34" i="9" s="1"/>
  <c r="G34" i="9"/>
  <c r="BJ33" i="9"/>
  <c r="AK33" i="9"/>
  <c r="AJ33" i="9"/>
  <c r="AH33" i="9"/>
  <c r="AG33" i="9"/>
  <c r="AF33" i="9"/>
  <c r="AE33" i="9"/>
  <c r="AD33" i="9"/>
  <c r="Z33" i="9"/>
  <c r="K33" i="9"/>
  <c r="J33" i="9"/>
  <c r="I33" i="9"/>
  <c r="AL33" i="9" s="1"/>
  <c r="H33" i="9"/>
  <c r="G33" i="9"/>
  <c r="BJ32" i="9"/>
  <c r="BF32" i="9"/>
  <c r="BD32" i="9"/>
  <c r="AP32" i="9"/>
  <c r="AX32" i="9" s="1"/>
  <c r="AK32" i="9"/>
  <c r="AJ32" i="9"/>
  <c r="AH32" i="9"/>
  <c r="AG32" i="9"/>
  <c r="AF32" i="9"/>
  <c r="AE32" i="9"/>
  <c r="AD32" i="9"/>
  <c r="Z32" i="9"/>
  <c r="L32" i="9"/>
  <c r="K32" i="9"/>
  <c r="J32" i="9"/>
  <c r="I32" i="9"/>
  <c r="AL32" i="9" s="1"/>
  <c r="H32" i="9"/>
  <c r="AO32" i="9" s="1"/>
  <c r="G32" i="9"/>
  <c r="BH31" i="9"/>
  <c r="AB31" i="9" s="1"/>
  <c r="AO31" i="9"/>
  <c r="AW31" i="9" s="1"/>
  <c r="AK31" i="9"/>
  <c r="AJ31" i="9"/>
  <c r="AH31" i="9"/>
  <c r="AG31" i="9"/>
  <c r="AF31" i="9"/>
  <c r="AE31" i="9"/>
  <c r="AD31" i="9"/>
  <c r="Z31" i="9"/>
  <c r="K31" i="9"/>
  <c r="J31" i="9"/>
  <c r="L31" i="9" s="1"/>
  <c r="BF31" i="9" s="1"/>
  <c r="H31" i="9"/>
  <c r="G31" i="9"/>
  <c r="BD30" i="9"/>
  <c r="AK30" i="9"/>
  <c r="AJ30" i="9"/>
  <c r="AH30" i="9"/>
  <c r="AG30" i="9"/>
  <c r="AF30" i="9"/>
  <c r="AE30" i="9"/>
  <c r="AD30" i="9"/>
  <c r="Z30" i="9"/>
  <c r="K30" i="9"/>
  <c r="J30" i="9"/>
  <c r="L30" i="9" s="1"/>
  <c r="BF30" i="9" s="1"/>
  <c r="H30" i="9"/>
  <c r="AP30" i="9" s="1"/>
  <c r="BI30" i="9" s="1"/>
  <c r="AC30" i="9" s="1"/>
  <c r="G30" i="9"/>
  <c r="BJ29" i="9"/>
  <c r="BD29" i="9"/>
  <c r="AP29" i="9"/>
  <c r="AO29" i="9"/>
  <c r="BH29" i="9" s="1"/>
  <c r="AB29" i="9" s="1"/>
  <c r="AK29" i="9"/>
  <c r="AJ29" i="9"/>
  <c r="AH29" i="9"/>
  <c r="AG29" i="9"/>
  <c r="AF29" i="9"/>
  <c r="AE29" i="9"/>
  <c r="AD29" i="9"/>
  <c r="Z29" i="9"/>
  <c r="K29" i="9"/>
  <c r="J29" i="9"/>
  <c r="H29" i="9"/>
  <c r="G29" i="9"/>
  <c r="BJ28" i="9"/>
  <c r="BD28" i="9"/>
  <c r="AP28" i="9"/>
  <c r="AK28" i="9"/>
  <c r="AJ28" i="9"/>
  <c r="AH28" i="9"/>
  <c r="AG28" i="9"/>
  <c r="AF28" i="9"/>
  <c r="AE28" i="9"/>
  <c r="AD28" i="9"/>
  <c r="Z28" i="9"/>
  <c r="K28" i="9"/>
  <c r="J28" i="9"/>
  <c r="I28" i="9"/>
  <c r="AL28" i="9" s="1"/>
  <c r="H28" i="9"/>
  <c r="AO28" i="9" s="1"/>
  <c r="G28" i="9"/>
  <c r="BJ27" i="9"/>
  <c r="BD27" i="9"/>
  <c r="AO27" i="9"/>
  <c r="BH27" i="9" s="1"/>
  <c r="AB27" i="9" s="1"/>
  <c r="AK27" i="9"/>
  <c r="AJ27" i="9"/>
  <c r="AH27" i="9"/>
  <c r="AG27" i="9"/>
  <c r="AF27" i="9"/>
  <c r="AE27" i="9"/>
  <c r="AD27" i="9"/>
  <c r="Z27" i="9"/>
  <c r="C21" i="7" s="1"/>
  <c r="K27" i="9"/>
  <c r="J27" i="9"/>
  <c r="AP27" i="9"/>
  <c r="BI27" i="9" s="1"/>
  <c r="AC27" i="9" s="1"/>
  <c r="G27" i="9"/>
  <c r="BJ26" i="9"/>
  <c r="BD26" i="9"/>
  <c r="AK26" i="9"/>
  <c r="AJ26" i="9"/>
  <c r="AH26" i="9"/>
  <c r="AG26" i="9"/>
  <c r="AF26" i="9"/>
  <c r="AE26" i="9"/>
  <c r="AD26" i="9"/>
  <c r="Z26" i="9"/>
  <c r="K26" i="9"/>
  <c r="J26" i="9"/>
  <c r="H26" i="9"/>
  <c r="AP26" i="9" s="1"/>
  <c r="AX26" i="9" s="1"/>
  <c r="G26" i="9"/>
  <c r="AK25" i="9"/>
  <c r="AJ25" i="9"/>
  <c r="AH25" i="9"/>
  <c r="AG25" i="9"/>
  <c r="AF25" i="9"/>
  <c r="AE25" i="9"/>
  <c r="AD25" i="9"/>
  <c r="Z25" i="9"/>
  <c r="K25" i="9"/>
  <c r="J25" i="9"/>
  <c r="H25" i="9"/>
  <c r="G25" i="9"/>
  <c r="BD24" i="9"/>
  <c r="AX24" i="9"/>
  <c r="AW24" i="9"/>
  <c r="AV24" i="9" s="1"/>
  <c r="AP24" i="9"/>
  <c r="AK24" i="9"/>
  <c r="AJ24" i="9"/>
  <c r="AH24" i="9"/>
  <c r="AG24" i="9"/>
  <c r="AF24" i="9"/>
  <c r="AE24" i="9"/>
  <c r="AD24" i="9"/>
  <c r="Z24" i="9"/>
  <c r="K24" i="9"/>
  <c r="J24" i="9"/>
  <c r="L24" i="9" s="1"/>
  <c r="BF24" i="9" s="1"/>
  <c r="H24" i="9"/>
  <c r="AO24" i="9" s="1"/>
  <c r="G24" i="9"/>
  <c r="BJ23" i="9"/>
  <c r="AW23" i="9"/>
  <c r="AO23" i="9"/>
  <c r="AK23" i="9"/>
  <c r="AJ23" i="9"/>
  <c r="AH23" i="9"/>
  <c r="AG23" i="9"/>
  <c r="AF23" i="9"/>
  <c r="AE23" i="9"/>
  <c r="AD23" i="9"/>
  <c r="Z23" i="9"/>
  <c r="K23" i="9"/>
  <c r="J23" i="9"/>
  <c r="H23" i="9"/>
  <c r="BD23" i="9" s="1"/>
  <c r="G23" i="9"/>
  <c r="BD22" i="9"/>
  <c r="AK22" i="9"/>
  <c r="AJ22" i="9"/>
  <c r="AH22" i="9"/>
  <c r="AG22" i="9"/>
  <c r="AF22" i="9"/>
  <c r="AE22" i="9"/>
  <c r="AD22" i="9"/>
  <c r="Z22" i="9"/>
  <c r="K22" i="9"/>
  <c r="J22" i="9"/>
  <c r="H22" i="9"/>
  <c r="AP22" i="9" s="1"/>
  <c r="G22" i="9"/>
  <c r="BJ21" i="9"/>
  <c r="AK21" i="9"/>
  <c r="AJ21" i="9"/>
  <c r="AH21" i="9"/>
  <c r="AG21" i="9"/>
  <c r="AF21" i="9"/>
  <c r="AE21" i="9"/>
  <c r="AD21" i="9"/>
  <c r="Z21" i="9"/>
  <c r="K21" i="9"/>
  <c r="J21" i="9"/>
  <c r="H21" i="9"/>
  <c r="BD21" i="9" s="1"/>
  <c r="G21" i="9"/>
  <c r="BJ20" i="9"/>
  <c r="BD20" i="9"/>
  <c r="AX20" i="9"/>
  <c r="AW20" i="9"/>
  <c r="BC20" i="9" s="1"/>
  <c r="AP20" i="9"/>
  <c r="AK20" i="9"/>
  <c r="AJ20" i="9"/>
  <c r="AH20" i="9"/>
  <c r="AG20" i="9"/>
  <c r="AF20" i="9"/>
  <c r="AE20" i="9"/>
  <c r="AD20" i="9"/>
  <c r="Z20" i="9"/>
  <c r="K20" i="9"/>
  <c r="J20" i="9"/>
  <c r="L20" i="9" s="1"/>
  <c r="BF20" i="9" s="1"/>
  <c r="I20" i="9"/>
  <c r="AL20" i="9" s="1"/>
  <c r="H20" i="9"/>
  <c r="AO20" i="9" s="1"/>
  <c r="G20" i="9"/>
  <c r="BI19" i="9"/>
  <c r="AC19" i="9" s="1"/>
  <c r="AP19" i="9"/>
  <c r="AO19" i="9"/>
  <c r="AW19" i="9" s="1"/>
  <c r="AK19" i="9"/>
  <c r="AJ19" i="9"/>
  <c r="AH19" i="9"/>
  <c r="AG19" i="9"/>
  <c r="AF19" i="9"/>
  <c r="AE19" i="9"/>
  <c r="AD19" i="9"/>
  <c r="Z19" i="9"/>
  <c r="K19" i="9"/>
  <c r="J19" i="9"/>
  <c r="I19" i="9"/>
  <c r="AL19" i="9" s="1"/>
  <c r="H19" i="9"/>
  <c r="BD19" i="9" s="1"/>
  <c r="G19" i="9"/>
  <c r="BJ18" i="9"/>
  <c r="BI18" i="9"/>
  <c r="AC18" i="9" s="1"/>
  <c r="BF18" i="9"/>
  <c r="BD18" i="9"/>
  <c r="AK18" i="9"/>
  <c r="AJ18" i="9"/>
  <c r="AH18" i="9"/>
  <c r="AG18" i="9"/>
  <c r="AF18" i="9"/>
  <c r="AE18" i="9"/>
  <c r="AD18" i="9"/>
  <c r="Z18" i="9"/>
  <c r="L18" i="9"/>
  <c r="K18" i="9"/>
  <c r="J18" i="9"/>
  <c r="H18" i="9"/>
  <c r="AP18" i="9" s="1"/>
  <c r="G18" i="9"/>
  <c r="BD17" i="9"/>
  <c r="AK17" i="9"/>
  <c r="AJ17" i="9"/>
  <c r="AH17" i="9"/>
  <c r="AG17" i="9"/>
  <c r="AF17" i="9"/>
  <c r="AE17" i="9"/>
  <c r="AD17" i="9"/>
  <c r="Z17" i="9"/>
  <c r="L17" i="9"/>
  <c r="BF17" i="9" s="1"/>
  <c r="K17" i="9"/>
  <c r="J17" i="9"/>
  <c r="H17" i="9"/>
  <c r="AP17" i="9" s="1"/>
  <c r="AX17" i="9" s="1"/>
  <c r="G17" i="9"/>
  <c r="AO16" i="9"/>
  <c r="AK16" i="9"/>
  <c r="AJ16" i="9"/>
  <c r="AH16" i="9"/>
  <c r="AG16" i="9"/>
  <c r="AF16" i="9"/>
  <c r="AE16" i="9"/>
  <c r="AD16" i="9"/>
  <c r="Z16" i="9"/>
  <c r="K16" i="9"/>
  <c r="J16" i="9"/>
  <c r="H16" i="9"/>
  <c r="G16" i="9"/>
  <c r="BJ15" i="9"/>
  <c r="BI15" i="9"/>
  <c r="AC15" i="9" s="1"/>
  <c r="BD15" i="9"/>
  <c r="AK15" i="9"/>
  <c r="AJ15" i="9"/>
  <c r="AH15" i="9"/>
  <c r="AG15" i="9"/>
  <c r="AF15" i="9"/>
  <c r="AE15" i="9"/>
  <c r="AD15" i="9"/>
  <c r="Z15" i="9"/>
  <c r="L15" i="9"/>
  <c r="BF15" i="9" s="1"/>
  <c r="K15" i="9"/>
  <c r="J15" i="9"/>
  <c r="H15" i="9"/>
  <c r="AP15" i="9" s="1"/>
  <c r="G15" i="9"/>
  <c r="AK14" i="9"/>
  <c r="AJ14" i="9"/>
  <c r="AH14" i="9"/>
  <c r="AG14" i="9"/>
  <c r="AF14" i="9"/>
  <c r="AE14" i="9"/>
  <c r="AD14" i="9"/>
  <c r="Z14" i="9"/>
  <c r="K14" i="9"/>
  <c r="J14" i="9"/>
  <c r="H14" i="9"/>
  <c r="AP14" i="9" s="1"/>
  <c r="G14" i="9"/>
  <c r="K8" i="9"/>
  <c r="H8" i="9"/>
  <c r="D8" i="9"/>
  <c r="K6" i="9"/>
  <c r="H6" i="9"/>
  <c r="D6" i="9"/>
  <c r="K4" i="9"/>
  <c r="H4" i="9"/>
  <c r="D4" i="9"/>
  <c r="K2" i="9"/>
  <c r="H2" i="9"/>
  <c r="D2" i="9"/>
  <c r="AU1" i="9"/>
  <c r="AT1" i="9"/>
  <c r="AS1" i="9"/>
  <c r="I36" i="8"/>
  <c r="I35" i="8"/>
  <c r="I26" i="8"/>
  <c r="I25" i="8"/>
  <c r="I24" i="8"/>
  <c r="I23" i="8"/>
  <c r="I22" i="8"/>
  <c r="I15" i="7" s="1"/>
  <c r="I21" i="8"/>
  <c r="I17" i="8"/>
  <c r="F16" i="7" s="1"/>
  <c r="I16" i="8"/>
  <c r="F15" i="7" s="1"/>
  <c r="I15" i="8"/>
  <c r="I10" i="8"/>
  <c r="F10" i="8"/>
  <c r="C10" i="8"/>
  <c r="F8" i="8"/>
  <c r="C8" i="8"/>
  <c r="F6" i="8"/>
  <c r="C6" i="8"/>
  <c r="F4" i="8"/>
  <c r="C4" i="8"/>
  <c r="F2" i="8"/>
  <c r="C2" i="8"/>
  <c r="I23" i="7"/>
  <c r="I19" i="7"/>
  <c r="I18" i="7"/>
  <c r="I17" i="7"/>
  <c r="I16" i="7"/>
  <c r="F14" i="7"/>
  <c r="I10" i="7"/>
  <c r="F10" i="7"/>
  <c r="C10" i="7"/>
  <c r="F8" i="7"/>
  <c r="C8" i="7"/>
  <c r="F6" i="7"/>
  <c r="C6" i="7"/>
  <c r="F4" i="7"/>
  <c r="C4" i="7"/>
  <c r="F2" i="7"/>
  <c r="C2" i="7"/>
  <c r="AK156" i="6"/>
  <c r="AJ156" i="6"/>
  <c r="AH156" i="6"/>
  <c r="AE156" i="6"/>
  <c r="AD156" i="6"/>
  <c r="AC156" i="6"/>
  <c r="AB156" i="6"/>
  <c r="Z156" i="6"/>
  <c r="K156" i="6"/>
  <c r="J156" i="6"/>
  <c r="H156" i="6"/>
  <c r="AP156" i="6" s="1"/>
  <c r="G156" i="6"/>
  <c r="AO155" i="6"/>
  <c r="AK155" i="6"/>
  <c r="AJ155" i="6"/>
  <c r="AH155" i="6"/>
  <c r="AE155" i="6"/>
  <c r="AD155" i="6"/>
  <c r="AC155" i="6"/>
  <c r="AB155" i="6"/>
  <c r="Z155" i="6"/>
  <c r="K155" i="6"/>
  <c r="J155" i="6"/>
  <c r="I155" i="6"/>
  <c r="AL155" i="6" s="1"/>
  <c r="H155" i="6"/>
  <c r="BD155" i="6" s="1"/>
  <c r="G155" i="6"/>
  <c r="AK154" i="6"/>
  <c r="AJ154" i="6"/>
  <c r="AH154" i="6"/>
  <c r="AE154" i="6"/>
  <c r="AD154" i="6"/>
  <c r="AC154" i="6"/>
  <c r="AB154" i="6"/>
  <c r="Z154" i="6"/>
  <c r="K154" i="6"/>
  <c r="J154" i="6"/>
  <c r="H154" i="6"/>
  <c r="AO154" i="6" s="1"/>
  <c r="BH154" i="6" s="1"/>
  <c r="AF154" i="6" s="1"/>
  <c r="G154" i="6"/>
  <c r="BD152" i="6"/>
  <c r="AL152" i="6"/>
  <c r="AK152" i="6"/>
  <c r="AJ152" i="6"/>
  <c r="AH152" i="6"/>
  <c r="AG152" i="6"/>
  <c r="AF152" i="6"/>
  <c r="AE152" i="6"/>
  <c r="AD152" i="6"/>
  <c r="Z152" i="6"/>
  <c r="L152" i="6"/>
  <c r="BF152" i="6" s="1"/>
  <c r="K152" i="6"/>
  <c r="J152" i="6"/>
  <c r="H152" i="6"/>
  <c r="AP152" i="6" s="1"/>
  <c r="AX152" i="6" s="1"/>
  <c r="G152" i="6"/>
  <c r="I152" i="6" s="1"/>
  <c r="BD150" i="6"/>
  <c r="AK150" i="6"/>
  <c r="AJ150" i="6"/>
  <c r="AH150" i="6"/>
  <c r="AG150" i="6"/>
  <c r="AF150" i="6"/>
  <c r="AE150" i="6"/>
  <c r="AD150" i="6"/>
  <c r="Z150" i="6"/>
  <c r="K150" i="6"/>
  <c r="J150" i="6"/>
  <c r="H150" i="6"/>
  <c r="AP150" i="6" s="1"/>
  <c r="G150" i="6"/>
  <c r="AK149" i="6"/>
  <c r="AJ149" i="6"/>
  <c r="AH149" i="6"/>
  <c r="AG149" i="6"/>
  <c r="AF149" i="6"/>
  <c r="AE149" i="6"/>
  <c r="AD149" i="6"/>
  <c r="Z149" i="6"/>
  <c r="L149" i="6"/>
  <c r="BF149" i="6" s="1"/>
  <c r="K149" i="6"/>
  <c r="J149" i="6"/>
  <c r="H149" i="6"/>
  <c r="BD149" i="6" s="1"/>
  <c r="G149" i="6"/>
  <c r="BJ148" i="6"/>
  <c r="BH148" i="6"/>
  <c r="AO148" i="6"/>
  <c r="AK148" i="6"/>
  <c r="AJ148" i="6"/>
  <c r="AH148" i="6"/>
  <c r="AF148" i="6"/>
  <c r="AE148" i="6"/>
  <c r="AD148" i="6"/>
  <c r="AC148" i="6"/>
  <c r="AB148" i="6"/>
  <c r="Z148" i="6"/>
  <c r="K148" i="6"/>
  <c r="J148" i="6"/>
  <c r="H148" i="6"/>
  <c r="G148" i="6"/>
  <c r="BD146" i="6"/>
  <c r="AK146" i="6"/>
  <c r="AJ146" i="6"/>
  <c r="AH146" i="6"/>
  <c r="AG146" i="6"/>
  <c r="AF146" i="6"/>
  <c r="AE146" i="6"/>
  <c r="AD146" i="6"/>
  <c r="Z146" i="6"/>
  <c r="K146" i="6"/>
  <c r="J146" i="6"/>
  <c r="H146" i="6"/>
  <c r="AP146" i="6" s="1"/>
  <c r="AX146" i="6" s="1"/>
  <c r="G146" i="6"/>
  <c r="I146" i="6" s="1"/>
  <c r="AL146" i="6" s="1"/>
  <c r="BH145" i="6"/>
  <c r="AF145" i="6" s="1"/>
  <c r="BD145" i="6"/>
  <c r="AW145" i="6"/>
  <c r="AV145" i="6" s="1"/>
  <c r="AO145" i="6"/>
  <c r="AK145" i="6"/>
  <c r="AJ145" i="6"/>
  <c r="AH145" i="6"/>
  <c r="AE145" i="6"/>
  <c r="AD145" i="6"/>
  <c r="AC145" i="6"/>
  <c r="AB145" i="6"/>
  <c r="Z145" i="6"/>
  <c r="L145" i="6"/>
  <c r="BF145" i="6" s="1"/>
  <c r="K145" i="6"/>
  <c r="J145" i="6"/>
  <c r="H145" i="6"/>
  <c r="AP145" i="6" s="1"/>
  <c r="AX145" i="6" s="1"/>
  <c r="BC145" i="6" s="1"/>
  <c r="G145" i="6"/>
  <c r="BD140" i="6"/>
  <c r="AO140" i="6"/>
  <c r="BH140" i="6" s="1"/>
  <c r="AB140" i="6" s="1"/>
  <c r="AK140" i="6"/>
  <c r="AJ140" i="6"/>
  <c r="AH140" i="6"/>
  <c r="AG140" i="6"/>
  <c r="AF140" i="6"/>
  <c r="AE140" i="6"/>
  <c r="AD140" i="6"/>
  <c r="Z140" i="6"/>
  <c r="L140" i="6"/>
  <c r="BF140" i="6" s="1"/>
  <c r="K140" i="6"/>
  <c r="J140" i="6"/>
  <c r="I140" i="6"/>
  <c r="AL140" i="6" s="1"/>
  <c r="H140" i="6"/>
  <c r="BJ140" i="6" s="1"/>
  <c r="G140" i="6"/>
  <c r="AP136" i="6"/>
  <c r="AK136" i="6"/>
  <c r="AJ136" i="6"/>
  <c r="AH136" i="6"/>
  <c r="AE136" i="6"/>
  <c r="AD136" i="6"/>
  <c r="AC136" i="6"/>
  <c r="AB136" i="6"/>
  <c r="Z136" i="6"/>
  <c r="K136" i="6"/>
  <c r="J136" i="6"/>
  <c r="H136" i="6"/>
  <c r="BD136" i="6" s="1"/>
  <c r="G136" i="6"/>
  <c r="AK132" i="6"/>
  <c r="AJ132" i="6"/>
  <c r="AH132" i="6"/>
  <c r="AG132" i="6"/>
  <c r="AF132" i="6"/>
  <c r="AE132" i="6"/>
  <c r="AD132" i="6"/>
  <c r="Z132" i="6"/>
  <c r="K132" i="6"/>
  <c r="J132" i="6"/>
  <c r="I132" i="6"/>
  <c r="AL132" i="6" s="1"/>
  <c r="H132" i="6"/>
  <c r="G132" i="6"/>
  <c r="BF131" i="6"/>
  <c r="AK131" i="6"/>
  <c r="AJ131" i="6"/>
  <c r="AH131" i="6"/>
  <c r="AG131" i="6"/>
  <c r="AF131" i="6"/>
  <c r="AE131" i="6"/>
  <c r="AD131" i="6"/>
  <c r="Z131" i="6"/>
  <c r="L131" i="6"/>
  <c r="K131" i="6"/>
  <c r="J131" i="6"/>
  <c r="H131" i="6"/>
  <c r="AP131" i="6" s="1"/>
  <c r="AX131" i="6" s="1"/>
  <c r="G131" i="6"/>
  <c r="BH130" i="6"/>
  <c r="AB130" i="6" s="1"/>
  <c r="AW130" i="6"/>
  <c r="AO130" i="6"/>
  <c r="AK130" i="6"/>
  <c r="AJ130" i="6"/>
  <c r="AH130" i="6"/>
  <c r="AG130" i="6"/>
  <c r="AF130" i="6"/>
  <c r="AE130" i="6"/>
  <c r="AD130" i="6"/>
  <c r="Z130" i="6"/>
  <c r="K130" i="6"/>
  <c r="J130" i="6"/>
  <c r="L130" i="6" s="1"/>
  <c r="BF130" i="6" s="1"/>
  <c r="I130" i="6"/>
  <c r="AL130" i="6" s="1"/>
  <c r="H130" i="6"/>
  <c r="BJ130" i="6" s="1"/>
  <c r="G130" i="6"/>
  <c r="BD128" i="6"/>
  <c r="AO128" i="6"/>
  <c r="AK128" i="6"/>
  <c r="AJ128" i="6"/>
  <c r="AH128" i="6"/>
  <c r="AG128" i="6"/>
  <c r="AF128" i="6"/>
  <c r="AE128" i="6"/>
  <c r="AD128" i="6"/>
  <c r="Z128" i="6"/>
  <c r="K128" i="6"/>
  <c r="J128" i="6"/>
  <c r="H128" i="6"/>
  <c r="AP128" i="6" s="1"/>
  <c r="G128" i="6"/>
  <c r="BH128" i="6" s="1"/>
  <c r="AB128" i="6" s="1"/>
  <c r="AX127" i="6"/>
  <c r="AP127" i="6"/>
  <c r="AK127" i="6"/>
  <c r="AJ127" i="6"/>
  <c r="AH127" i="6"/>
  <c r="AE127" i="6"/>
  <c r="AD127" i="6"/>
  <c r="AC127" i="6"/>
  <c r="AB127" i="6"/>
  <c r="Z127" i="6"/>
  <c r="K127" i="6"/>
  <c r="J127" i="6"/>
  <c r="I127" i="6"/>
  <c r="AL127" i="6" s="1"/>
  <c r="H127" i="6"/>
  <c r="BD127" i="6" s="1"/>
  <c r="G127" i="6"/>
  <c r="BJ125" i="6"/>
  <c r="BI125" i="6"/>
  <c r="AC125" i="6" s="1"/>
  <c r="BF125" i="6"/>
  <c r="BD125" i="6"/>
  <c r="AX125" i="6"/>
  <c r="AO125" i="6"/>
  <c r="BH125" i="6" s="1"/>
  <c r="AB125" i="6" s="1"/>
  <c r="AK125" i="6"/>
  <c r="AJ125" i="6"/>
  <c r="AH125" i="6"/>
  <c r="AG125" i="6"/>
  <c r="AF125" i="6"/>
  <c r="AE125" i="6"/>
  <c r="AD125" i="6"/>
  <c r="Z125" i="6"/>
  <c r="L125" i="6"/>
  <c r="K125" i="6"/>
  <c r="J125" i="6"/>
  <c r="H125" i="6"/>
  <c r="AP125" i="6" s="1"/>
  <c r="G125" i="6"/>
  <c r="BJ123" i="6"/>
  <c r="BD123" i="6"/>
  <c r="AO123" i="6"/>
  <c r="BH123" i="6" s="1"/>
  <c r="AB123" i="6" s="1"/>
  <c r="AK123" i="6"/>
  <c r="AJ123" i="6"/>
  <c r="AH123" i="6"/>
  <c r="AG123" i="6"/>
  <c r="AF123" i="6"/>
  <c r="AE123" i="6"/>
  <c r="AD123" i="6"/>
  <c r="Z123" i="6"/>
  <c r="L123" i="6"/>
  <c r="BF123" i="6" s="1"/>
  <c r="K123" i="6"/>
  <c r="J123" i="6"/>
  <c r="I123" i="6"/>
  <c r="AL123" i="6" s="1"/>
  <c r="H123" i="6"/>
  <c r="AP123" i="6" s="1"/>
  <c r="G123" i="6"/>
  <c r="BD121" i="6"/>
  <c r="AO121" i="6"/>
  <c r="AK121" i="6"/>
  <c r="AJ121" i="6"/>
  <c r="AH121" i="6"/>
  <c r="AG121" i="6"/>
  <c r="AF121" i="6"/>
  <c r="AE121" i="6"/>
  <c r="AD121" i="6"/>
  <c r="Z121" i="6"/>
  <c r="K121" i="6"/>
  <c r="J121" i="6"/>
  <c r="I121" i="6"/>
  <c r="AL121" i="6" s="1"/>
  <c r="H121" i="6"/>
  <c r="AP121" i="6" s="1"/>
  <c r="G121" i="6"/>
  <c r="BH121" i="6" s="1"/>
  <c r="AB121" i="6" s="1"/>
  <c r="BI119" i="6"/>
  <c r="AC119" i="6" s="1"/>
  <c r="BH119" i="6"/>
  <c r="AB119" i="6" s="1"/>
  <c r="AX119" i="6"/>
  <c r="AP119" i="6"/>
  <c r="AO119" i="6"/>
  <c r="AK119" i="6"/>
  <c r="AJ119" i="6"/>
  <c r="AH119" i="6"/>
  <c r="AG119" i="6"/>
  <c r="AF119" i="6"/>
  <c r="AE119" i="6"/>
  <c r="AD119" i="6"/>
  <c r="Z119" i="6"/>
  <c r="K119" i="6"/>
  <c r="J119" i="6"/>
  <c r="I119" i="6"/>
  <c r="AL119" i="6" s="1"/>
  <c r="H119" i="6"/>
  <c r="BD119" i="6" s="1"/>
  <c r="G119" i="6"/>
  <c r="AW119" i="6" s="1"/>
  <c r="BJ117" i="6"/>
  <c r="BI117" i="6"/>
  <c r="AC117" i="6" s="1"/>
  <c r="BF117" i="6"/>
  <c r="BD117" i="6"/>
  <c r="AX117" i="6"/>
  <c r="AO117" i="6"/>
  <c r="BH117" i="6" s="1"/>
  <c r="AB117" i="6" s="1"/>
  <c r="AK117" i="6"/>
  <c r="AJ117" i="6"/>
  <c r="AH117" i="6"/>
  <c r="AG117" i="6"/>
  <c r="AF117" i="6"/>
  <c r="AE117" i="6"/>
  <c r="AD117" i="6"/>
  <c r="Z117" i="6"/>
  <c r="L117" i="6"/>
  <c r="K117" i="6"/>
  <c r="J117" i="6"/>
  <c r="H117" i="6"/>
  <c r="AP117" i="6" s="1"/>
  <c r="G117" i="6"/>
  <c r="BJ116" i="6"/>
  <c r="BD116" i="6"/>
  <c r="AO116" i="6"/>
  <c r="BH116" i="6" s="1"/>
  <c r="AF116" i="6" s="1"/>
  <c r="AK116" i="6"/>
  <c r="AJ116" i="6"/>
  <c r="AH116" i="6"/>
  <c r="AE116" i="6"/>
  <c r="AD116" i="6"/>
  <c r="AC116" i="6"/>
  <c r="AB116" i="6"/>
  <c r="Z116" i="6"/>
  <c r="L116" i="6"/>
  <c r="BF116" i="6" s="1"/>
  <c r="K116" i="6"/>
  <c r="J116" i="6"/>
  <c r="H116" i="6"/>
  <c r="I116" i="6" s="1"/>
  <c r="AL116" i="6" s="1"/>
  <c r="G116" i="6"/>
  <c r="BD115" i="6"/>
  <c r="AP115" i="6"/>
  <c r="AK115" i="6"/>
  <c r="AJ115" i="6"/>
  <c r="AH115" i="6"/>
  <c r="AE115" i="6"/>
  <c r="AD115" i="6"/>
  <c r="AC115" i="6"/>
  <c r="AB115" i="6"/>
  <c r="Z115" i="6"/>
  <c r="K115" i="6"/>
  <c r="J115" i="6"/>
  <c r="H115" i="6"/>
  <c r="AO115" i="6" s="1"/>
  <c r="G115" i="6"/>
  <c r="AX114" i="6"/>
  <c r="AP114" i="6"/>
  <c r="BI114" i="6" s="1"/>
  <c r="AG114" i="6" s="1"/>
  <c r="AK114" i="6"/>
  <c r="AJ114" i="6"/>
  <c r="AH114" i="6"/>
  <c r="AE114" i="6"/>
  <c r="AD114" i="6"/>
  <c r="AC114" i="6"/>
  <c r="AB114" i="6"/>
  <c r="Z114" i="6"/>
  <c r="K114" i="6"/>
  <c r="J114" i="6"/>
  <c r="I114" i="6"/>
  <c r="AL114" i="6" s="1"/>
  <c r="H114" i="6"/>
  <c r="BD114" i="6" s="1"/>
  <c r="G114" i="6"/>
  <c r="BJ113" i="6"/>
  <c r="BI113" i="6"/>
  <c r="BF113" i="6"/>
  <c r="BD113" i="6"/>
  <c r="AX113" i="6"/>
  <c r="AO113" i="6"/>
  <c r="BH113" i="6" s="1"/>
  <c r="AK113" i="6"/>
  <c r="AJ113" i="6"/>
  <c r="AH113" i="6"/>
  <c r="AG113" i="6"/>
  <c r="AF113" i="6"/>
  <c r="AE113" i="6"/>
  <c r="AD113" i="6"/>
  <c r="AC113" i="6"/>
  <c r="AB113" i="6"/>
  <c r="Z113" i="6"/>
  <c r="L113" i="6"/>
  <c r="K113" i="6"/>
  <c r="J113" i="6"/>
  <c r="H113" i="6"/>
  <c r="AP113" i="6" s="1"/>
  <c r="G113" i="6"/>
  <c r="BJ112" i="6"/>
  <c r="BD112" i="6"/>
  <c r="AO112" i="6"/>
  <c r="BH112" i="6" s="1"/>
  <c r="AF112" i="6" s="1"/>
  <c r="AK112" i="6"/>
  <c r="AJ112" i="6"/>
  <c r="AH112" i="6"/>
  <c r="AE112" i="6"/>
  <c r="AD112" i="6"/>
  <c r="AC112" i="6"/>
  <c r="AB112" i="6"/>
  <c r="Z112" i="6"/>
  <c r="L112" i="6"/>
  <c r="BF112" i="6" s="1"/>
  <c r="K112" i="6"/>
  <c r="J112" i="6"/>
  <c r="I112" i="6"/>
  <c r="AL112" i="6" s="1"/>
  <c r="H112" i="6"/>
  <c r="AP112" i="6" s="1"/>
  <c r="BI112" i="6" s="1"/>
  <c r="AG112" i="6" s="1"/>
  <c r="G112" i="6"/>
  <c r="AP109" i="6"/>
  <c r="AK109" i="6"/>
  <c r="AJ109" i="6"/>
  <c r="AH109" i="6"/>
  <c r="AG109" i="6"/>
  <c r="AF109" i="6"/>
  <c r="AE109" i="6"/>
  <c r="AD109" i="6"/>
  <c r="Z109" i="6"/>
  <c r="K109" i="6"/>
  <c r="J109" i="6"/>
  <c r="H109" i="6"/>
  <c r="BD109" i="6" s="1"/>
  <c r="G109" i="6"/>
  <c r="BJ108" i="6"/>
  <c r="BI108" i="6"/>
  <c r="AG108" i="6" s="1"/>
  <c r="BD108" i="6"/>
  <c r="AP108" i="6"/>
  <c r="AX108" i="6" s="1"/>
  <c r="AK108" i="6"/>
  <c r="AJ108" i="6"/>
  <c r="AH108" i="6"/>
  <c r="AE108" i="6"/>
  <c r="AD108" i="6"/>
  <c r="AC108" i="6"/>
  <c r="AB108" i="6"/>
  <c r="Z108" i="6"/>
  <c r="K108" i="6"/>
  <c r="J108" i="6"/>
  <c r="L108" i="6" s="1"/>
  <c r="BF108" i="6" s="1"/>
  <c r="I108" i="6"/>
  <c r="AL108" i="6" s="1"/>
  <c r="H108" i="6"/>
  <c r="AO108" i="6" s="1"/>
  <c r="G108" i="6"/>
  <c r="AK105" i="6"/>
  <c r="AJ105" i="6"/>
  <c r="AH105" i="6"/>
  <c r="AG105" i="6"/>
  <c r="AF105" i="6"/>
  <c r="AE105" i="6"/>
  <c r="AD105" i="6"/>
  <c r="Z105" i="6"/>
  <c r="K105" i="6"/>
  <c r="J105" i="6"/>
  <c r="H105" i="6"/>
  <c r="G105" i="6"/>
  <c r="BJ99" i="6"/>
  <c r="BH99" i="6"/>
  <c r="AF99" i="6" s="1"/>
  <c r="BD99" i="6"/>
  <c r="AO99" i="6"/>
  <c r="AW99" i="6" s="1"/>
  <c r="AK99" i="6"/>
  <c r="AJ99" i="6"/>
  <c r="AH99" i="6"/>
  <c r="AE99" i="6"/>
  <c r="AD99" i="6"/>
  <c r="AC99" i="6"/>
  <c r="AB99" i="6"/>
  <c r="Z99" i="6"/>
  <c r="K99" i="6"/>
  <c r="J99" i="6"/>
  <c r="L99" i="6" s="1"/>
  <c r="BF99" i="6" s="1"/>
  <c r="I99" i="6"/>
  <c r="AL99" i="6" s="1"/>
  <c r="H99" i="6"/>
  <c r="AP99" i="6" s="1"/>
  <c r="G99" i="6"/>
  <c r="BF96" i="6"/>
  <c r="BD96" i="6"/>
  <c r="AK96" i="6"/>
  <c r="AJ96" i="6"/>
  <c r="AH96" i="6"/>
  <c r="AG96" i="6"/>
  <c r="AF96" i="6"/>
  <c r="AE96" i="6"/>
  <c r="AD96" i="6"/>
  <c r="Z96" i="6"/>
  <c r="K96" i="6"/>
  <c r="J96" i="6"/>
  <c r="L96" i="6" s="1"/>
  <c r="H96" i="6"/>
  <c r="BJ96" i="6" s="1"/>
  <c r="G96" i="6"/>
  <c r="BH94" i="6"/>
  <c r="AF94" i="6" s="1"/>
  <c r="AO94" i="6"/>
  <c r="AK94" i="6"/>
  <c r="AJ94" i="6"/>
  <c r="AH94" i="6"/>
  <c r="AE94" i="6"/>
  <c r="AD94" i="6"/>
  <c r="AC94" i="6"/>
  <c r="AB94" i="6"/>
  <c r="Z94" i="6"/>
  <c r="K94" i="6"/>
  <c r="J94" i="6"/>
  <c r="L94" i="6" s="1"/>
  <c r="BF94" i="6" s="1"/>
  <c r="H94" i="6"/>
  <c r="BD94" i="6" s="1"/>
  <c r="G94" i="6"/>
  <c r="BJ94" i="6" s="1"/>
  <c r="BD91" i="6"/>
  <c r="AO91" i="6"/>
  <c r="AK91" i="6"/>
  <c r="AJ91" i="6"/>
  <c r="AH91" i="6"/>
  <c r="AG91" i="6"/>
  <c r="AF91" i="6"/>
  <c r="AE91" i="6"/>
  <c r="AD91" i="6"/>
  <c r="Z91" i="6"/>
  <c r="K91" i="6"/>
  <c r="J91" i="6"/>
  <c r="H91" i="6"/>
  <c r="AP91" i="6" s="1"/>
  <c r="G91" i="6"/>
  <c r="BF90" i="6"/>
  <c r="BD90" i="6"/>
  <c r="AK90" i="6"/>
  <c r="AJ90" i="6"/>
  <c r="AH90" i="6"/>
  <c r="AE90" i="6"/>
  <c r="AD90" i="6"/>
  <c r="AC90" i="6"/>
  <c r="AB90" i="6"/>
  <c r="Z90" i="6"/>
  <c r="L90" i="6"/>
  <c r="K90" i="6"/>
  <c r="J90" i="6"/>
  <c r="H90" i="6"/>
  <c r="BJ90" i="6" s="1"/>
  <c r="G90" i="6"/>
  <c r="AK89" i="6"/>
  <c r="AJ89" i="6"/>
  <c r="AH89" i="6"/>
  <c r="AG89" i="6"/>
  <c r="AF89" i="6"/>
  <c r="AE89" i="6"/>
  <c r="AD89" i="6"/>
  <c r="Z89" i="6"/>
  <c r="K89" i="6"/>
  <c r="J89" i="6"/>
  <c r="H89" i="6"/>
  <c r="BD89" i="6" s="1"/>
  <c r="G89" i="6"/>
  <c r="BD88" i="6"/>
  <c r="AK88" i="6"/>
  <c r="AJ88" i="6"/>
  <c r="AH88" i="6"/>
  <c r="AE88" i="6"/>
  <c r="AD88" i="6"/>
  <c r="AC88" i="6"/>
  <c r="AB88" i="6"/>
  <c r="Z88" i="6"/>
  <c r="K88" i="6"/>
  <c r="J88" i="6"/>
  <c r="H88" i="6"/>
  <c r="AP88" i="6" s="1"/>
  <c r="G88" i="6"/>
  <c r="BI86" i="6"/>
  <c r="BD86" i="6"/>
  <c r="AK86" i="6"/>
  <c r="AJ86" i="6"/>
  <c r="AH86" i="6"/>
  <c r="AG86" i="6"/>
  <c r="AF86" i="6"/>
  <c r="AE86" i="6"/>
  <c r="AD86" i="6"/>
  <c r="AC86" i="6"/>
  <c r="Z86" i="6"/>
  <c r="L86" i="6"/>
  <c r="BF86" i="6" s="1"/>
  <c r="K86" i="6"/>
  <c r="J86" i="6"/>
  <c r="H86" i="6"/>
  <c r="AP86" i="6" s="1"/>
  <c r="AX86" i="6" s="1"/>
  <c r="G86" i="6"/>
  <c r="BJ85" i="6"/>
  <c r="AO85" i="6"/>
  <c r="AK85" i="6"/>
  <c r="AJ85" i="6"/>
  <c r="AH85" i="6"/>
  <c r="AE85" i="6"/>
  <c r="AD85" i="6"/>
  <c r="AC85" i="6"/>
  <c r="AB85" i="6"/>
  <c r="Z85" i="6"/>
  <c r="L85" i="6"/>
  <c r="BF85" i="6" s="1"/>
  <c r="K85" i="6"/>
  <c r="J85" i="6"/>
  <c r="I85" i="6"/>
  <c r="AL85" i="6" s="1"/>
  <c r="H85" i="6"/>
  <c r="BD85" i="6" s="1"/>
  <c r="G85" i="6"/>
  <c r="BJ83" i="6"/>
  <c r="BD83" i="6"/>
  <c r="AK83" i="6"/>
  <c r="AJ83" i="6"/>
  <c r="AH83" i="6"/>
  <c r="AG83" i="6"/>
  <c r="AF83" i="6"/>
  <c r="AE83" i="6"/>
  <c r="AD83" i="6"/>
  <c r="Z83" i="6"/>
  <c r="L83" i="6"/>
  <c r="BF83" i="6" s="1"/>
  <c r="K83" i="6"/>
  <c r="J83" i="6"/>
  <c r="H83" i="6"/>
  <c r="AP83" i="6" s="1"/>
  <c r="AX83" i="6" s="1"/>
  <c r="G83" i="6"/>
  <c r="BJ81" i="6"/>
  <c r="AK81" i="6"/>
  <c r="AJ81" i="6"/>
  <c r="AH81" i="6"/>
  <c r="AG81" i="6"/>
  <c r="AF81" i="6"/>
  <c r="AE81" i="6"/>
  <c r="AD81" i="6"/>
  <c r="Z81" i="6"/>
  <c r="K81" i="6"/>
  <c r="J81" i="6"/>
  <c r="I81" i="6"/>
  <c r="AL81" i="6" s="1"/>
  <c r="H81" i="6"/>
  <c r="BD81" i="6" s="1"/>
  <c r="G81" i="6"/>
  <c r="AK80" i="6"/>
  <c r="AJ80" i="6"/>
  <c r="AH80" i="6"/>
  <c r="AE80" i="6"/>
  <c r="AD80" i="6"/>
  <c r="AC80" i="6"/>
  <c r="AB80" i="6"/>
  <c r="Z80" i="6"/>
  <c r="K80" i="6"/>
  <c r="J80" i="6"/>
  <c r="L80" i="6" s="1"/>
  <c r="BF80" i="6" s="1"/>
  <c r="H80" i="6"/>
  <c r="G80" i="6"/>
  <c r="BJ78" i="6"/>
  <c r="BH78" i="6"/>
  <c r="BD78" i="6"/>
  <c r="AO78" i="6"/>
  <c r="AW78" i="6" s="1"/>
  <c r="AK78" i="6"/>
  <c r="AJ78" i="6"/>
  <c r="AH78" i="6"/>
  <c r="AG78" i="6"/>
  <c r="AF78" i="6"/>
  <c r="AE78" i="6"/>
  <c r="AD78" i="6"/>
  <c r="AB78" i="6"/>
  <c r="Z78" i="6"/>
  <c r="K78" i="6"/>
  <c r="J78" i="6"/>
  <c r="L78" i="6" s="1"/>
  <c r="BF78" i="6" s="1"/>
  <c r="I78" i="6"/>
  <c r="AL78" i="6" s="1"/>
  <c r="H78" i="6"/>
  <c r="AP78" i="6" s="1"/>
  <c r="G78" i="6"/>
  <c r="AP77" i="6"/>
  <c r="AK77" i="6"/>
  <c r="AJ77" i="6"/>
  <c r="AH77" i="6"/>
  <c r="AE77" i="6"/>
  <c r="AD77" i="6"/>
  <c r="AC77" i="6"/>
  <c r="AB77" i="6"/>
  <c r="Z77" i="6"/>
  <c r="K77" i="6"/>
  <c r="J77" i="6"/>
  <c r="L77" i="6" s="1"/>
  <c r="BF77" i="6" s="1"/>
  <c r="H77" i="6"/>
  <c r="G77" i="6"/>
  <c r="AK75" i="6"/>
  <c r="AJ75" i="6"/>
  <c r="AH75" i="6"/>
  <c r="AG75" i="6"/>
  <c r="AF75" i="6"/>
  <c r="AE75" i="6"/>
  <c r="AD75" i="6"/>
  <c r="Z75" i="6"/>
  <c r="L75" i="6"/>
  <c r="BF75" i="6" s="1"/>
  <c r="K75" i="6"/>
  <c r="J75" i="6"/>
  <c r="H75" i="6"/>
  <c r="AP75" i="6" s="1"/>
  <c r="G75" i="6"/>
  <c r="BJ74" i="6"/>
  <c r="BD74" i="6"/>
  <c r="AP74" i="6"/>
  <c r="AK74" i="6"/>
  <c r="AJ74" i="6"/>
  <c r="AH74" i="6"/>
  <c r="AE74" i="6"/>
  <c r="AD74" i="6"/>
  <c r="AC74" i="6"/>
  <c r="AB74" i="6"/>
  <c r="Z74" i="6"/>
  <c r="K74" i="6"/>
  <c r="J74" i="6"/>
  <c r="I74" i="6"/>
  <c r="AL74" i="6" s="1"/>
  <c r="H74" i="6"/>
  <c r="AO74" i="6" s="1"/>
  <c r="BH74" i="6" s="1"/>
  <c r="AF74" i="6" s="1"/>
  <c r="G74" i="6"/>
  <c r="BF72" i="6"/>
  <c r="AK72" i="6"/>
  <c r="AJ72" i="6"/>
  <c r="AH72" i="6"/>
  <c r="AG72" i="6"/>
  <c r="AF72" i="6"/>
  <c r="AE72" i="6"/>
  <c r="AD72" i="6"/>
  <c r="Z72" i="6"/>
  <c r="K72" i="6"/>
  <c r="J72" i="6"/>
  <c r="L72" i="6" s="1"/>
  <c r="H72" i="6"/>
  <c r="AP72" i="6" s="1"/>
  <c r="G72" i="6"/>
  <c r="BH71" i="6"/>
  <c r="AF71" i="6" s="1"/>
  <c r="BD71" i="6"/>
  <c r="AO71" i="6"/>
  <c r="AK71" i="6"/>
  <c r="AJ71" i="6"/>
  <c r="AH71" i="6"/>
  <c r="AE71" i="6"/>
  <c r="AD71" i="6"/>
  <c r="AC71" i="6"/>
  <c r="AB71" i="6"/>
  <c r="Z71" i="6"/>
  <c r="K71" i="6"/>
  <c r="J71" i="6"/>
  <c r="I71" i="6"/>
  <c r="AL71" i="6" s="1"/>
  <c r="H71" i="6"/>
  <c r="AP71" i="6" s="1"/>
  <c r="G71" i="6"/>
  <c r="L71" i="6" s="1"/>
  <c r="BF71" i="6" s="1"/>
  <c r="BD70" i="6"/>
  <c r="AK70" i="6"/>
  <c r="AJ70" i="6"/>
  <c r="AH70" i="6"/>
  <c r="AE70" i="6"/>
  <c r="AD70" i="6"/>
  <c r="AC70" i="6"/>
  <c r="AB70" i="6"/>
  <c r="Z70" i="6"/>
  <c r="K70" i="6"/>
  <c r="J70" i="6"/>
  <c r="L70" i="6" s="1"/>
  <c r="BF70" i="6" s="1"/>
  <c r="H70" i="6"/>
  <c r="BJ70" i="6" s="1"/>
  <c r="G70" i="6"/>
  <c r="BD69" i="6"/>
  <c r="AP69" i="6"/>
  <c r="AX69" i="6" s="1"/>
  <c r="AK69" i="6"/>
  <c r="AJ69" i="6"/>
  <c r="AH69" i="6"/>
  <c r="AE69" i="6"/>
  <c r="AD69" i="6"/>
  <c r="AC69" i="6"/>
  <c r="AB69" i="6"/>
  <c r="Z69" i="6"/>
  <c r="K69" i="6"/>
  <c r="J69" i="6"/>
  <c r="I69" i="6"/>
  <c r="AL69" i="6" s="1"/>
  <c r="H69" i="6"/>
  <c r="AO69" i="6" s="1"/>
  <c r="BH69" i="6" s="1"/>
  <c r="AF69" i="6" s="1"/>
  <c r="G69" i="6"/>
  <c r="AK67" i="6"/>
  <c r="AJ67" i="6"/>
  <c r="AH67" i="6"/>
  <c r="AG67" i="6"/>
  <c r="AF67" i="6"/>
  <c r="AE67" i="6"/>
  <c r="AD67" i="6"/>
  <c r="Z67" i="6"/>
  <c r="K67" i="6"/>
  <c r="J67" i="6"/>
  <c r="L67" i="6" s="1"/>
  <c r="BF67" i="6" s="1"/>
  <c r="H67" i="6"/>
  <c r="BD67" i="6" s="1"/>
  <c r="G67" i="6"/>
  <c r="BJ66" i="6"/>
  <c r="BH66" i="6"/>
  <c r="AF66" i="6" s="1"/>
  <c r="BD66" i="6"/>
  <c r="AW66" i="6"/>
  <c r="AO66" i="6"/>
  <c r="AK66" i="6"/>
  <c r="AJ66" i="6"/>
  <c r="AH66" i="6"/>
  <c r="AE66" i="6"/>
  <c r="AD66" i="6"/>
  <c r="AC66" i="6"/>
  <c r="AB66" i="6"/>
  <c r="Z66" i="6"/>
  <c r="L66" i="6"/>
  <c r="BF66" i="6" s="1"/>
  <c r="K66" i="6"/>
  <c r="J66" i="6"/>
  <c r="I66" i="6"/>
  <c r="AL66" i="6" s="1"/>
  <c r="H66" i="6"/>
  <c r="AP66" i="6" s="1"/>
  <c r="AX66" i="6" s="1"/>
  <c r="G66" i="6"/>
  <c r="BD64" i="6"/>
  <c r="AX64" i="6"/>
  <c r="AV64" i="6" s="1"/>
  <c r="AW64" i="6"/>
  <c r="AO64" i="6"/>
  <c r="AK64" i="6"/>
  <c r="AJ64" i="6"/>
  <c r="AH64" i="6"/>
  <c r="AG64" i="6"/>
  <c r="AF64" i="6"/>
  <c r="AE64" i="6"/>
  <c r="AD64" i="6"/>
  <c r="Z64" i="6"/>
  <c r="K64" i="6"/>
  <c r="J64" i="6"/>
  <c r="I64" i="6"/>
  <c r="AL64" i="6" s="1"/>
  <c r="H64" i="6"/>
  <c r="AP64" i="6" s="1"/>
  <c r="BI64" i="6" s="1"/>
  <c r="AC64" i="6" s="1"/>
  <c r="G64" i="6"/>
  <c r="BJ64" i="6" s="1"/>
  <c r="AK62" i="6"/>
  <c r="AJ62" i="6"/>
  <c r="AH62" i="6"/>
  <c r="AE62" i="6"/>
  <c r="AD62" i="6"/>
  <c r="AC62" i="6"/>
  <c r="AB62" i="6"/>
  <c r="Z62" i="6"/>
  <c r="K62" i="6"/>
  <c r="J62" i="6"/>
  <c r="H62" i="6"/>
  <c r="BD62" i="6" s="1"/>
  <c r="G62" i="6"/>
  <c r="BJ62" i="6" s="1"/>
  <c r="BJ60" i="6"/>
  <c r="BI60" i="6"/>
  <c r="AC60" i="6" s="1"/>
  <c r="BD60" i="6"/>
  <c r="AX60" i="6"/>
  <c r="AK60" i="6"/>
  <c r="AJ60" i="6"/>
  <c r="AH60" i="6"/>
  <c r="AG60" i="6"/>
  <c r="AF60" i="6"/>
  <c r="AE60" i="6"/>
  <c r="AD60" i="6"/>
  <c r="Z60" i="6"/>
  <c r="L60" i="6"/>
  <c r="BF60" i="6" s="1"/>
  <c r="K60" i="6"/>
  <c r="J60" i="6"/>
  <c r="H60" i="6"/>
  <c r="AP60" i="6" s="1"/>
  <c r="G60" i="6"/>
  <c r="I60" i="6" s="1"/>
  <c r="AL60" i="6" s="1"/>
  <c r="AK58" i="6"/>
  <c r="AJ58" i="6"/>
  <c r="AH58" i="6"/>
  <c r="AG58" i="6"/>
  <c r="AF58" i="6"/>
  <c r="AE58" i="6"/>
  <c r="AD58" i="6"/>
  <c r="Z58" i="6"/>
  <c r="L58" i="6"/>
  <c r="BF58" i="6" s="1"/>
  <c r="K58" i="6"/>
  <c r="J58" i="6"/>
  <c r="H58" i="6"/>
  <c r="AO58" i="6" s="1"/>
  <c r="G58" i="6"/>
  <c r="AK55" i="6"/>
  <c r="AJ55" i="6"/>
  <c r="AH55" i="6"/>
  <c r="AE55" i="6"/>
  <c r="AD55" i="6"/>
  <c r="AC55" i="6"/>
  <c r="AB55" i="6"/>
  <c r="Z55" i="6"/>
  <c r="K55" i="6"/>
  <c r="J55" i="6"/>
  <c r="L55" i="6" s="1"/>
  <c r="BF55" i="6" s="1"/>
  <c r="H55" i="6"/>
  <c r="G55" i="6"/>
  <c r="AK53" i="6"/>
  <c r="AJ53" i="6"/>
  <c r="AH53" i="6"/>
  <c r="AG53" i="6"/>
  <c r="AF53" i="6"/>
  <c r="AE53" i="6"/>
  <c r="AD53" i="6"/>
  <c r="Z53" i="6"/>
  <c r="K53" i="6"/>
  <c r="J53" i="6"/>
  <c r="H53" i="6"/>
  <c r="AP53" i="6" s="1"/>
  <c r="G53" i="6"/>
  <c r="AX53" i="6" s="1"/>
  <c r="BJ51" i="6"/>
  <c r="BD51" i="6"/>
  <c r="AK51" i="6"/>
  <c r="AJ51" i="6"/>
  <c r="AH51" i="6"/>
  <c r="AE51" i="6"/>
  <c r="AD51" i="6"/>
  <c r="AC51" i="6"/>
  <c r="AB51" i="6"/>
  <c r="Z51" i="6"/>
  <c r="L51" i="6"/>
  <c r="BF51" i="6" s="1"/>
  <c r="K51" i="6"/>
  <c r="J51" i="6"/>
  <c r="H51" i="6"/>
  <c r="AP51" i="6" s="1"/>
  <c r="BI51" i="6" s="1"/>
  <c r="AG51" i="6" s="1"/>
  <c r="G51" i="6"/>
  <c r="I51" i="6" s="1"/>
  <c r="AL51" i="6" s="1"/>
  <c r="BJ50" i="6"/>
  <c r="AO50" i="6"/>
  <c r="AK50" i="6"/>
  <c r="AJ50" i="6"/>
  <c r="AH50" i="6"/>
  <c r="AG50" i="6"/>
  <c r="AF50" i="6"/>
  <c r="AE50" i="6"/>
  <c r="AD50" i="6"/>
  <c r="Z50" i="6"/>
  <c r="L50" i="6"/>
  <c r="BF50" i="6" s="1"/>
  <c r="K50" i="6"/>
  <c r="J50" i="6"/>
  <c r="H50" i="6"/>
  <c r="G50" i="6"/>
  <c r="AK49" i="6"/>
  <c r="AJ49" i="6"/>
  <c r="AH49" i="6"/>
  <c r="AG49" i="6"/>
  <c r="AF49" i="6"/>
  <c r="AE49" i="6"/>
  <c r="AD49" i="6"/>
  <c r="Z49" i="6"/>
  <c r="K49" i="6"/>
  <c r="J49" i="6"/>
  <c r="L49" i="6" s="1"/>
  <c r="BF49" i="6" s="1"/>
  <c r="H49" i="6"/>
  <c r="G49" i="6"/>
  <c r="BJ47" i="6"/>
  <c r="AK47" i="6"/>
  <c r="AJ47" i="6"/>
  <c r="AH47" i="6"/>
  <c r="AE47" i="6"/>
  <c r="AD47" i="6"/>
  <c r="AC47" i="6"/>
  <c r="AB47" i="6"/>
  <c r="Z47" i="6"/>
  <c r="K47" i="6"/>
  <c r="J47" i="6"/>
  <c r="H47" i="6"/>
  <c r="AP47" i="6" s="1"/>
  <c r="G47" i="6"/>
  <c r="AX47" i="6" s="1"/>
  <c r="BJ44" i="6"/>
  <c r="BD44" i="6"/>
  <c r="AX44" i="6"/>
  <c r="AK44" i="6"/>
  <c r="AJ44" i="6"/>
  <c r="AH44" i="6"/>
  <c r="AE44" i="6"/>
  <c r="AD44" i="6"/>
  <c r="AC44" i="6"/>
  <c r="AB44" i="6"/>
  <c r="Z44" i="6"/>
  <c r="L44" i="6"/>
  <c r="BF44" i="6" s="1"/>
  <c r="K44" i="6"/>
  <c r="J44" i="6"/>
  <c r="H44" i="6"/>
  <c r="AP44" i="6" s="1"/>
  <c r="BI44" i="6" s="1"/>
  <c r="AG44" i="6" s="1"/>
  <c r="G44" i="6"/>
  <c r="I44" i="6" s="1"/>
  <c r="AL44" i="6" s="1"/>
  <c r="AK42" i="6"/>
  <c r="AJ42" i="6"/>
  <c r="AH42" i="6"/>
  <c r="AG42" i="6"/>
  <c r="AF42" i="6"/>
  <c r="AE42" i="6"/>
  <c r="AD42" i="6"/>
  <c r="Z42" i="6"/>
  <c r="L42" i="6"/>
  <c r="BF42" i="6" s="1"/>
  <c r="K42" i="6"/>
  <c r="J42" i="6"/>
  <c r="H42" i="6"/>
  <c r="G42" i="6"/>
  <c r="BD41" i="6"/>
  <c r="AO41" i="6"/>
  <c r="AW41" i="6" s="1"/>
  <c r="AK41" i="6"/>
  <c r="AJ41" i="6"/>
  <c r="AH41" i="6"/>
  <c r="AE41" i="6"/>
  <c r="AD41" i="6"/>
  <c r="AC41" i="6"/>
  <c r="AB41" i="6"/>
  <c r="Z41" i="6"/>
  <c r="K41" i="6"/>
  <c r="J41" i="6"/>
  <c r="L41" i="6" s="1"/>
  <c r="BF41" i="6" s="1"/>
  <c r="H41" i="6"/>
  <c r="AP41" i="6" s="1"/>
  <c r="AX41" i="6" s="1"/>
  <c r="G41" i="6"/>
  <c r="BI41" i="6" s="1"/>
  <c r="AG41" i="6" s="1"/>
  <c r="BJ37" i="6"/>
  <c r="AK37" i="6"/>
  <c r="AJ37" i="6"/>
  <c r="AH37" i="6"/>
  <c r="AG37" i="6"/>
  <c r="AF37" i="6"/>
  <c r="AE37" i="6"/>
  <c r="AD37" i="6"/>
  <c r="Z37" i="6"/>
  <c r="K37" i="6"/>
  <c r="J37" i="6"/>
  <c r="H37" i="6"/>
  <c r="AP37" i="6" s="1"/>
  <c r="G37" i="6"/>
  <c r="AX37" i="6" s="1"/>
  <c r="BJ33" i="6"/>
  <c r="BD33" i="6"/>
  <c r="AX33" i="6"/>
  <c r="AK33" i="6"/>
  <c r="AJ33" i="6"/>
  <c r="AH33" i="6"/>
  <c r="AE33" i="6"/>
  <c r="AD33" i="6"/>
  <c r="AC33" i="6"/>
  <c r="AB33" i="6"/>
  <c r="Z33" i="6"/>
  <c r="L33" i="6"/>
  <c r="K33" i="6"/>
  <c r="J33" i="6"/>
  <c r="H33" i="6"/>
  <c r="AP33" i="6" s="1"/>
  <c r="BI33" i="6" s="1"/>
  <c r="AG33" i="6" s="1"/>
  <c r="G33" i="6"/>
  <c r="I33" i="6" s="1"/>
  <c r="AL33" i="6" s="1"/>
  <c r="BD31" i="6"/>
  <c r="AK31" i="6"/>
  <c r="AJ31" i="6"/>
  <c r="AH31" i="6"/>
  <c r="AG31" i="6"/>
  <c r="AF31" i="6"/>
  <c r="AE31" i="6"/>
  <c r="AD31" i="6"/>
  <c r="Z31" i="6"/>
  <c r="K31" i="6"/>
  <c r="J31" i="6"/>
  <c r="H31" i="6"/>
  <c r="AP31" i="6" s="1"/>
  <c r="BI31" i="6" s="1"/>
  <c r="AC31" i="6" s="1"/>
  <c r="G31" i="6"/>
  <c r="BF30" i="6"/>
  <c r="BD30" i="6"/>
  <c r="AP30" i="6"/>
  <c r="AK30" i="6"/>
  <c r="AJ30" i="6"/>
  <c r="AH30" i="6"/>
  <c r="AG30" i="6"/>
  <c r="AF30" i="6"/>
  <c r="AE30" i="6"/>
  <c r="AD30" i="6"/>
  <c r="Z30" i="6"/>
  <c r="L30" i="6"/>
  <c r="K30" i="6"/>
  <c r="J30" i="6"/>
  <c r="I30" i="6"/>
  <c r="AL30" i="6" s="1"/>
  <c r="H30" i="6"/>
  <c r="AO30" i="6" s="1"/>
  <c r="BH30" i="6" s="1"/>
  <c r="AB30" i="6" s="1"/>
  <c r="G30" i="6"/>
  <c r="BJ30" i="6" s="1"/>
  <c r="AP29" i="6"/>
  <c r="AK29" i="6"/>
  <c r="AJ29" i="6"/>
  <c r="AH29" i="6"/>
  <c r="AG29" i="6"/>
  <c r="AF29" i="6"/>
  <c r="AE29" i="6"/>
  <c r="AD29" i="6"/>
  <c r="Z29" i="6"/>
  <c r="K29" i="6"/>
  <c r="J29" i="6"/>
  <c r="H29" i="6"/>
  <c r="BD29" i="6" s="1"/>
  <c r="G29" i="6"/>
  <c r="BI25" i="6"/>
  <c r="AC25" i="6" s="1"/>
  <c r="AP25" i="6"/>
  <c r="AK25" i="6"/>
  <c r="AJ25" i="6"/>
  <c r="AH25" i="6"/>
  <c r="AG25" i="6"/>
  <c r="AF25" i="6"/>
  <c r="AE25" i="6"/>
  <c r="AD25" i="6"/>
  <c r="Z25" i="6"/>
  <c r="K25" i="6"/>
  <c r="J25" i="6"/>
  <c r="H25" i="6"/>
  <c r="BD25" i="6" s="1"/>
  <c r="G25" i="6"/>
  <c r="BJ24" i="6"/>
  <c r="BD24" i="6"/>
  <c r="AK24" i="6"/>
  <c r="AJ24" i="6"/>
  <c r="AH24" i="6"/>
  <c r="AG24" i="6"/>
  <c r="AF24" i="6"/>
  <c r="AE24" i="6"/>
  <c r="AD24" i="6"/>
  <c r="Z24" i="6"/>
  <c r="K24" i="6"/>
  <c r="J24" i="6"/>
  <c r="H24" i="6"/>
  <c r="AP24" i="6" s="1"/>
  <c r="G24" i="6"/>
  <c r="BF23" i="6"/>
  <c r="BD23" i="6"/>
  <c r="AP23" i="6"/>
  <c r="AK23" i="6"/>
  <c r="AJ23" i="6"/>
  <c r="AH23" i="6"/>
  <c r="AG23" i="6"/>
  <c r="AF23" i="6"/>
  <c r="AE23" i="6"/>
  <c r="AD23" i="6"/>
  <c r="AB23" i="6"/>
  <c r="Z23" i="6"/>
  <c r="L23" i="6"/>
  <c r="K23" i="6"/>
  <c r="J23" i="6"/>
  <c r="I23" i="6"/>
  <c r="AL23" i="6" s="1"/>
  <c r="H23" i="6"/>
  <c r="AO23" i="6" s="1"/>
  <c r="BH23" i="6" s="1"/>
  <c r="G23" i="6"/>
  <c r="BJ23" i="6" s="1"/>
  <c r="AP22" i="6"/>
  <c r="AK22" i="6"/>
  <c r="AJ22" i="6"/>
  <c r="AH22" i="6"/>
  <c r="AG22" i="6"/>
  <c r="AF22" i="6"/>
  <c r="AE22" i="6"/>
  <c r="AD22" i="6"/>
  <c r="Z22" i="6"/>
  <c r="K22" i="6"/>
  <c r="J22" i="6"/>
  <c r="I22" i="6"/>
  <c r="AL22" i="6" s="1"/>
  <c r="H22" i="6"/>
  <c r="BD22" i="6" s="1"/>
  <c r="G22" i="6"/>
  <c r="AP21" i="6"/>
  <c r="AK21" i="6"/>
  <c r="AT17" i="6" s="1"/>
  <c r="AJ21" i="6"/>
  <c r="AH21" i="6"/>
  <c r="AG21" i="6"/>
  <c r="AF21" i="6"/>
  <c r="AE21" i="6"/>
  <c r="AD21" i="6"/>
  <c r="Z21" i="6"/>
  <c r="K21" i="6"/>
  <c r="J21" i="6"/>
  <c r="H21" i="6"/>
  <c r="BD21" i="6" s="1"/>
  <c r="G21" i="6"/>
  <c r="BD20" i="6"/>
  <c r="AK20" i="6"/>
  <c r="AJ20" i="6"/>
  <c r="AH20" i="6"/>
  <c r="AG20" i="6"/>
  <c r="AF20" i="6"/>
  <c r="AE20" i="6"/>
  <c r="AD20" i="6"/>
  <c r="Z20" i="6"/>
  <c r="K20" i="6"/>
  <c r="J20" i="6"/>
  <c r="H20" i="6"/>
  <c r="AP20" i="6" s="1"/>
  <c r="BI20" i="6" s="1"/>
  <c r="AC20" i="6" s="1"/>
  <c r="G20" i="6"/>
  <c r="BI19" i="6"/>
  <c r="AG19" i="6" s="1"/>
  <c r="BF19" i="6"/>
  <c r="BD19" i="6"/>
  <c r="AP19" i="6"/>
  <c r="AX19" i="6" s="1"/>
  <c r="AK19" i="6"/>
  <c r="AJ19" i="6"/>
  <c r="AH19" i="6"/>
  <c r="AE19" i="6"/>
  <c r="AD19" i="6"/>
  <c r="AC19" i="6"/>
  <c r="AB19" i="6"/>
  <c r="Z19" i="6"/>
  <c r="L19" i="6"/>
  <c r="K19" i="6"/>
  <c r="J19" i="6"/>
  <c r="I19" i="6"/>
  <c r="AL19" i="6" s="1"/>
  <c r="H19" i="6"/>
  <c r="AO19" i="6" s="1"/>
  <c r="G19" i="6"/>
  <c r="BJ19" i="6" s="1"/>
  <c r="AP18" i="6"/>
  <c r="AO18" i="6"/>
  <c r="AK18" i="6"/>
  <c r="AJ18" i="6"/>
  <c r="AH18" i="6"/>
  <c r="AG18" i="6"/>
  <c r="AF18" i="6"/>
  <c r="AE18" i="6"/>
  <c r="AD18" i="6"/>
  <c r="Z18" i="6"/>
  <c r="K18" i="6"/>
  <c r="J18" i="6"/>
  <c r="H18" i="6"/>
  <c r="BD18" i="6" s="1"/>
  <c r="G18" i="6"/>
  <c r="AP14" i="6"/>
  <c r="AX14" i="6" s="1"/>
  <c r="AK14" i="6"/>
  <c r="AJ14" i="6"/>
  <c r="AH14" i="6"/>
  <c r="AG14" i="6"/>
  <c r="AF14" i="6"/>
  <c r="AC14" i="6"/>
  <c r="AB14" i="6"/>
  <c r="Z14" i="6"/>
  <c r="K14" i="6"/>
  <c r="J14" i="6"/>
  <c r="L14" i="6" s="1"/>
  <c r="I14" i="6"/>
  <c r="H14" i="6"/>
  <c r="AO14" i="6" s="1"/>
  <c r="G14" i="6"/>
  <c r="BJ14" i="6" s="1"/>
  <c r="AS13" i="6"/>
  <c r="K8" i="6"/>
  <c r="H8" i="6"/>
  <c r="D8" i="6"/>
  <c r="K6" i="6"/>
  <c r="H6" i="6"/>
  <c r="D6" i="6"/>
  <c r="K4" i="6"/>
  <c r="H4" i="6"/>
  <c r="D4" i="6"/>
  <c r="K2" i="6"/>
  <c r="H2" i="6"/>
  <c r="D2" i="6"/>
  <c r="AU1" i="6"/>
  <c r="AT1" i="6"/>
  <c r="AS1" i="6"/>
  <c r="I36" i="5"/>
  <c r="I23" i="4" s="1"/>
  <c r="I35" i="5"/>
  <c r="I26" i="5"/>
  <c r="I25" i="5"/>
  <c r="I24" i="5"/>
  <c r="I17" i="4" s="1"/>
  <c r="I23" i="5"/>
  <c r="I16" i="4" s="1"/>
  <c r="I22" i="5"/>
  <c r="I15" i="4" s="1"/>
  <c r="I21" i="5"/>
  <c r="I18" i="5"/>
  <c r="I17" i="5"/>
  <c r="F16" i="4" s="1"/>
  <c r="I16" i="5"/>
  <c r="I15" i="5"/>
  <c r="I10" i="5"/>
  <c r="F10" i="5"/>
  <c r="C10" i="5"/>
  <c r="F8" i="5"/>
  <c r="C8" i="5"/>
  <c r="F6" i="5"/>
  <c r="C6" i="5"/>
  <c r="F4" i="5"/>
  <c r="C4" i="5"/>
  <c r="F2" i="5"/>
  <c r="C2" i="5"/>
  <c r="F22" i="4"/>
  <c r="C21" i="4"/>
  <c r="I19" i="4"/>
  <c r="I18" i="4"/>
  <c r="F15" i="4"/>
  <c r="I14" i="4"/>
  <c r="F14" i="4"/>
  <c r="I10" i="4"/>
  <c r="F10" i="4"/>
  <c r="C10" i="4"/>
  <c r="F8" i="4"/>
  <c r="C8" i="4"/>
  <c r="F6" i="4"/>
  <c r="C6" i="4"/>
  <c r="F4" i="4"/>
  <c r="C4" i="4"/>
  <c r="F2" i="4"/>
  <c r="C2" i="4"/>
  <c r="BD884" i="3"/>
  <c r="AP884" i="3"/>
  <c r="BI884" i="3" s="1"/>
  <c r="AC884" i="3" s="1"/>
  <c r="AK884" i="3"/>
  <c r="AJ884" i="3"/>
  <c r="AH884" i="3"/>
  <c r="AG884" i="3"/>
  <c r="AF884" i="3"/>
  <c r="AE884" i="3"/>
  <c r="AD884" i="3"/>
  <c r="Z884" i="3"/>
  <c r="L884" i="3"/>
  <c r="BF884" i="3" s="1"/>
  <c r="K884" i="3"/>
  <c r="J884" i="3"/>
  <c r="I884" i="3"/>
  <c r="AL884" i="3" s="1"/>
  <c r="H884" i="3"/>
  <c r="AO884" i="3" s="1"/>
  <c r="BH884" i="3" s="1"/>
  <c r="AB884" i="3" s="1"/>
  <c r="G884" i="3"/>
  <c r="BJ884" i="3" s="1"/>
  <c r="BF882" i="3"/>
  <c r="AK882" i="3"/>
  <c r="AJ882" i="3"/>
  <c r="AH882" i="3"/>
  <c r="AG882" i="3"/>
  <c r="AF882" i="3"/>
  <c r="AE882" i="3"/>
  <c r="AD882" i="3"/>
  <c r="Z882" i="3"/>
  <c r="L882" i="3"/>
  <c r="K882" i="3"/>
  <c r="J882" i="3"/>
  <c r="H882" i="3"/>
  <c r="AP882" i="3" s="1"/>
  <c r="AX882" i="3" s="1"/>
  <c r="G882" i="3"/>
  <c r="AO880" i="3"/>
  <c r="AL880" i="3"/>
  <c r="AK880" i="3"/>
  <c r="AT879" i="3" s="1"/>
  <c r="AJ880" i="3"/>
  <c r="AH880" i="3"/>
  <c r="AG880" i="3"/>
  <c r="AF880" i="3"/>
  <c r="AE880" i="3"/>
  <c r="AD880" i="3"/>
  <c r="Z880" i="3"/>
  <c r="K880" i="3"/>
  <c r="J880" i="3"/>
  <c r="I880" i="3"/>
  <c r="H880" i="3"/>
  <c r="BD880" i="3" s="1"/>
  <c r="G880" i="3"/>
  <c r="AS879" i="3"/>
  <c r="AK877" i="3"/>
  <c r="AJ877" i="3"/>
  <c r="AH877" i="3"/>
  <c r="AG877" i="3"/>
  <c r="AF877" i="3"/>
  <c r="AE877" i="3"/>
  <c r="AD877" i="3"/>
  <c r="AC877" i="3"/>
  <c r="AB877" i="3"/>
  <c r="K877" i="3"/>
  <c r="J877" i="3"/>
  <c r="H877" i="3"/>
  <c r="BD877" i="3" s="1"/>
  <c r="G877" i="3"/>
  <c r="BJ875" i="3"/>
  <c r="Z875" i="3" s="1"/>
  <c r="BF875" i="3"/>
  <c r="AK875" i="3"/>
  <c r="AJ875" i="3"/>
  <c r="AH875" i="3"/>
  <c r="AG875" i="3"/>
  <c r="AF875" i="3"/>
  <c r="AE875" i="3"/>
  <c r="AD875" i="3"/>
  <c r="AC875" i="3"/>
  <c r="AB875" i="3"/>
  <c r="L875" i="3"/>
  <c r="K875" i="3"/>
  <c r="J875" i="3"/>
  <c r="H875" i="3"/>
  <c r="G875" i="3"/>
  <c r="BJ873" i="3"/>
  <c r="Z873" i="3" s="1"/>
  <c r="BD873" i="3"/>
  <c r="AK873" i="3"/>
  <c r="AJ873" i="3"/>
  <c r="AH873" i="3"/>
  <c r="AG873" i="3"/>
  <c r="AF873" i="3"/>
  <c r="AE873" i="3"/>
  <c r="AD873" i="3"/>
  <c r="AC873" i="3"/>
  <c r="AB873" i="3"/>
  <c r="K873" i="3"/>
  <c r="J873" i="3"/>
  <c r="L873" i="3" s="1"/>
  <c r="BF873" i="3" s="1"/>
  <c r="AP873" i="3"/>
  <c r="BI873" i="3" s="1"/>
  <c r="G873" i="3"/>
  <c r="AK870" i="3"/>
  <c r="AJ870" i="3"/>
  <c r="AH870" i="3"/>
  <c r="AG870" i="3"/>
  <c r="AF870" i="3"/>
  <c r="AE870" i="3"/>
  <c r="AD870" i="3"/>
  <c r="AC870" i="3"/>
  <c r="AB870" i="3"/>
  <c r="L870" i="3"/>
  <c r="BF870" i="3" s="1"/>
  <c r="K870" i="3"/>
  <c r="J870" i="3"/>
  <c r="I870" i="3"/>
  <c r="AL870" i="3" s="1"/>
  <c r="H870" i="3"/>
  <c r="BD870" i="3" s="1"/>
  <c r="G870" i="3"/>
  <c r="AK868" i="3"/>
  <c r="AJ868" i="3"/>
  <c r="AH868" i="3"/>
  <c r="AG868" i="3"/>
  <c r="AF868" i="3"/>
  <c r="AE868" i="3"/>
  <c r="AD868" i="3"/>
  <c r="AC868" i="3"/>
  <c r="AB868" i="3"/>
  <c r="K868" i="3"/>
  <c r="J868" i="3"/>
  <c r="H868" i="3"/>
  <c r="AP868" i="3" s="1"/>
  <c r="G868" i="3"/>
  <c r="AT867" i="3"/>
  <c r="AK866" i="3"/>
  <c r="AJ866" i="3"/>
  <c r="AH866" i="3"/>
  <c r="AG866" i="3"/>
  <c r="AF866" i="3"/>
  <c r="AE866" i="3"/>
  <c r="AD866" i="3"/>
  <c r="AC866" i="3"/>
  <c r="AB866" i="3"/>
  <c r="K866" i="3"/>
  <c r="J866" i="3"/>
  <c r="I866" i="3"/>
  <c r="H866" i="3"/>
  <c r="BD866" i="3" s="1"/>
  <c r="G866" i="3"/>
  <c r="AT865" i="3"/>
  <c r="AS865" i="3"/>
  <c r="BD862" i="3"/>
  <c r="AO862" i="3"/>
  <c r="AK862" i="3"/>
  <c r="AJ862" i="3"/>
  <c r="AS842" i="3" s="1"/>
  <c r="AH862" i="3"/>
  <c r="AG862" i="3"/>
  <c r="AF862" i="3"/>
  <c r="AE862" i="3"/>
  <c r="AD862" i="3"/>
  <c r="AC862" i="3"/>
  <c r="AB862" i="3"/>
  <c r="K862" i="3"/>
  <c r="J862" i="3"/>
  <c r="H862" i="3"/>
  <c r="AP862" i="3" s="1"/>
  <c r="G862" i="3"/>
  <c r="BI860" i="3"/>
  <c r="AC860" i="3" s="1"/>
  <c r="AK860" i="3"/>
  <c r="AJ860" i="3"/>
  <c r="AH860" i="3"/>
  <c r="AG860" i="3"/>
  <c r="AF860" i="3"/>
  <c r="AE860" i="3"/>
  <c r="AD860" i="3"/>
  <c r="Z860" i="3"/>
  <c r="K860" i="3"/>
  <c r="J860" i="3"/>
  <c r="H860" i="3"/>
  <c r="AP860" i="3" s="1"/>
  <c r="G860" i="3"/>
  <c r="BH853" i="3"/>
  <c r="BD853" i="3"/>
  <c r="AX853" i="3"/>
  <c r="AP853" i="3"/>
  <c r="AK853" i="3"/>
  <c r="AJ853" i="3"/>
  <c r="AH853" i="3"/>
  <c r="AG853" i="3"/>
  <c r="AF853" i="3"/>
  <c r="AE853" i="3"/>
  <c r="AD853" i="3"/>
  <c r="AB853" i="3"/>
  <c r="Z853" i="3"/>
  <c r="K853" i="3"/>
  <c r="J853" i="3"/>
  <c r="L853" i="3" s="1"/>
  <c r="BF853" i="3" s="1"/>
  <c r="H853" i="3"/>
  <c r="AO853" i="3" s="1"/>
  <c r="AW853" i="3" s="1"/>
  <c r="G853" i="3"/>
  <c r="I853" i="3" s="1"/>
  <c r="AL853" i="3" s="1"/>
  <c r="AK851" i="3"/>
  <c r="AJ851" i="3"/>
  <c r="AH851" i="3"/>
  <c r="AG851" i="3"/>
  <c r="AF851" i="3"/>
  <c r="AE851" i="3"/>
  <c r="AD851" i="3"/>
  <c r="Z851" i="3"/>
  <c r="K851" i="3"/>
  <c r="J851" i="3"/>
  <c r="H851" i="3"/>
  <c r="AP851" i="3" s="1"/>
  <c r="G851" i="3"/>
  <c r="AK849" i="3"/>
  <c r="AJ849" i="3"/>
  <c r="AH849" i="3"/>
  <c r="AG849" i="3"/>
  <c r="AF849" i="3"/>
  <c r="AE849" i="3"/>
  <c r="AD849" i="3"/>
  <c r="Z849" i="3"/>
  <c r="K849" i="3"/>
  <c r="J849" i="3"/>
  <c r="H849" i="3"/>
  <c r="G849" i="3"/>
  <c r="AK843" i="3"/>
  <c r="AT842" i="3" s="1"/>
  <c r="AJ843" i="3"/>
  <c r="AH843" i="3"/>
  <c r="AG843" i="3"/>
  <c r="AF843" i="3"/>
  <c r="AE843" i="3"/>
  <c r="AD843" i="3"/>
  <c r="Z843" i="3"/>
  <c r="K843" i="3"/>
  <c r="J843" i="3"/>
  <c r="H843" i="3"/>
  <c r="G843" i="3"/>
  <c r="BJ840" i="3"/>
  <c r="Z840" i="3" s="1"/>
  <c r="BF840" i="3"/>
  <c r="AL840" i="3"/>
  <c r="AK840" i="3"/>
  <c r="AJ840" i="3"/>
  <c r="AH840" i="3"/>
  <c r="AG840" i="3"/>
  <c r="AF840" i="3"/>
  <c r="AE840" i="3"/>
  <c r="AD840" i="3"/>
  <c r="AC840" i="3"/>
  <c r="AB840" i="3"/>
  <c r="L840" i="3"/>
  <c r="K840" i="3"/>
  <c r="J840" i="3"/>
  <c r="I840" i="3"/>
  <c r="H840" i="3"/>
  <c r="BD840" i="3" s="1"/>
  <c r="G840" i="3"/>
  <c r="BD839" i="3"/>
  <c r="AO839" i="3"/>
  <c r="AK839" i="3"/>
  <c r="AJ839" i="3"/>
  <c r="AH839" i="3"/>
  <c r="AG839" i="3"/>
  <c r="AF839" i="3"/>
  <c r="AE839" i="3"/>
  <c r="AD839" i="3"/>
  <c r="AC839" i="3"/>
  <c r="AB839" i="3"/>
  <c r="K839" i="3"/>
  <c r="J839" i="3"/>
  <c r="H839" i="3"/>
  <c r="AP839" i="3" s="1"/>
  <c r="G839" i="3"/>
  <c r="BI839" i="3" s="1"/>
  <c r="AP827" i="3"/>
  <c r="AK827" i="3"/>
  <c r="AJ827" i="3"/>
  <c r="AH827" i="3"/>
  <c r="AG827" i="3"/>
  <c r="AF827" i="3"/>
  <c r="AE827" i="3"/>
  <c r="AD827" i="3"/>
  <c r="Z827" i="3"/>
  <c r="K827" i="3"/>
  <c r="J827" i="3"/>
  <c r="I827" i="3"/>
  <c r="AL827" i="3" s="1"/>
  <c r="H827" i="3"/>
  <c r="BD827" i="3" s="1"/>
  <c r="G827" i="3"/>
  <c r="BJ827" i="3" s="1"/>
  <c r="AK818" i="3"/>
  <c r="AJ818" i="3"/>
  <c r="AH818" i="3"/>
  <c r="AG818" i="3"/>
  <c r="AF818" i="3"/>
  <c r="AE818" i="3"/>
  <c r="AD818" i="3"/>
  <c r="Z818" i="3"/>
  <c r="K818" i="3"/>
  <c r="J818" i="3"/>
  <c r="H818" i="3"/>
  <c r="BD818" i="3" s="1"/>
  <c r="G818" i="3"/>
  <c r="AW811" i="3"/>
  <c r="AO811" i="3"/>
  <c r="AK811" i="3"/>
  <c r="AJ811" i="3"/>
  <c r="AH811" i="3"/>
  <c r="AG811" i="3"/>
  <c r="AF811" i="3"/>
  <c r="AE811" i="3"/>
  <c r="AD811" i="3"/>
  <c r="Z811" i="3"/>
  <c r="K811" i="3"/>
  <c r="J811" i="3"/>
  <c r="I811" i="3"/>
  <c r="AL811" i="3" s="1"/>
  <c r="H811" i="3"/>
  <c r="BD811" i="3" s="1"/>
  <c r="G811" i="3"/>
  <c r="BJ811" i="3" s="1"/>
  <c r="BD800" i="3"/>
  <c r="AK800" i="3"/>
  <c r="AJ800" i="3"/>
  <c r="AH800" i="3"/>
  <c r="AG800" i="3"/>
  <c r="AF800" i="3"/>
  <c r="AE800" i="3"/>
  <c r="AD800" i="3"/>
  <c r="Z800" i="3"/>
  <c r="L800" i="3"/>
  <c r="BF800" i="3" s="1"/>
  <c r="K800" i="3"/>
  <c r="J800" i="3"/>
  <c r="H800" i="3"/>
  <c r="G800" i="3"/>
  <c r="AP790" i="3"/>
  <c r="AK790" i="3"/>
  <c r="AJ790" i="3"/>
  <c r="AH790" i="3"/>
  <c r="AG790" i="3"/>
  <c r="AF790" i="3"/>
  <c r="AE790" i="3"/>
  <c r="AD790" i="3"/>
  <c r="Z790" i="3"/>
  <c r="K790" i="3"/>
  <c r="J790" i="3"/>
  <c r="I790" i="3"/>
  <c r="AL790" i="3" s="1"/>
  <c r="H790" i="3"/>
  <c r="BD790" i="3" s="1"/>
  <c r="G790" i="3"/>
  <c r="AL787" i="3"/>
  <c r="AK787" i="3"/>
  <c r="AJ787" i="3"/>
  <c r="AH787" i="3"/>
  <c r="AG787" i="3"/>
  <c r="AF787" i="3"/>
  <c r="AE787" i="3"/>
  <c r="AD787" i="3"/>
  <c r="Z787" i="3"/>
  <c r="L787" i="3"/>
  <c r="K787" i="3"/>
  <c r="J787" i="3"/>
  <c r="I787" i="3"/>
  <c r="H787" i="3"/>
  <c r="BD787" i="3" s="1"/>
  <c r="G787" i="3"/>
  <c r="AT786" i="3"/>
  <c r="AP783" i="3"/>
  <c r="BI783" i="3" s="1"/>
  <c r="AC783" i="3" s="1"/>
  <c r="AK783" i="3"/>
  <c r="AJ783" i="3"/>
  <c r="AH783" i="3"/>
  <c r="AG783" i="3"/>
  <c r="AF783" i="3"/>
  <c r="AE783" i="3"/>
  <c r="AD783" i="3"/>
  <c r="Z783" i="3"/>
  <c r="L783" i="3"/>
  <c r="K783" i="3"/>
  <c r="J783" i="3"/>
  <c r="I783" i="3"/>
  <c r="H783" i="3"/>
  <c r="G783" i="3"/>
  <c r="AT782" i="3"/>
  <c r="AS782" i="3"/>
  <c r="AP780" i="3"/>
  <c r="AX780" i="3" s="1"/>
  <c r="AK780" i="3"/>
  <c r="AJ780" i="3"/>
  <c r="AH780" i="3"/>
  <c r="AG780" i="3"/>
  <c r="AF780" i="3"/>
  <c r="AC780" i="3"/>
  <c r="AB780" i="3"/>
  <c r="Z780" i="3"/>
  <c r="K780" i="3"/>
  <c r="J780" i="3"/>
  <c r="L780" i="3" s="1"/>
  <c r="BF780" i="3" s="1"/>
  <c r="H780" i="3"/>
  <c r="G780" i="3"/>
  <c r="BJ776" i="3"/>
  <c r="BI776" i="3"/>
  <c r="BD776" i="3"/>
  <c r="AP776" i="3"/>
  <c r="AO776" i="3"/>
  <c r="AK776" i="3"/>
  <c r="AJ776" i="3"/>
  <c r="AH776" i="3"/>
  <c r="AG776" i="3"/>
  <c r="AF776" i="3"/>
  <c r="AE776" i="3"/>
  <c r="AC776" i="3"/>
  <c r="AB776" i="3"/>
  <c r="Z776" i="3"/>
  <c r="K776" i="3"/>
  <c r="J776" i="3"/>
  <c r="H776" i="3"/>
  <c r="G776" i="3"/>
  <c r="BD772" i="3"/>
  <c r="AP772" i="3"/>
  <c r="AK772" i="3"/>
  <c r="AT771" i="3" s="1"/>
  <c r="AJ772" i="3"/>
  <c r="AS771" i="3" s="1"/>
  <c r="AH772" i="3"/>
  <c r="AG772" i="3"/>
  <c r="AF772" i="3"/>
  <c r="AC772" i="3"/>
  <c r="AB772" i="3"/>
  <c r="Z772" i="3"/>
  <c r="K772" i="3"/>
  <c r="J772" i="3"/>
  <c r="H772" i="3"/>
  <c r="AO772" i="3" s="1"/>
  <c r="G772" i="3"/>
  <c r="BJ772" i="3" s="1"/>
  <c r="AO768" i="3"/>
  <c r="AW768" i="3" s="1"/>
  <c r="AK768" i="3"/>
  <c r="AJ768" i="3"/>
  <c r="AH768" i="3"/>
  <c r="AG768" i="3"/>
  <c r="AF768" i="3"/>
  <c r="AC768" i="3"/>
  <c r="AB768" i="3"/>
  <c r="Z768" i="3"/>
  <c r="K768" i="3"/>
  <c r="J768" i="3"/>
  <c r="H768" i="3"/>
  <c r="AP768" i="3" s="1"/>
  <c r="G768" i="3"/>
  <c r="BJ747" i="3"/>
  <c r="BI747" i="3"/>
  <c r="BH747" i="3"/>
  <c r="BD747" i="3"/>
  <c r="BC747" i="3"/>
  <c r="AX747" i="3"/>
  <c r="AW747" i="3"/>
  <c r="AV747" i="3" s="1"/>
  <c r="AP747" i="3"/>
  <c r="AK747" i="3"/>
  <c r="AJ747" i="3"/>
  <c r="AH747" i="3"/>
  <c r="AG747" i="3"/>
  <c r="AF747" i="3"/>
  <c r="AE747" i="3"/>
  <c r="AD747" i="3"/>
  <c r="AC747" i="3"/>
  <c r="AB747" i="3"/>
  <c r="Z747" i="3"/>
  <c r="L747" i="3"/>
  <c r="BF747" i="3" s="1"/>
  <c r="K747" i="3"/>
  <c r="J747" i="3"/>
  <c r="H747" i="3"/>
  <c r="AO747" i="3" s="1"/>
  <c r="G747" i="3"/>
  <c r="I747" i="3" s="1"/>
  <c r="AL747" i="3" s="1"/>
  <c r="AW736" i="3"/>
  <c r="AO736" i="3"/>
  <c r="AK736" i="3"/>
  <c r="AT735" i="3" s="1"/>
  <c r="AJ736" i="3"/>
  <c r="AH736" i="3"/>
  <c r="AG736" i="3"/>
  <c r="AF736" i="3"/>
  <c r="AC736" i="3"/>
  <c r="AB736" i="3"/>
  <c r="Z736" i="3"/>
  <c r="L736" i="3"/>
  <c r="BF736" i="3" s="1"/>
  <c r="K736" i="3"/>
  <c r="J736" i="3"/>
  <c r="H736" i="3"/>
  <c r="BD736" i="3" s="1"/>
  <c r="G736" i="3"/>
  <c r="AK726" i="3"/>
  <c r="AJ726" i="3"/>
  <c r="AH726" i="3"/>
  <c r="AG726" i="3"/>
  <c r="AF726" i="3"/>
  <c r="AC726" i="3"/>
  <c r="AB726" i="3"/>
  <c r="Z726" i="3"/>
  <c r="K726" i="3"/>
  <c r="J726" i="3"/>
  <c r="L726" i="3" s="1"/>
  <c r="BF726" i="3" s="1"/>
  <c r="H726" i="3"/>
  <c r="G726" i="3"/>
  <c r="AK719" i="3"/>
  <c r="AJ719" i="3"/>
  <c r="AS713" i="3" s="1"/>
  <c r="AH719" i="3"/>
  <c r="AG719" i="3"/>
  <c r="AF719" i="3"/>
  <c r="AC719" i="3"/>
  <c r="AB719" i="3"/>
  <c r="Z719" i="3"/>
  <c r="K719" i="3"/>
  <c r="J719" i="3"/>
  <c r="I719" i="3"/>
  <c r="AL719" i="3" s="1"/>
  <c r="H719" i="3"/>
  <c r="BD719" i="3" s="1"/>
  <c r="G719" i="3"/>
  <c r="AP714" i="3"/>
  <c r="AX714" i="3" s="1"/>
  <c r="AK714" i="3"/>
  <c r="AT713" i="3" s="1"/>
  <c r="AJ714" i="3"/>
  <c r="AH714" i="3"/>
  <c r="AG714" i="3"/>
  <c r="AF714" i="3"/>
  <c r="AC714" i="3"/>
  <c r="AB714" i="3"/>
  <c r="Z714" i="3"/>
  <c r="K714" i="3"/>
  <c r="J714" i="3"/>
  <c r="I714" i="3"/>
  <c r="H714" i="3"/>
  <c r="BD714" i="3" s="1"/>
  <c r="G714" i="3"/>
  <c r="BJ714" i="3" s="1"/>
  <c r="AK712" i="3"/>
  <c r="AJ712" i="3"/>
  <c r="AH712" i="3"/>
  <c r="AG712" i="3"/>
  <c r="AF712" i="3"/>
  <c r="AE712" i="3"/>
  <c r="AD712" i="3"/>
  <c r="AC712" i="3"/>
  <c r="AB712" i="3"/>
  <c r="K712" i="3"/>
  <c r="J712" i="3"/>
  <c r="L712" i="3" s="1"/>
  <c r="BF712" i="3" s="1"/>
  <c r="H712" i="3"/>
  <c r="AO712" i="3" s="1"/>
  <c r="G712" i="3"/>
  <c r="BD706" i="3"/>
  <c r="AK706" i="3"/>
  <c r="AT676" i="3" s="1"/>
  <c r="AJ706" i="3"/>
  <c r="AH706" i="3"/>
  <c r="AG706" i="3"/>
  <c r="AF706" i="3"/>
  <c r="AC706" i="3"/>
  <c r="AB706" i="3"/>
  <c r="Z706" i="3"/>
  <c r="K706" i="3"/>
  <c r="J706" i="3"/>
  <c r="AP706" i="3"/>
  <c r="G706" i="3"/>
  <c r="BD700" i="3"/>
  <c r="AX700" i="3"/>
  <c r="AP700" i="3"/>
  <c r="BI700" i="3" s="1"/>
  <c r="AE700" i="3" s="1"/>
  <c r="AK700" i="3"/>
  <c r="AJ700" i="3"/>
  <c r="AH700" i="3"/>
  <c r="AG700" i="3"/>
  <c r="AF700" i="3"/>
  <c r="AC700" i="3"/>
  <c r="AB700" i="3"/>
  <c r="Z700" i="3"/>
  <c r="K700" i="3"/>
  <c r="J700" i="3"/>
  <c r="L700" i="3" s="1"/>
  <c r="BF700" i="3" s="1"/>
  <c r="I700" i="3"/>
  <c r="AL700" i="3" s="1"/>
  <c r="H700" i="3"/>
  <c r="AO700" i="3" s="1"/>
  <c r="BH700" i="3" s="1"/>
  <c r="AD700" i="3" s="1"/>
  <c r="G700" i="3"/>
  <c r="BD698" i="3"/>
  <c r="AP698" i="3"/>
  <c r="AK698" i="3"/>
  <c r="AJ698" i="3"/>
  <c r="AH698" i="3"/>
  <c r="AG698" i="3"/>
  <c r="AF698" i="3"/>
  <c r="AC698" i="3"/>
  <c r="AB698" i="3"/>
  <c r="Z698" i="3"/>
  <c r="L698" i="3"/>
  <c r="BF698" i="3" s="1"/>
  <c r="K698" i="3"/>
  <c r="J698" i="3"/>
  <c r="H698" i="3"/>
  <c r="AO698" i="3" s="1"/>
  <c r="G698" i="3"/>
  <c r="BI687" i="3"/>
  <c r="AE687" i="3" s="1"/>
  <c r="AP687" i="3"/>
  <c r="AK687" i="3"/>
  <c r="AJ687" i="3"/>
  <c r="AH687" i="3"/>
  <c r="AG687" i="3"/>
  <c r="AF687" i="3"/>
  <c r="AC687" i="3"/>
  <c r="AB687" i="3"/>
  <c r="Z687" i="3"/>
  <c r="K687" i="3"/>
  <c r="J687" i="3"/>
  <c r="I687" i="3"/>
  <c r="AL687" i="3" s="1"/>
  <c r="H687" i="3"/>
  <c r="BD687" i="3" s="1"/>
  <c r="G687" i="3"/>
  <c r="BJ684" i="3"/>
  <c r="BI684" i="3"/>
  <c r="BH684" i="3"/>
  <c r="BD684" i="3"/>
  <c r="AX684" i="3"/>
  <c r="AW684" i="3"/>
  <c r="AP684" i="3"/>
  <c r="AK684" i="3"/>
  <c r="AJ684" i="3"/>
  <c r="AH684" i="3"/>
  <c r="AG684" i="3"/>
  <c r="AF684" i="3"/>
  <c r="AE684" i="3"/>
  <c r="AD684" i="3"/>
  <c r="AC684" i="3"/>
  <c r="AB684" i="3"/>
  <c r="Z684" i="3"/>
  <c r="K684" i="3"/>
  <c r="J684" i="3"/>
  <c r="I684" i="3"/>
  <c r="AL684" i="3" s="1"/>
  <c r="H684" i="3"/>
  <c r="AO684" i="3" s="1"/>
  <c r="G684" i="3"/>
  <c r="L684" i="3" s="1"/>
  <c r="BF684" i="3" s="1"/>
  <c r="BD677" i="3"/>
  <c r="AX677" i="3"/>
  <c r="AP677" i="3"/>
  <c r="AK677" i="3"/>
  <c r="AJ677" i="3"/>
  <c r="AH677" i="3"/>
  <c r="AG677" i="3"/>
  <c r="AF677" i="3"/>
  <c r="AC677" i="3"/>
  <c r="AB677" i="3"/>
  <c r="Z677" i="3"/>
  <c r="K677" i="3"/>
  <c r="J677" i="3"/>
  <c r="I677" i="3"/>
  <c r="H677" i="3"/>
  <c r="AO677" i="3" s="1"/>
  <c r="G677" i="3"/>
  <c r="BD675" i="3"/>
  <c r="AK675" i="3"/>
  <c r="AJ675" i="3"/>
  <c r="AH675" i="3"/>
  <c r="AG675" i="3"/>
  <c r="AF675" i="3"/>
  <c r="AE675" i="3"/>
  <c r="AD675" i="3"/>
  <c r="AC675" i="3"/>
  <c r="AB675" i="3"/>
  <c r="L675" i="3"/>
  <c r="BF675" i="3" s="1"/>
  <c r="K675" i="3"/>
  <c r="J675" i="3"/>
  <c r="H675" i="3"/>
  <c r="AP675" i="3" s="1"/>
  <c r="G675" i="3"/>
  <c r="BI666" i="3"/>
  <c r="AE666" i="3" s="1"/>
  <c r="AP666" i="3"/>
  <c r="AO666" i="3"/>
  <c r="AK666" i="3"/>
  <c r="AJ666" i="3"/>
  <c r="AH666" i="3"/>
  <c r="AG666" i="3"/>
  <c r="AF666" i="3"/>
  <c r="AC666" i="3"/>
  <c r="AB666" i="3"/>
  <c r="Z666" i="3"/>
  <c r="K666" i="3"/>
  <c r="J666" i="3"/>
  <c r="I666" i="3"/>
  <c r="AL666" i="3" s="1"/>
  <c r="H666" i="3"/>
  <c r="BD666" i="3" s="1"/>
  <c r="G666" i="3"/>
  <c r="BJ661" i="3"/>
  <c r="BI661" i="3"/>
  <c r="AX661" i="3"/>
  <c r="AP661" i="3"/>
  <c r="AK661" i="3"/>
  <c r="AJ661" i="3"/>
  <c r="AH661" i="3"/>
  <c r="AG661" i="3"/>
  <c r="AF661" i="3"/>
  <c r="AE661" i="3"/>
  <c r="AC661" i="3"/>
  <c r="AB661" i="3"/>
  <c r="Z661" i="3"/>
  <c r="L661" i="3"/>
  <c r="BF661" i="3" s="1"/>
  <c r="K661" i="3"/>
  <c r="J661" i="3"/>
  <c r="H661" i="3"/>
  <c r="BD661" i="3" s="1"/>
  <c r="G661" i="3"/>
  <c r="I661" i="3" s="1"/>
  <c r="AL661" i="3" s="1"/>
  <c r="BJ651" i="3"/>
  <c r="BD651" i="3"/>
  <c r="AP651" i="3"/>
  <c r="BI651" i="3" s="1"/>
  <c r="AE651" i="3" s="1"/>
  <c r="AO651" i="3"/>
  <c r="AW651" i="3" s="1"/>
  <c r="AK651" i="3"/>
  <c r="AJ651" i="3"/>
  <c r="AH651" i="3"/>
  <c r="AG651" i="3"/>
  <c r="AF651" i="3"/>
  <c r="AC651" i="3"/>
  <c r="AB651" i="3"/>
  <c r="Z651" i="3"/>
  <c r="L651" i="3"/>
  <c r="BF651" i="3" s="1"/>
  <c r="K651" i="3"/>
  <c r="J651" i="3"/>
  <c r="I651" i="3"/>
  <c r="AL651" i="3" s="1"/>
  <c r="H651" i="3"/>
  <c r="G651" i="3"/>
  <c r="BD645" i="3"/>
  <c r="AP645" i="3"/>
  <c r="AO645" i="3"/>
  <c r="AK645" i="3"/>
  <c r="AJ645" i="3"/>
  <c r="AH645" i="3"/>
  <c r="AG645" i="3"/>
  <c r="AF645" i="3"/>
  <c r="AC645" i="3"/>
  <c r="AB645" i="3"/>
  <c r="Z645" i="3"/>
  <c r="K645" i="3"/>
  <c r="J645" i="3"/>
  <c r="H645" i="3"/>
  <c r="G645" i="3"/>
  <c r="AK641" i="3"/>
  <c r="AT620" i="3" s="1"/>
  <c r="AJ641" i="3"/>
  <c r="AS620" i="3" s="1"/>
  <c r="AH641" i="3"/>
  <c r="AG641" i="3"/>
  <c r="AF641" i="3"/>
  <c r="AC641" i="3"/>
  <c r="AB641" i="3"/>
  <c r="Z641" i="3"/>
  <c r="K641" i="3"/>
  <c r="J641" i="3"/>
  <c r="H641" i="3"/>
  <c r="G641" i="3"/>
  <c r="BJ636" i="3"/>
  <c r="BI636" i="3"/>
  <c r="BF636" i="3"/>
  <c r="AX636" i="3"/>
  <c r="AP636" i="3"/>
  <c r="AK636" i="3"/>
  <c r="AJ636" i="3"/>
  <c r="AH636" i="3"/>
  <c r="AG636" i="3"/>
  <c r="AF636" i="3"/>
  <c r="AE636" i="3"/>
  <c r="AC636" i="3"/>
  <c r="AB636" i="3"/>
  <c r="Z636" i="3"/>
  <c r="L636" i="3"/>
  <c r="K636" i="3"/>
  <c r="J636" i="3"/>
  <c r="I636" i="3"/>
  <c r="AL636" i="3" s="1"/>
  <c r="H636" i="3"/>
  <c r="BD636" i="3" s="1"/>
  <c r="G636" i="3"/>
  <c r="BF628" i="3"/>
  <c r="AW628" i="3"/>
  <c r="AO628" i="3"/>
  <c r="BH628" i="3" s="1"/>
  <c r="AD628" i="3" s="1"/>
  <c r="AK628" i="3"/>
  <c r="AJ628" i="3"/>
  <c r="AH628" i="3"/>
  <c r="AG628" i="3"/>
  <c r="AF628" i="3"/>
  <c r="AC628" i="3"/>
  <c r="AB628" i="3"/>
  <c r="Z628" i="3"/>
  <c r="L628" i="3"/>
  <c r="K628" i="3"/>
  <c r="J628" i="3"/>
  <c r="I628" i="3"/>
  <c r="AL628" i="3" s="1"/>
  <c r="H628" i="3"/>
  <c r="BJ628" i="3" s="1"/>
  <c r="G628" i="3"/>
  <c r="BD621" i="3"/>
  <c r="AX621" i="3"/>
  <c r="AL621" i="3"/>
  <c r="AK621" i="3"/>
  <c r="AJ621" i="3"/>
  <c r="AH621" i="3"/>
  <c r="AG621" i="3"/>
  <c r="AF621" i="3"/>
  <c r="AC621" i="3"/>
  <c r="AB621" i="3"/>
  <c r="Z621" i="3"/>
  <c r="K621" i="3"/>
  <c r="J621" i="3"/>
  <c r="L621" i="3" s="1"/>
  <c r="I621" i="3"/>
  <c r="H621" i="3"/>
  <c r="AP621" i="3" s="1"/>
  <c r="G621" i="3"/>
  <c r="AW619" i="3"/>
  <c r="AO619" i="3"/>
  <c r="BH619" i="3" s="1"/>
  <c r="AK619" i="3"/>
  <c r="AJ619" i="3"/>
  <c r="AH619" i="3"/>
  <c r="AG619" i="3"/>
  <c r="AF619" i="3"/>
  <c r="AE619" i="3"/>
  <c r="AD619" i="3"/>
  <c r="AC619" i="3"/>
  <c r="AB619" i="3"/>
  <c r="K619" i="3"/>
  <c r="J619" i="3"/>
  <c r="L619" i="3" s="1"/>
  <c r="BF619" i="3" s="1"/>
  <c r="H619" i="3"/>
  <c r="BJ619" i="3" s="1"/>
  <c r="Z619" i="3" s="1"/>
  <c r="G619" i="3"/>
  <c r="AO615" i="3"/>
  <c r="AK615" i="3"/>
  <c r="AJ615" i="3"/>
  <c r="AH615" i="3"/>
  <c r="AG615" i="3"/>
  <c r="AF615" i="3"/>
  <c r="AC615" i="3"/>
  <c r="AB615" i="3"/>
  <c r="Z615" i="3"/>
  <c r="K615" i="3"/>
  <c r="J615" i="3"/>
  <c r="H615" i="3"/>
  <c r="BD615" i="3" s="1"/>
  <c r="G615" i="3"/>
  <c r="BJ615" i="3" s="1"/>
  <c r="BD611" i="3"/>
  <c r="AK611" i="3"/>
  <c r="AJ611" i="3"/>
  <c r="AH611" i="3"/>
  <c r="AG611" i="3"/>
  <c r="AF611" i="3"/>
  <c r="AC611" i="3"/>
  <c r="AB611" i="3"/>
  <c r="Z611" i="3"/>
  <c r="K611" i="3"/>
  <c r="J611" i="3"/>
  <c r="H611" i="3"/>
  <c r="AP611" i="3" s="1"/>
  <c r="G611" i="3"/>
  <c r="AX611" i="3" s="1"/>
  <c r="BJ604" i="3"/>
  <c r="BD604" i="3"/>
  <c r="AO604" i="3"/>
  <c r="BH604" i="3" s="1"/>
  <c r="AD604" i="3" s="1"/>
  <c r="AK604" i="3"/>
  <c r="AJ604" i="3"/>
  <c r="AH604" i="3"/>
  <c r="AG604" i="3"/>
  <c r="AF604" i="3"/>
  <c r="AC604" i="3"/>
  <c r="AB604" i="3"/>
  <c r="Z604" i="3"/>
  <c r="L604" i="3"/>
  <c r="BF604" i="3" s="1"/>
  <c r="K604" i="3"/>
  <c r="J604" i="3"/>
  <c r="H604" i="3"/>
  <c r="I604" i="3" s="1"/>
  <c r="AL604" i="3" s="1"/>
  <c r="G604" i="3"/>
  <c r="AW604" i="3" s="1"/>
  <c r="AK600" i="3"/>
  <c r="AJ600" i="3"/>
  <c r="AH600" i="3"/>
  <c r="AG600" i="3"/>
  <c r="AF600" i="3"/>
  <c r="AC600" i="3"/>
  <c r="AB600" i="3"/>
  <c r="Z600" i="3"/>
  <c r="K600" i="3"/>
  <c r="J600" i="3"/>
  <c r="L600" i="3" s="1"/>
  <c r="BF600" i="3" s="1"/>
  <c r="H600" i="3"/>
  <c r="G600" i="3"/>
  <c r="AK596" i="3"/>
  <c r="AJ596" i="3"/>
  <c r="AH596" i="3"/>
  <c r="AG596" i="3"/>
  <c r="AF596" i="3"/>
  <c r="AC596" i="3"/>
  <c r="AB596" i="3"/>
  <c r="Z596" i="3"/>
  <c r="K596" i="3"/>
  <c r="J596" i="3"/>
  <c r="I596" i="3"/>
  <c r="AL596" i="3" s="1"/>
  <c r="H596" i="3"/>
  <c r="BD596" i="3" s="1"/>
  <c r="G596" i="3"/>
  <c r="BD587" i="3"/>
  <c r="AK587" i="3"/>
  <c r="AJ587" i="3"/>
  <c r="AH587" i="3"/>
  <c r="AG587" i="3"/>
  <c r="AF587" i="3"/>
  <c r="AC587" i="3"/>
  <c r="AB587" i="3"/>
  <c r="Z587" i="3"/>
  <c r="K587" i="3"/>
  <c r="J587" i="3"/>
  <c r="H587" i="3"/>
  <c r="AP587" i="3" s="1"/>
  <c r="G587" i="3"/>
  <c r="BJ582" i="3"/>
  <c r="BH582" i="3"/>
  <c r="AD582" i="3" s="1"/>
  <c r="BD582" i="3"/>
  <c r="AK582" i="3"/>
  <c r="AJ582" i="3"/>
  <c r="AH582" i="3"/>
  <c r="AG582" i="3"/>
  <c r="AF582" i="3"/>
  <c r="AC582" i="3"/>
  <c r="AB582" i="3"/>
  <c r="Z582" i="3"/>
  <c r="K582" i="3"/>
  <c r="J582" i="3"/>
  <c r="L582" i="3" s="1"/>
  <c r="BF582" i="3" s="1"/>
  <c r="I582" i="3"/>
  <c r="AL582" i="3" s="1"/>
  <c r="H582" i="3"/>
  <c r="AO582" i="3" s="1"/>
  <c r="G582" i="3"/>
  <c r="AP576" i="3"/>
  <c r="BI576" i="3" s="1"/>
  <c r="AE576" i="3" s="1"/>
  <c r="AO576" i="3"/>
  <c r="AK576" i="3"/>
  <c r="AJ576" i="3"/>
  <c r="AH576" i="3"/>
  <c r="AG576" i="3"/>
  <c r="AF576" i="3"/>
  <c r="AC576" i="3"/>
  <c r="AB576" i="3"/>
  <c r="Z576" i="3"/>
  <c r="K576" i="3"/>
  <c r="J576" i="3"/>
  <c r="L576" i="3" s="1"/>
  <c r="BF576" i="3" s="1"/>
  <c r="H576" i="3"/>
  <c r="BJ576" i="3" s="1"/>
  <c r="G576" i="3"/>
  <c r="AO570" i="3"/>
  <c r="AK570" i="3"/>
  <c r="AJ570" i="3"/>
  <c r="AH570" i="3"/>
  <c r="AG570" i="3"/>
  <c r="AF570" i="3"/>
  <c r="AC570" i="3"/>
  <c r="AB570" i="3"/>
  <c r="Z570" i="3"/>
  <c r="K570" i="3"/>
  <c r="J570" i="3"/>
  <c r="H570" i="3"/>
  <c r="BD570" i="3" s="1"/>
  <c r="G570" i="3"/>
  <c r="BJ561" i="3"/>
  <c r="BD561" i="3"/>
  <c r="AK561" i="3"/>
  <c r="AJ561" i="3"/>
  <c r="AH561" i="3"/>
  <c r="AG561" i="3"/>
  <c r="AF561" i="3"/>
  <c r="AC561" i="3"/>
  <c r="AB561" i="3"/>
  <c r="Z561" i="3"/>
  <c r="K561" i="3"/>
  <c r="J561" i="3"/>
  <c r="H561" i="3"/>
  <c r="AP561" i="3" s="1"/>
  <c r="G561" i="3"/>
  <c r="I561" i="3" s="1"/>
  <c r="AL561" i="3" s="1"/>
  <c r="AS560" i="3"/>
  <c r="BI555" i="3"/>
  <c r="BF555" i="3"/>
  <c r="BD555" i="3"/>
  <c r="AK555" i="3"/>
  <c r="AT554" i="3" s="1"/>
  <c r="AJ555" i="3"/>
  <c r="AH555" i="3"/>
  <c r="AG555" i="3"/>
  <c r="AF555" i="3"/>
  <c r="AE555" i="3"/>
  <c r="AC555" i="3"/>
  <c r="AB555" i="3"/>
  <c r="Z555" i="3"/>
  <c r="L555" i="3"/>
  <c r="L554" i="3" s="1"/>
  <c r="K555" i="3"/>
  <c r="J555" i="3"/>
  <c r="H555" i="3"/>
  <c r="AP555" i="3" s="1"/>
  <c r="G555" i="3"/>
  <c r="AS554" i="3"/>
  <c r="BD551" i="3"/>
  <c r="AO551" i="3"/>
  <c r="AK551" i="3"/>
  <c r="AJ551" i="3"/>
  <c r="AH551" i="3"/>
  <c r="AG551" i="3"/>
  <c r="AF551" i="3"/>
  <c r="AE551" i="3"/>
  <c r="AD551" i="3"/>
  <c r="AC551" i="3"/>
  <c r="AB551" i="3"/>
  <c r="K551" i="3"/>
  <c r="J551" i="3"/>
  <c r="H551" i="3"/>
  <c r="AP551" i="3" s="1"/>
  <c r="G551" i="3"/>
  <c r="BJ550" i="3"/>
  <c r="Z550" i="3" s="1"/>
  <c r="BI550" i="3"/>
  <c r="BD550" i="3"/>
  <c r="AP550" i="3"/>
  <c r="AX550" i="3" s="1"/>
  <c r="AK550" i="3"/>
  <c r="AJ550" i="3"/>
  <c r="AH550" i="3"/>
  <c r="AG550" i="3"/>
  <c r="AF550" i="3"/>
  <c r="AE550" i="3"/>
  <c r="AD550" i="3"/>
  <c r="AC550" i="3"/>
  <c r="AB550" i="3"/>
  <c r="L550" i="3"/>
  <c r="BF550" i="3" s="1"/>
  <c r="K550" i="3"/>
  <c r="J550" i="3"/>
  <c r="I550" i="3"/>
  <c r="AL550" i="3" s="1"/>
  <c r="H550" i="3"/>
  <c r="AO550" i="3" s="1"/>
  <c r="BH550" i="3" s="1"/>
  <c r="G550" i="3"/>
  <c r="BD548" i="3"/>
  <c r="AO548" i="3"/>
  <c r="AK548" i="3"/>
  <c r="AJ548" i="3"/>
  <c r="AH548" i="3"/>
  <c r="AG548" i="3"/>
  <c r="AF548" i="3"/>
  <c r="AC548" i="3"/>
  <c r="AB548" i="3"/>
  <c r="Z548" i="3"/>
  <c r="L548" i="3"/>
  <c r="BF548" i="3" s="1"/>
  <c r="K548" i="3"/>
  <c r="J548" i="3"/>
  <c r="H548" i="3"/>
  <c r="AP548" i="3" s="1"/>
  <c r="G548" i="3"/>
  <c r="BJ543" i="3"/>
  <c r="AO543" i="3"/>
  <c r="AK543" i="3"/>
  <c r="AJ543" i="3"/>
  <c r="AH543" i="3"/>
  <c r="AG543" i="3"/>
  <c r="AF543" i="3"/>
  <c r="AC543" i="3"/>
  <c r="AB543" i="3"/>
  <c r="Z543" i="3"/>
  <c r="K543" i="3"/>
  <c r="J543" i="3"/>
  <c r="I543" i="3"/>
  <c r="AL543" i="3" s="1"/>
  <c r="H543" i="3"/>
  <c r="BD543" i="3" s="1"/>
  <c r="G543" i="3"/>
  <c r="BH543" i="3" s="1"/>
  <c r="AD543" i="3" s="1"/>
  <c r="BD540" i="3"/>
  <c r="AP540" i="3"/>
  <c r="AO540" i="3"/>
  <c r="BH540" i="3" s="1"/>
  <c r="AD540" i="3" s="1"/>
  <c r="AK540" i="3"/>
  <c r="AJ540" i="3"/>
  <c r="AH540" i="3"/>
  <c r="AG540" i="3"/>
  <c r="AF540" i="3"/>
  <c r="AC540" i="3"/>
  <c r="AB540" i="3"/>
  <c r="Z540" i="3"/>
  <c r="K540" i="3"/>
  <c r="J540" i="3"/>
  <c r="I540" i="3"/>
  <c r="AL540" i="3" s="1"/>
  <c r="H540" i="3"/>
  <c r="G540" i="3"/>
  <c r="BJ537" i="3"/>
  <c r="BI537" i="3"/>
  <c r="AE537" i="3" s="1"/>
  <c r="BD537" i="3"/>
  <c r="AP537" i="3"/>
  <c r="AX537" i="3" s="1"/>
  <c r="AV537" i="3" s="1"/>
  <c r="AK537" i="3"/>
  <c r="AJ537" i="3"/>
  <c r="AH537" i="3"/>
  <c r="AG537" i="3"/>
  <c r="AF537" i="3"/>
  <c r="AC537" i="3"/>
  <c r="AB537" i="3"/>
  <c r="Z537" i="3"/>
  <c r="L537" i="3"/>
  <c r="BF537" i="3" s="1"/>
  <c r="K537" i="3"/>
  <c r="J537" i="3"/>
  <c r="I537" i="3"/>
  <c r="AL537" i="3" s="1"/>
  <c r="H537" i="3"/>
  <c r="AO537" i="3" s="1"/>
  <c r="AW537" i="3" s="1"/>
  <c r="G537" i="3"/>
  <c r="BD534" i="3"/>
  <c r="AO534" i="3"/>
  <c r="AK534" i="3"/>
  <c r="AJ534" i="3"/>
  <c r="AH534" i="3"/>
  <c r="AG534" i="3"/>
  <c r="AF534" i="3"/>
  <c r="AC534" i="3"/>
  <c r="AB534" i="3"/>
  <c r="Z534" i="3"/>
  <c r="L534" i="3"/>
  <c r="BF534" i="3" s="1"/>
  <c r="K534" i="3"/>
  <c r="J534" i="3"/>
  <c r="H534" i="3"/>
  <c r="AP534" i="3" s="1"/>
  <c r="G534" i="3"/>
  <c r="BJ531" i="3"/>
  <c r="AO531" i="3"/>
  <c r="AK531" i="3"/>
  <c r="AJ531" i="3"/>
  <c r="AH531" i="3"/>
  <c r="AG531" i="3"/>
  <c r="AF531" i="3"/>
  <c r="AC531" i="3"/>
  <c r="AB531" i="3"/>
  <c r="Z531" i="3"/>
  <c r="K531" i="3"/>
  <c r="J531" i="3"/>
  <c r="I531" i="3"/>
  <c r="AL531" i="3" s="1"/>
  <c r="H531" i="3"/>
  <c r="BD531" i="3" s="1"/>
  <c r="G531" i="3"/>
  <c r="BH531" i="3" s="1"/>
  <c r="AD531" i="3" s="1"/>
  <c r="BD528" i="3"/>
  <c r="AP528" i="3"/>
  <c r="AO528" i="3"/>
  <c r="BH528" i="3" s="1"/>
  <c r="AD528" i="3" s="1"/>
  <c r="AK528" i="3"/>
  <c r="AJ528" i="3"/>
  <c r="AH528" i="3"/>
  <c r="AG528" i="3"/>
  <c r="AF528" i="3"/>
  <c r="AC528" i="3"/>
  <c r="AB528" i="3"/>
  <c r="Z528" i="3"/>
  <c r="K528" i="3"/>
  <c r="J528" i="3"/>
  <c r="I528" i="3"/>
  <c r="AL528" i="3" s="1"/>
  <c r="H528" i="3"/>
  <c r="G528" i="3"/>
  <c r="BJ525" i="3"/>
  <c r="BI525" i="3"/>
  <c r="AE525" i="3" s="1"/>
  <c r="BD525" i="3"/>
  <c r="AP525" i="3"/>
  <c r="AX525" i="3" s="1"/>
  <c r="AK525" i="3"/>
  <c r="AJ525" i="3"/>
  <c r="AH525" i="3"/>
  <c r="AG525" i="3"/>
  <c r="AF525" i="3"/>
  <c r="AC525" i="3"/>
  <c r="AB525" i="3"/>
  <c r="Z525" i="3"/>
  <c r="L525" i="3"/>
  <c r="BF525" i="3" s="1"/>
  <c r="K525" i="3"/>
  <c r="J525" i="3"/>
  <c r="I525" i="3"/>
  <c r="AL525" i="3" s="1"/>
  <c r="H525" i="3"/>
  <c r="AO525" i="3" s="1"/>
  <c r="AW525" i="3" s="1"/>
  <c r="BC525" i="3" s="1"/>
  <c r="G525" i="3"/>
  <c r="BD523" i="3"/>
  <c r="AO523" i="3"/>
  <c r="AK523" i="3"/>
  <c r="AJ523" i="3"/>
  <c r="AH523" i="3"/>
  <c r="AG523" i="3"/>
  <c r="AF523" i="3"/>
  <c r="AC523" i="3"/>
  <c r="AB523" i="3"/>
  <c r="Z523" i="3"/>
  <c r="L523" i="3"/>
  <c r="BF523" i="3" s="1"/>
  <c r="K523" i="3"/>
  <c r="J523" i="3"/>
  <c r="H523" i="3"/>
  <c r="AP523" i="3" s="1"/>
  <c r="G523" i="3"/>
  <c r="BJ519" i="3"/>
  <c r="AO519" i="3"/>
  <c r="AK519" i="3"/>
  <c r="AJ519" i="3"/>
  <c r="AH519" i="3"/>
  <c r="AG519" i="3"/>
  <c r="AF519" i="3"/>
  <c r="AC519" i="3"/>
  <c r="AB519" i="3"/>
  <c r="Z519" i="3"/>
  <c r="K519" i="3"/>
  <c r="J519" i="3"/>
  <c r="I519" i="3"/>
  <c r="AL519" i="3" s="1"/>
  <c r="H519" i="3"/>
  <c r="BD519" i="3" s="1"/>
  <c r="G519" i="3"/>
  <c r="BH519" i="3" s="1"/>
  <c r="AD519" i="3" s="1"/>
  <c r="BD515" i="3"/>
  <c r="AP515" i="3"/>
  <c r="AO515" i="3"/>
  <c r="AK515" i="3"/>
  <c r="AJ515" i="3"/>
  <c r="AH515" i="3"/>
  <c r="AG515" i="3"/>
  <c r="AF515" i="3"/>
  <c r="AC515" i="3"/>
  <c r="AB515" i="3"/>
  <c r="Z515" i="3"/>
  <c r="K515" i="3"/>
  <c r="J515" i="3"/>
  <c r="H515" i="3"/>
  <c r="G515" i="3"/>
  <c r="BJ511" i="3"/>
  <c r="BI511" i="3"/>
  <c r="AE511" i="3" s="1"/>
  <c r="BH511" i="3"/>
  <c r="BD511" i="3"/>
  <c r="AW511" i="3"/>
  <c r="AP511" i="3"/>
  <c r="AX511" i="3" s="1"/>
  <c r="AK511" i="3"/>
  <c r="AJ511" i="3"/>
  <c r="AH511" i="3"/>
  <c r="AG511" i="3"/>
  <c r="AF511" i="3"/>
  <c r="AD511" i="3"/>
  <c r="AC511" i="3"/>
  <c r="AB511" i="3"/>
  <c r="Z511" i="3"/>
  <c r="K511" i="3"/>
  <c r="J511" i="3"/>
  <c r="I511" i="3"/>
  <c r="AL511" i="3" s="1"/>
  <c r="H511" i="3"/>
  <c r="AO511" i="3" s="1"/>
  <c r="G511" i="3"/>
  <c r="L511" i="3" s="1"/>
  <c r="BF511" i="3" s="1"/>
  <c r="AK507" i="3"/>
  <c r="AJ507" i="3"/>
  <c r="AH507" i="3"/>
  <c r="AG507" i="3"/>
  <c r="AF507" i="3"/>
  <c r="AC507" i="3"/>
  <c r="AB507" i="3"/>
  <c r="Z507" i="3"/>
  <c r="K507" i="3"/>
  <c r="J507" i="3"/>
  <c r="H507" i="3"/>
  <c r="G507" i="3"/>
  <c r="AO504" i="3"/>
  <c r="AK504" i="3"/>
  <c r="AJ504" i="3"/>
  <c r="AH504" i="3"/>
  <c r="AG504" i="3"/>
  <c r="AF504" i="3"/>
  <c r="AC504" i="3"/>
  <c r="AB504" i="3"/>
  <c r="Z504" i="3"/>
  <c r="L504" i="3"/>
  <c r="BF504" i="3" s="1"/>
  <c r="K504" i="3"/>
  <c r="J504" i="3"/>
  <c r="H504" i="3"/>
  <c r="BD504" i="3" s="1"/>
  <c r="G504" i="3"/>
  <c r="BJ499" i="3"/>
  <c r="AK499" i="3"/>
  <c r="AT488" i="3" s="1"/>
  <c r="AJ499" i="3"/>
  <c r="AH499" i="3"/>
  <c r="AG499" i="3"/>
  <c r="AF499" i="3"/>
  <c r="AC499" i="3"/>
  <c r="AB499" i="3"/>
  <c r="Z499" i="3"/>
  <c r="K499" i="3"/>
  <c r="J499" i="3"/>
  <c r="H499" i="3"/>
  <c r="G499" i="3"/>
  <c r="BD494" i="3"/>
  <c r="AP494" i="3"/>
  <c r="AK494" i="3"/>
  <c r="AJ494" i="3"/>
  <c r="AH494" i="3"/>
  <c r="AG494" i="3"/>
  <c r="AF494" i="3"/>
  <c r="AC494" i="3"/>
  <c r="AB494" i="3"/>
  <c r="Z494" i="3"/>
  <c r="K494" i="3"/>
  <c r="J494" i="3"/>
  <c r="H494" i="3"/>
  <c r="AO494" i="3" s="1"/>
  <c r="G494" i="3"/>
  <c r="BH489" i="3"/>
  <c r="AD489" i="3" s="1"/>
  <c r="BD489" i="3"/>
  <c r="AX489" i="3"/>
  <c r="AO489" i="3"/>
  <c r="AK489" i="3"/>
  <c r="AJ489" i="3"/>
  <c r="AH489" i="3"/>
  <c r="AG489" i="3"/>
  <c r="AF489" i="3"/>
  <c r="AE489" i="3"/>
  <c r="AC489" i="3"/>
  <c r="AB489" i="3"/>
  <c r="Z489" i="3"/>
  <c r="L489" i="3"/>
  <c r="K489" i="3"/>
  <c r="J489" i="3"/>
  <c r="H489" i="3"/>
  <c r="AP489" i="3" s="1"/>
  <c r="G489" i="3"/>
  <c r="BI489" i="3" s="1"/>
  <c r="BF487" i="3"/>
  <c r="AP487" i="3"/>
  <c r="AK487" i="3"/>
  <c r="AJ487" i="3"/>
  <c r="AH487" i="3"/>
  <c r="AG487" i="3"/>
  <c r="AF487" i="3"/>
  <c r="AE487" i="3"/>
  <c r="AD487" i="3"/>
  <c r="AC487" i="3"/>
  <c r="AB487" i="3"/>
  <c r="L487" i="3"/>
  <c r="K487" i="3"/>
  <c r="J487" i="3"/>
  <c r="I487" i="3"/>
  <c r="AL487" i="3" s="1"/>
  <c r="H487" i="3"/>
  <c r="BD487" i="3" s="1"/>
  <c r="G487" i="3"/>
  <c r="BJ487" i="3" s="1"/>
  <c r="Z487" i="3" s="1"/>
  <c r="AP484" i="3"/>
  <c r="AK484" i="3"/>
  <c r="AJ484" i="3"/>
  <c r="AH484" i="3"/>
  <c r="AG484" i="3"/>
  <c r="AF484" i="3"/>
  <c r="AC484" i="3"/>
  <c r="AB484" i="3"/>
  <c r="Z484" i="3"/>
  <c r="K484" i="3"/>
  <c r="J484" i="3"/>
  <c r="I484" i="3"/>
  <c r="H484" i="3"/>
  <c r="BD484" i="3" s="1"/>
  <c r="G484" i="3"/>
  <c r="AT483" i="3"/>
  <c r="AS483" i="3"/>
  <c r="AP482" i="3"/>
  <c r="AK482" i="3"/>
  <c r="AJ482" i="3"/>
  <c r="AH482" i="3"/>
  <c r="AG482" i="3"/>
  <c r="AF482" i="3"/>
  <c r="AE482" i="3"/>
  <c r="AD482" i="3"/>
  <c r="AC482" i="3"/>
  <c r="AB482" i="3"/>
  <c r="K482" i="3"/>
  <c r="J482" i="3"/>
  <c r="L482" i="3" s="1"/>
  <c r="BF482" i="3" s="1"/>
  <c r="I482" i="3"/>
  <c r="AL482" i="3" s="1"/>
  <c r="H482" i="3"/>
  <c r="G482" i="3"/>
  <c r="BJ481" i="3"/>
  <c r="Z481" i="3" s="1"/>
  <c r="BD481" i="3"/>
  <c r="AK481" i="3"/>
  <c r="AJ481" i="3"/>
  <c r="AH481" i="3"/>
  <c r="AG481" i="3"/>
  <c r="AF481" i="3"/>
  <c r="AE481" i="3"/>
  <c r="AD481" i="3"/>
  <c r="AC481" i="3"/>
  <c r="AB481" i="3"/>
  <c r="K481" i="3"/>
  <c r="J481" i="3"/>
  <c r="H481" i="3"/>
  <c r="AP481" i="3" s="1"/>
  <c r="BI481" i="3" s="1"/>
  <c r="G481" i="3"/>
  <c r="BJ479" i="3"/>
  <c r="BI479" i="3"/>
  <c r="AE479" i="3" s="1"/>
  <c r="BD479" i="3"/>
  <c r="AV479" i="3"/>
  <c r="AP479" i="3"/>
  <c r="AX479" i="3" s="1"/>
  <c r="AK479" i="3"/>
  <c r="AJ479" i="3"/>
  <c r="AH479" i="3"/>
  <c r="AG479" i="3"/>
  <c r="AF479" i="3"/>
  <c r="AC479" i="3"/>
  <c r="AB479" i="3"/>
  <c r="Z479" i="3"/>
  <c r="K479" i="3"/>
  <c r="J479" i="3"/>
  <c r="L479" i="3" s="1"/>
  <c r="BF479" i="3" s="1"/>
  <c r="I479" i="3"/>
  <c r="AL479" i="3" s="1"/>
  <c r="H479" i="3"/>
  <c r="AO479" i="3" s="1"/>
  <c r="AW479" i="3" s="1"/>
  <c r="BC479" i="3" s="1"/>
  <c r="G479" i="3"/>
  <c r="AK477" i="3"/>
  <c r="AJ477" i="3"/>
  <c r="AH477" i="3"/>
  <c r="AG477" i="3"/>
  <c r="AF477" i="3"/>
  <c r="AC477" i="3"/>
  <c r="AB477" i="3"/>
  <c r="Z477" i="3"/>
  <c r="K477" i="3"/>
  <c r="J477" i="3"/>
  <c r="H477" i="3"/>
  <c r="BD477" i="3" s="1"/>
  <c r="G477" i="3"/>
  <c r="BJ475" i="3"/>
  <c r="BH475" i="3"/>
  <c r="AO475" i="3"/>
  <c r="AW475" i="3" s="1"/>
  <c r="AK475" i="3"/>
  <c r="AJ475" i="3"/>
  <c r="AH475" i="3"/>
  <c r="AG475" i="3"/>
  <c r="AF475" i="3"/>
  <c r="AD475" i="3"/>
  <c r="AC475" i="3"/>
  <c r="AB475" i="3"/>
  <c r="Z475" i="3"/>
  <c r="L475" i="3"/>
  <c r="BF475" i="3" s="1"/>
  <c r="K475" i="3"/>
  <c r="J475" i="3"/>
  <c r="I475" i="3"/>
  <c r="AL475" i="3" s="1"/>
  <c r="H475" i="3"/>
  <c r="BD475" i="3" s="1"/>
  <c r="G475" i="3"/>
  <c r="BD473" i="3"/>
  <c r="AK473" i="3"/>
  <c r="AJ473" i="3"/>
  <c r="AH473" i="3"/>
  <c r="AG473" i="3"/>
  <c r="AF473" i="3"/>
  <c r="AC473" i="3"/>
  <c r="AB473" i="3"/>
  <c r="Z473" i="3"/>
  <c r="K473" i="3"/>
  <c r="J473" i="3"/>
  <c r="H473" i="3"/>
  <c r="AP473" i="3" s="1"/>
  <c r="G473" i="3"/>
  <c r="AK467" i="3"/>
  <c r="AJ467" i="3"/>
  <c r="AH467" i="3"/>
  <c r="AG467" i="3"/>
  <c r="AF467" i="3"/>
  <c r="AC467" i="3"/>
  <c r="AB467" i="3"/>
  <c r="Z467" i="3"/>
  <c r="K467" i="3"/>
  <c r="J467" i="3"/>
  <c r="H467" i="3"/>
  <c r="BD467" i="3" s="1"/>
  <c r="G467" i="3"/>
  <c r="AK461" i="3"/>
  <c r="AJ461" i="3"/>
  <c r="AH461" i="3"/>
  <c r="AG461" i="3"/>
  <c r="AF461" i="3"/>
  <c r="AC461" i="3"/>
  <c r="AB461" i="3"/>
  <c r="Z461" i="3"/>
  <c r="K461" i="3"/>
  <c r="J461" i="3"/>
  <c r="H461" i="3"/>
  <c r="AP461" i="3" s="1"/>
  <c r="G461" i="3"/>
  <c r="AP454" i="3"/>
  <c r="AK454" i="3"/>
  <c r="AJ454" i="3"/>
  <c r="AH454" i="3"/>
  <c r="AG454" i="3"/>
  <c r="AF454" i="3"/>
  <c r="AC454" i="3"/>
  <c r="AB454" i="3"/>
  <c r="Z454" i="3"/>
  <c r="L454" i="3"/>
  <c r="BF454" i="3" s="1"/>
  <c r="K454" i="3"/>
  <c r="J454" i="3"/>
  <c r="H454" i="3"/>
  <c r="G454" i="3"/>
  <c r="AK452" i="3"/>
  <c r="AJ452" i="3"/>
  <c r="AH452" i="3"/>
  <c r="AG452" i="3"/>
  <c r="AF452" i="3"/>
  <c r="AC452" i="3"/>
  <c r="AB452" i="3"/>
  <c r="Z452" i="3"/>
  <c r="K452" i="3"/>
  <c r="J452" i="3"/>
  <c r="L452" i="3" s="1"/>
  <c r="BF452" i="3" s="1"/>
  <c r="H452" i="3"/>
  <c r="BJ452" i="3" s="1"/>
  <c r="G452" i="3"/>
  <c r="AP446" i="3"/>
  <c r="AK446" i="3"/>
  <c r="AJ446" i="3"/>
  <c r="AH446" i="3"/>
  <c r="AG446" i="3"/>
  <c r="AF446" i="3"/>
  <c r="AC446" i="3"/>
  <c r="AB446" i="3"/>
  <c r="Z446" i="3"/>
  <c r="K446" i="3"/>
  <c r="J446" i="3"/>
  <c r="I446" i="3"/>
  <c r="AL446" i="3" s="1"/>
  <c r="H446" i="3"/>
  <c r="BD446" i="3" s="1"/>
  <c r="G446" i="3"/>
  <c r="BJ446" i="3" s="1"/>
  <c r="BJ440" i="3"/>
  <c r="AK440" i="3"/>
  <c r="AJ440" i="3"/>
  <c r="AH440" i="3"/>
  <c r="AG440" i="3"/>
  <c r="AF440" i="3"/>
  <c r="AC440" i="3"/>
  <c r="AB440" i="3"/>
  <c r="Z440" i="3"/>
  <c r="K440" i="3"/>
  <c r="J440" i="3"/>
  <c r="H440" i="3"/>
  <c r="BD440" i="3" s="1"/>
  <c r="G440" i="3"/>
  <c r="BJ434" i="3"/>
  <c r="BD434" i="3"/>
  <c r="AK434" i="3"/>
  <c r="AJ434" i="3"/>
  <c r="AS433" i="3" s="1"/>
  <c r="AH434" i="3"/>
  <c r="AG434" i="3"/>
  <c r="AF434" i="3"/>
  <c r="AC434" i="3"/>
  <c r="AB434" i="3"/>
  <c r="Z434" i="3"/>
  <c r="K434" i="3"/>
  <c r="J434" i="3"/>
  <c r="L434" i="3" s="1"/>
  <c r="I434" i="3"/>
  <c r="H434" i="3"/>
  <c r="AP434" i="3" s="1"/>
  <c r="BI434" i="3" s="1"/>
  <c r="AE434" i="3" s="1"/>
  <c r="G434" i="3"/>
  <c r="AT433" i="3"/>
  <c r="BJ432" i="3"/>
  <c r="Z432" i="3" s="1"/>
  <c r="BI432" i="3"/>
  <c r="BH432" i="3"/>
  <c r="BD432" i="3"/>
  <c r="AX432" i="3"/>
  <c r="BC432" i="3" s="1"/>
  <c r="AW432" i="3"/>
  <c r="AV432" i="3" s="1"/>
  <c r="AP432" i="3"/>
  <c r="AK432" i="3"/>
  <c r="AJ432" i="3"/>
  <c r="AH432" i="3"/>
  <c r="AG432" i="3"/>
  <c r="AF432" i="3"/>
  <c r="AE432" i="3"/>
  <c r="AD432" i="3"/>
  <c r="AC432" i="3"/>
  <c r="AB432" i="3"/>
  <c r="K432" i="3"/>
  <c r="J432" i="3"/>
  <c r="L432" i="3" s="1"/>
  <c r="BF432" i="3" s="1"/>
  <c r="I432" i="3"/>
  <c r="AL432" i="3" s="1"/>
  <c r="H432" i="3"/>
  <c r="AO432" i="3" s="1"/>
  <c r="G432" i="3"/>
  <c r="AO429" i="3"/>
  <c r="AK429" i="3"/>
  <c r="AJ429" i="3"/>
  <c r="AH429" i="3"/>
  <c r="AG429" i="3"/>
  <c r="AF429" i="3"/>
  <c r="AC429" i="3"/>
  <c r="AB429" i="3"/>
  <c r="Z429" i="3"/>
  <c r="L429" i="3"/>
  <c r="BF429" i="3" s="1"/>
  <c r="K429" i="3"/>
  <c r="J429" i="3"/>
  <c r="H429" i="3"/>
  <c r="G429" i="3"/>
  <c r="BJ425" i="3"/>
  <c r="AO425" i="3"/>
  <c r="AK425" i="3"/>
  <c r="AJ425" i="3"/>
  <c r="AH425" i="3"/>
  <c r="AG425" i="3"/>
  <c r="AF425" i="3"/>
  <c r="AC425" i="3"/>
  <c r="AB425" i="3"/>
  <c r="Z425" i="3"/>
  <c r="K425" i="3"/>
  <c r="J425" i="3"/>
  <c r="H425" i="3"/>
  <c r="BD425" i="3" s="1"/>
  <c r="G425" i="3"/>
  <c r="BH425" i="3" s="1"/>
  <c r="AD425" i="3" s="1"/>
  <c r="BJ423" i="3"/>
  <c r="BD423" i="3"/>
  <c r="AK423" i="3"/>
  <c r="AJ423" i="3"/>
  <c r="AH423" i="3"/>
  <c r="AG423" i="3"/>
  <c r="AF423" i="3"/>
  <c r="AC423" i="3"/>
  <c r="AB423" i="3"/>
  <c r="Z423" i="3"/>
  <c r="K423" i="3"/>
  <c r="J423" i="3"/>
  <c r="I423" i="3"/>
  <c r="AL423" i="3" s="1"/>
  <c r="H423" i="3"/>
  <c r="AP423" i="3" s="1"/>
  <c r="BI423" i="3" s="1"/>
  <c r="AE423" i="3" s="1"/>
  <c r="G423" i="3"/>
  <c r="BD421" i="3"/>
  <c r="AW421" i="3"/>
  <c r="AP421" i="3"/>
  <c r="AK421" i="3"/>
  <c r="AJ421" i="3"/>
  <c r="AH421" i="3"/>
  <c r="AG421" i="3"/>
  <c r="AF421" i="3"/>
  <c r="AC421" i="3"/>
  <c r="AB421" i="3"/>
  <c r="Z421" i="3"/>
  <c r="K421" i="3"/>
  <c r="J421" i="3"/>
  <c r="H421" i="3"/>
  <c r="AO421" i="3" s="1"/>
  <c r="G421" i="3"/>
  <c r="BJ418" i="3"/>
  <c r="AK418" i="3"/>
  <c r="AJ418" i="3"/>
  <c r="AH418" i="3"/>
  <c r="AG418" i="3"/>
  <c r="AF418" i="3"/>
  <c r="AC418" i="3"/>
  <c r="AB418" i="3"/>
  <c r="Z418" i="3"/>
  <c r="K418" i="3"/>
  <c r="J418" i="3"/>
  <c r="H418" i="3"/>
  <c r="BD418" i="3" s="1"/>
  <c r="G418" i="3"/>
  <c r="BJ416" i="3"/>
  <c r="BD416" i="3"/>
  <c r="AW416" i="3"/>
  <c r="AO416" i="3"/>
  <c r="AK416" i="3"/>
  <c r="AJ416" i="3"/>
  <c r="AH416" i="3"/>
  <c r="AG416" i="3"/>
  <c r="AF416" i="3"/>
  <c r="AC416" i="3"/>
  <c r="AB416" i="3"/>
  <c r="Z416" i="3"/>
  <c r="K416" i="3"/>
  <c r="J416" i="3"/>
  <c r="L416" i="3" s="1"/>
  <c r="BF416" i="3" s="1"/>
  <c r="H416" i="3"/>
  <c r="AP416" i="3" s="1"/>
  <c r="AX416" i="3" s="1"/>
  <c r="G416" i="3"/>
  <c r="BH416" i="3" s="1"/>
  <c r="AD416" i="3" s="1"/>
  <c r="BD414" i="3"/>
  <c r="AO414" i="3"/>
  <c r="AK414" i="3"/>
  <c r="AJ414" i="3"/>
  <c r="AH414" i="3"/>
  <c r="AG414" i="3"/>
  <c r="AF414" i="3"/>
  <c r="AC414" i="3"/>
  <c r="AB414" i="3"/>
  <c r="Z414" i="3"/>
  <c r="K414" i="3"/>
  <c r="J414" i="3"/>
  <c r="H414" i="3"/>
  <c r="AP414" i="3" s="1"/>
  <c r="G414" i="3"/>
  <c r="AW414" i="3" s="1"/>
  <c r="BJ411" i="3"/>
  <c r="BI411" i="3"/>
  <c r="BH411" i="3"/>
  <c r="AD411" i="3" s="1"/>
  <c r="BD411" i="3"/>
  <c r="AX411" i="3"/>
  <c r="AP411" i="3"/>
  <c r="AK411" i="3"/>
  <c r="AJ411" i="3"/>
  <c r="AH411" i="3"/>
  <c r="AG411" i="3"/>
  <c r="AF411" i="3"/>
  <c r="AE411" i="3"/>
  <c r="AC411" i="3"/>
  <c r="AB411" i="3"/>
  <c r="Z411" i="3"/>
  <c r="K411" i="3"/>
  <c r="J411" i="3"/>
  <c r="H411" i="3"/>
  <c r="AO411" i="3" s="1"/>
  <c r="G411" i="3"/>
  <c r="L411" i="3" s="1"/>
  <c r="BF411" i="3" s="1"/>
  <c r="BJ409" i="3"/>
  <c r="BD409" i="3"/>
  <c r="AK409" i="3"/>
  <c r="AJ409" i="3"/>
  <c r="AH409" i="3"/>
  <c r="AG409" i="3"/>
  <c r="AF409" i="3"/>
  <c r="AC409" i="3"/>
  <c r="AB409" i="3"/>
  <c r="Z409" i="3"/>
  <c r="L409" i="3"/>
  <c r="BF409" i="3" s="1"/>
  <c r="K409" i="3"/>
  <c r="J409" i="3"/>
  <c r="H409" i="3"/>
  <c r="AP409" i="3" s="1"/>
  <c r="BI409" i="3" s="1"/>
  <c r="AE409" i="3" s="1"/>
  <c r="G409" i="3"/>
  <c r="AP407" i="3"/>
  <c r="AO407" i="3"/>
  <c r="AK407" i="3"/>
  <c r="AT406" i="3" s="1"/>
  <c r="AJ407" i="3"/>
  <c r="AH407" i="3"/>
  <c r="AG407" i="3"/>
  <c r="AF407" i="3"/>
  <c r="AC407" i="3"/>
  <c r="AB407" i="3"/>
  <c r="Z407" i="3"/>
  <c r="K407" i="3"/>
  <c r="J407" i="3"/>
  <c r="H407" i="3"/>
  <c r="BD407" i="3" s="1"/>
  <c r="G407" i="3"/>
  <c r="AK405" i="3"/>
  <c r="AJ405" i="3"/>
  <c r="AH405" i="3"/>
  <c r="AG405" i="3"/>
  <c r="AF405" i="3"/>
  <c r="AE405" i="3"/>
  <c r="AD405" i="3"/>
  <c r="AC405" i="3"/>
  <c r="AB405" i="3"/>
  <c r="K405" i="3"/>
  <c r="J405" i="3"/>
  <c r="L405" i="3" s="1"/>
  <c r="BF405" i="3" s="1"/>
  <c r="H405" i="3"/>
  <c r="BJ405" i="3" s="1"/>
  <c r="Z405" i="3" s="1"/>
  <c r="G405" i="3"/>
  <c r="BD402" i="3"/>
  <c r="AK402" i="3"/>
  <c r="AJ402" i="3"/>
  <c r="AS398" i="3" s="1"/>
  <c r="AH402" i="3"/>
  <c r="AG402" i="3"/>
  <c r="AF402" i="3"/>
  <c r="AC402" i="3"/>
  <c r="AB402" i="3"/>
  <c r="Z402" i="3"/>
  <c r="K402" i="3"/>
  <c r="J402" i="3"/>
  <c r="H402" i="3"/>
  <c r="AP402" i="3" s="1"/>
  <c r="G402" i="3"/>
  <c r="BJ399" i="3"/>
  <c r="AK399" i="3"/>
  <c r="AJ399" i="3"/>
  <c r="AH399" i="3"/>
  <c r="AG399" i="3"/>
  <c r="AF399" i="3"/>
  <c r="AC399" i="3"/>
  <c r="AB399" i="3"/>
  <c r="Z399" i="3"/>
  <c r="L399" i="3"/>
  <c r="BF399" i="3" s="1"/>
  <c r="K399" i="3"/>
  <c r="J399" i="3"/>
  <c r="H399" i="3"/>
  <c r="BD399" i="3" s="1"/>
  <c r="G399" i="3"/>
  <c r="AO397" i="3"/>
  <c r="AK397" i="3"/>
  <c r="AJ397" i="3"/>
  <c r="AH397" i="3"/>
  <c r="AG397" i="3"/>
  <c r="AF397" i="3"/>
  <c r="AE397" i="3"/>
  <c r="AD397" i="3"/>
  <c r="AC397" i="3"/>
  <c r="AB397" i="3"/>
  <c r="K397" i="3"/>
  <c r="J397" i="3"/>
  <c r="H397" i="3"/>
  <c r="G397" i="3"/>
  <c r="BH394" i="3"/>
  <c r="AD394" i="3" s="1"/>
  <c r="BD394" i="3"/>
  <c r="AP394" i="3"/>
  <c r="AK394" i="3"/>
  <c r="AJ394" i="3"/>
  <c r="AH394" i="3"/>
  <c r="AG394" i="3"/>
  <c r="AF394" i="3"/>
  <c r="AC394" i="3"/>
  <c r="AB394" i="3"/>
  <c r="Z394" i="3"/>
  <c r="K394" i="3"/>
  <c r="J394" i="3"/>
  <c r="I394" i="3"/>
  <c r="AL394" i="3" s="1"/>
  <c r="H394" i="3"/>
  <c r="AO394" i="3" s="1"/>
  <c r="G394" i="3"/>
  <c r="AX394" i="3" s="1"/>
  <c r="BD392" i="3"/>
  <c r="AX392" i="3"/>
  <c r="AP392" i="3"/>
  <c r="BI392" i="3" s="1"/>
  <c r="AE392" i="3" s="1"/>
  <c r="AK392" i="3"/>
  <c r="AJ392" i="3"/>
  <c r="AH392" i="3"/>
  <c r="AG392" i="3"/>
  <c r="AF392" i="3"/>
  <c r="AC392" i="3"/>
  <c r="AB392" i="3"/>
  <c r="Z392" i="3"/>
  <c r="K392" i="3"/>
  <c r="J392" i="3"/>
  <c r="L392" i="3" s="1"/>
  <c r="BF392" i="3" s="1"/>
  <c r="I392" i="3"/>
  <c r="AL392" i="3" s="1"/>
  <c r="H392" i="3"/>
  <c r="AO392" i="3" s="1"/>
  <c r="AW392" i="3" s="1"/>
  <c r="G392" i="3"/>
  <c r="AK390" i="3"/>
  <c r="AJ390" i="3"/>
  <c r="AH390" i="3"/>
  <c r="AG390" i="3"/>
  <c r="AF390" i="3"/>
  <c r="AC390" i="3"/>
  <c r="AB390" i="3"/>
  <c r="Z390" i="3"/>
  <c r="L390" i="3"/>
  <c r="BF390" i="3" s="1"/>
  <c r="K390" i="3"/>
  <c r="J390" i="3"/>
  <c r="H390" i="3"/>
  <c r="AO390" i="3" s="1"/>
  <c r="G390" i="3"/>
  <c r="AO388" i="3"/>
  <c r="AK388" i="3"/>
  <c r="AJ388" i="3"/>
  <c r="AH388" i="3"/>
  <c r="AG388" i="3"/>
  <c r="AF388" i="3"/>
  <c r="AC388" i="3"/>
  <c r="AB388" i="3"/>
  <c r="Z388" i="3"/>
  <c r="K388" i="3"/>
  <c r="J388" i="3"/>
  <c r="H388" i="3"/>
  <c r="G388" i="3"/>
  <c r="BD386" i="3"/>
  <c r="AP386" i="3"/>
  <c r="AL386" i="3"/>
  <c r="AK386" i="3"/>
  <c r="AJ386" i="3"/>
  <c r="AH386" i="3"/>
  <c r="AG386" i="3"/>
  <c r="AF386" i="3"/>
  <c r="AC386" i="3"/>
  <c r="AB386" i="3"/>
  <c r="Z386" i="3"/>
  <c r="K386" i="3"/>
  <c r="J386" i="3"/>
  <c r="I386" i="3"/>
  <c r="H386" i="3"/>
  <c r="AO386" i="3" s="1"/>
  <c r="G386" i="3"/>
  <c r="BH383" i="3"/>
  <c r="AD383" i="3" s="1"/>
  <c r="BD383" i="3"/>
  <c r="AX383" i="3"/>
  <c r="AP383" i="3"/>
  <c r="BI383" i="3" s="1"/>
  <c r="AE383" i="3" s="1"/>
  <c r="AK383" i="3"/>
  <c r="AJ383" i="3"/>
  <c r="AH383" i="3"/>
  <c r="AG383" i="3"/>
  <c r="AF383" i="3"/>
  <c r="AC383" i="3"/>
  <c r="AB383" i="3"/>
  <c r="Z383" i="3"/>
  <c r="L383" i="3"/>
  <c r="BF383" i="3" s="1"/>
  <c r="K383" i="3"/>
  <c r="J383" i="3"/>
  <c r="I383" i="3"/>
  <c r="AL383" i="3" s="1"/>
  <c r="H383" i="3"/>
  <c r="AO383" i="3" s="1"/>
  <c r="AW383" i="3" s="1"/>
  <c r="G383" i="3"/>
  <c r="AK380" i="3"/>
  <c r="AJ380" i="3"/>
  <c r="AH380" i="3"/>
  <c r="AG380" i="3"/>
  <c r="AF380" i="3"/>
  <c r="AC380" i="3"/>
  <c r="AB380" i="3"/>
  <c r="Z380" i="3"/>
  <c r="L380" i="3"/>
  <c r="BF380" i="3" s="1"/>
  <c r="K380" i="3"/>
  <c r="J380" i="3"/>
  <c r="H380" i="3"/>
  <c r="AO380" i="3" s="1"/>
  <c r="G380" i="3"/>
  <c r="AW377" i="3"/>
  <c r="AO377" i="3"/>
  <c r="AK377" i="3"/>
  <c r="AJ377" i="3"/>
  <c r="AH377" i="3"/>
  <c r="AG377" i="3"/>
  <c r="AF377" i="3"/>
  <c r="AC377" i="3"/>
  <c r="AB377" i="3"/>
  <c r="Z377" i="3"/>
  <c r="K377" i="3"/>
  <c r="J377" i="3"/>
  <c r="H377" i="3"/>
  <c r="G377" i="3"/>
  <c r="BH374" i="3"/>
  <c r="AD374" i="3" s="1"/>
  <c r="BD374" i="3"/>
  <c r="AP374" i="3"/>
  <c r="AK374" i="3"/>
  <c r="AJ374" i="3"/>
  <c r="AH374" i="3"/>
  <c r="AG374" i="3"/>
  <c r="AF374" i="3"/>
  <c r="AC374" i="3"/>
  <c r="AB374" i="3"/>
  <c r="Z374" i="3"/>
  <c r="K374" i="3"/>
  <c r="J374" i="3"/>
  <c r="H374" i="3"/>
  <c r="AO374" i="3" s="1"/>
  <c r="G374" i="3"/>
  <c r="BD372" i="3"/>
  <c r="AX372" i="3"/>
  <c r="AP372" i="3"/>
  <c r="BI372" i="3" s="1"/>
  <c r="AE372" i="3" s="1"/>
  <c r="AK372" i="3"/>
  <c r="AJ372" i="3"/>
  <c r="AH372" i="3"/>
  <c r="AG372" i="3"/>
  <c r="AF372" i="3"/>
  <c r="AC372" i="3"/>
  <c r="AB372" i="3"/>
  <c r="Z372" i="3"/>
  <c r="K372" i="3"/>
  <c r="J372" i="3"/>
  <c r="L372" i="3" s="1"/>
  <c r="BF372" i="3" s="1"/>
  <c r="I372" i="3"/>
  <c r="AL372" i="3" s="1"/>
  <c r="H372" i="3"/>
  <c r="AO372" i="3" s="1"/>
  <c r="AW372" i="3" s="1"/>
  <c r="G372" i="3"/>
  <c r="BF369" i="3"/>
  <c r="AO369" i="3"/>
  <c r="AK369" i="3"/>
  <c r="AT347" i="3" s="1"/>
  <c r="AJ369" i="3"/>
  <c r="AH369" i="3"/>
  <c r="AG369" i="3"/>
  <c r="AF369" i="3"/>
  <c r="AC369" i="3"/>
  <c r="AB369" i="3"/>
  <c r="Z369" i="3"/>
  <c r="L369" i="3"/>
  <c r="K369" i="3"/>
  <c r="J369" i="3"/>
  <c r="H369" i="3"/>
  <c r="G369" i="3"/>
  <c r="AO366" i="3"/>
  <c r="AK366" i="3"/>
  <c r="AJ366" i="3"/>
  <c r="AH366" i="3"/>
  <c r="AG366" i="3"/>
  <c r="AF366" i="3"/>
  <c r="AC366" i="3"/>
  <c r="AB366" i="3"/>
  <c r="Z366" i="3"/>
  <c r="K366" i="3"/>
  <c r="J366" i="3"/>
  <c r="H366" i="3"/>
  <c r="G366" i="3"/>
  <c r="AW366" i="3" s="1"/>
  <c r="BD363" i="3"/>
  <c r="AP363" i="3"/>
  <c r="AK363" i="3"/>
  <c r="AJ363" i="3"/>
  <c r="AH363" i="3"/>
  <c r="AG363" i="3"/>
  <c r="AF363" i="3"/>
  <c r="AC363" i="3"/>
  <c r="AB363" i="3"/>
  <c r="Z363" i="3"/>
  <c r="K363" i="3"/>
  <c r="J363" i="3"/>
  <c r="H363" i="3"/>
  <c r="AO363" i="3" s="1"/>
  <c r="G363" i="3"/>
  <c r="BJ360" i="3"/>
  <c r="BH360" i="3"/>
  <c r="AD360" i="3" s="1"/>
  <c r="BD360" i="3"/>
  <c r="AX360" i="3"/>
  <c r="AP360" i="3"/>
  <c r="BI360" i="3" s="1"/>
  <c r="AE360" i="3" s="1"/>
  <c r="AK360" i="3"/>
  <c r="AJ360" i="3"/>
  <c r="AH360" i="3"/>
  <c r="AG360" i="3"/>
  <c r="AF360" i="3"/>
  <c r="AC360" i="3"/>
  <c r="AB360" i="3"/>
  <c r="Z360" i="3"/>
  <c r="K360" i="3"/>
  <c r="J360" i="3"/>
  <c r="L360" i="3" s="1"/>
  <c r="BF360" i="3" s="1"/>
  <c r="I360" i="3"/>
  <c r="AL360" i="3" s="1"/>
  <c r="H360" i="3"/>
  <c r="AO360" i="3" s="1"/>
  <c r="AW360" i="3" s="1"/>
  <c r="G360" i="3"/>
  <c r="AO357" i="3"/>
  <c r="AK357" i="3"/>
  <c r="AJ357" i="3"/>
  <c r="AH357" i="3"/>
  <c r="AG357" i="3"/>
  <c r="AF357" i="3"/>
  <c r="AC357" i="3"/>
  <c r="AB357" i="3"/>
  <c r="Z357" i="3"/>
  <c r="L357" i="3"/>
  <c r="BF357" i="3" s="1"/>
  <c r="K357" i="3"/>
  <c r="J357" i="3"/>
  <c r="H357" i="3"/>
  <c r="G357" i="3"/>
  <c r="BJ354" i="3"/>
  <c r="AW354" i="3"/>
  <c r="AO354" i="3"/>
  <c r="AK354" i="3"/>
  <c r="AJ354" i="3"/>
  <c r="AH354" i="3"/>
  <c r="AG354" i="3"/>
  <c r="AF354" i="3"/>
  <c r="AC354" i="3"/>
  <c r="AB354" i="3"/>
  <c r="Z354" i="3"/>
  <c r="K354" i="3"/>
  <c r="J354" i="3"/>
  <c r="H354" i="3"/>
  <c r="G354" i="3"/>
  <c r="BD351" i="3"/>
  <c r="AP351" i="3"/>
  <c r="AK351" i="3"/>
  <c r="AJ351" i="3"/>
  <c r="AH351" i="3"/>
  <c r="AG351" i="3"/>
  <c r="AF351" i="3"/>
  <c r="AC351" i="3"/>
  <c r="AB351" i="3"/>
  <c r="Z351" i="3"/>
  <c r="K351" i="3"/>
  <c r="J351" i="3"/>
  <c r="H351" i="3"/>
  <c r="AO351" i="3" s="1"/>
  <c r="G351" i="3"/>
  <c r="BJ348" i="3"/>
  <c r="BD348" i="3"/>
  <c r="AP348" i="3"/>
  <c r="BI348" i="3" s="1"/>
  <c r="AE348" i="3" s="1"/>
  <c r="AK348" i="3"/>
  <c r="AJ348" i="3"/>
  <c r="AS347" i="3" s="1"/>
  <c r="AH348" i="3"/>
  <c r="AG348" i="3"/>
  <c r="AF348" i="3"/>
  <c r="AC348" i="3"/>
  <c r="AB348" i="3"/>
  <c r="Z348" i="3"/>
  <c r="L348" i="3"/>
  <c r="BF348" i="3" s="1"/>
  <c r="K348" i="3"/>
  <c r="J348" i="3"/>
  <c r="I348" i="3"/>
  <c r="H348" i="3"/>
  <c r="AO348" i="3" s="1"/>
  <c r="BH348" i="3" s="1"/>
  <c r="AD348" i="3" s="1"/>
  <c r="G348" i="3"/>
  <c r="BI346" i="3"/>
  <c r="AE346" i="3" s="1"/>
  <c r="BD346" i="3"/>
  <c r="AK346" i="3"/>
  <c r="AJ346" i="3"/>
  <c r="AH346" i="3"/>
  <c r="AG346" i="3"/>
  <c r="AF346" i="3"/>
  <c r="AC346" i="3"/>
  <c r="AB346" i="3"/>
  <c r="Z346" i="3"/>
  <c r="K346" i="3"/>
  <c r="J346" i="3"/>
  <c r="L346" i="3" s="1"/>
  <c r="BF346" i="3" s="1"/>
  <c r="H346" i="3"/>
  <c r="AP346" i="3" s="1"/>
  <c r="AX346" i="3" s="1"/>
  <c r="G346" i="3"/>
  <c r="I346" i="3" s="1"/>
  <c r="AL346" i="3" s="1"/>
  <c r="AP345" i="3"/>
  <c r="AK345" i="3"/>
  <c r="AJ345" i="3"/>
  <c r="AH345" i="3"/>
  <c r="AG345" i="3"/>
  <c r="AF345" i="3"/>
  <c r="AE345" i="3"/>
  <c r="AD345" i="3"/>
  <c r="AC345" i="3"/>
  <c r="AB345" i="3"/>
  <c r="K345" i="3"/>
  <c r="J345" i="3"/>
  <c r="H345" i="3"/>
  <c r="BD345" i="3" s="1"/>
  <c r="G345" i="3"/>
  <c r="BJ341" i="3"/>
  <c r="AX341" i="3"/>
  <c r="AP341" i="3"/>
  <c r="AK341" i="3"/>
  <c r="AJ341" i="3"/>
  <c r="AH341" i="3"/>
  <c r="AG341" i="3"/>
  <c r="AF341" i="3"/>
  <c r="AC341" i="3"/>
  <c r="AB341" i="3"/>
  <c r="Z341" i="3"/>
  <c r="L341" i="3"/>
  <c r="BF341" i="3" s="1"/>
  <c r="K341" i="3"/>
  <c r="J341" i="3"/>
  <c r="I341" i="3"/>
  <c r="AL341" i="3" s="1"/>
  <c r="H341" i="3"/>
  <c r="AO341" i="3" s="1"/>
  <c r="G341" i="3"/>
  <c r="BI341" i="3" s="1"/>
  <c r="AE341" i="3" s="1"/>
  <c r="BJ337" i="3"/>
  <c r="BD337" i="3"/>
  <c r="AK337" i="3"/>
  <c r="AJ337" i="3"/>
  <c r="AH337" i="3"/>
  <c r="AG337" i="3"/>
  <c r="AF337" i="3"/>
  <c r="AC337" i="3"/>
  <c r="AB337" i="3"/>
  <c r="Z337" i="3"/>
  <c r="K337" i="3"/>
  <c r="J337" i="3"/>
  <c r="H337" i="3"/>
  <c r="AP337" i="3" s="1"/>
  <c r="BI337" i="3" s="1"/>
  <c r="AE337" i="3" s="1"/>
  <c r="G337" i="3"/>
  <c r="AX337" i="3" s="1"/>
  <c r="BD334" i="3"/>
  <c r="AX334" i="3"/>
  <c r="AP334" i="3"/>
  <c r="AK334" i="3"/>
  <c r="AJ334" i="3"/>
  <c r="AH334" i="3"/>
  <c r="AG334" i="3"/>
  <c r="AF334" i="3"/>
  <c r="AC334" i="3"/>
  <c r="AB334" i="3"/>
  <c r="Z334" i="3"/>
  <c r="K334" i="3"/>
  <c r="J334" i="3"/>
  <c r="H334" i="3"/>
  <c r="AO334" i="3" s="1"/>
  <c r="G334" i="3"/>
  <c r="BD332" i="3"/>
  <c r="AK332" i="3"/>
  <c r="AJ332" i="3"/>
  <c r="AH332" i="3"/>
  <c r="AG332" i="3"/>
  <c r="AF332" i="3"/>
  <c r="AC332" i="3"/>
  <c r="AB332" i="3"/>
  <c r="Z332" i="3"/>
  <c r="K332" i="3"/>
  <c r="J332" i="3"/>
  <c r="I332" i="3"/>
  <c r="AL332" i="3" s="1"/>
  <c r="H332" i="3"/>
  <c r="AP332" i="3" s="1"/>
  <c r="AX332" i="3" s="1"/>
  <c r="G332" i="3"/>
  <c r="AP328" i="3"/>
  <c r="AO328" i="3"/>
  <c r="AK328" i="3"/>
  <c r="AJ328" i="3"/>
  <c r="AH328" i="3"/>
  <c r="AG328" i="3"/>
  <c r="AF328" i="3"/>
  <c r="AC328" i="3"/>
  <c r="AB328" i="3"/>
  <c r="Z328" i="3"/>
  <c r="K328" i="3"/>
  <c r="J328" i="3"/>
  <c r="H328" i="3"/>
  <c r="BD328" i="3" s="1"/>
  <c r="G328" i="3"/>
  <c r="BJ324" i="3"/>
  <c r="BI324" i="3"/>
  <c r="AO324" i="3"/>
  <c r="AK324" i="3"/>
  <c r="AJ324" i="3"/>
  <c r="AH324" i="3"/>
  <c r="AG324" i="3"/>
  <c r="AF324" i="3"/>
  <c r="AE324" i="3"/>
  <c r="AC324" i="3"/>
  <c r="AB324" i="3"/>
  <c r="Z324" i="3"/>
  <c r="K324" i="3"/>
  <c r="J324" i="3"/>
  <c r="H324" i="3"/>
  <c r="AP324" i="3" s="1"/>
  <c r="G324" i="3"/>
  <c r="AX324" i="3" s="1"/>
  <c r="BI322" i="3"/>
  <c r="AE322" i="3" s="1"/>
  <c r="BD322" i="3"/>
  <c r="AP322" i="3"/>
  <c r="AK322" i="3"/>
  <c r="AJ322" i="3"/>
  <c r="AH322" i="3"/>
  <c r="AG322" i="3"/>
  <c r="AF322" i="3"/>
  <c r="AC322" i="3"/>
  <c r="AB322" i="3"/>
  <c r="Z322" i="3"/>
  <c r="K322" i="3"/>
  <c r="J322" i="3"/>
  <c r="H322" i="3"/>
  <c r="AO322" i="3" s="1"/>
  <c r="G322" i="3"/>
  <c r="I322" i="3" s="1"/>
  <c r="AL322" i="3" s="1"/>
  <c r="AP320" i="3"/>
  <c r="AK320" i="3"/>
  <c r="AJ320" i="3"/>
  <c r="AH320" i="3"/>
  <c r="AG320" i="3"/>
  <c r="AF320" i="3"/>
  <c r="AC320" i="3"/>
  <c r="AB320" i="3"/>
  <c r="Z320" i="3"/>
  <c r="K320" i="3"/>
  <c r="J320" i="3"/>
  <c r="L320" i="3" s="1"/>
  <c r="BF320" i="3" s="1"/>
  <c r="H320" i="3"/>
  <c r="G320" i="3"/>
  <c r="AO317" i="3"/>
  <c r="AK317" i="3"/>
  <c r="AJ317" i="3"/>
  <c r="AH317" i="3"/>
  <c r="AG317" i="3"/>
  <c r="AF317" i="3"/>
  <c r="AC317" i="3"/>
  <c r="AB317" i="3"/>
  <c r="Z317" i="3"/>
  <c r="K317" i="3"/>
  <c r="J317" i="3"/>
  <c r="H317" i="3"/>
  <c r="BD317" i="3" s="1"/>
  <c r="G317" i="3"/>
  <c r="BJ314" i="3"/>
  <c r="AK314" i="3"/>
  <c r="AJ314" i="3"/>
  <c r="AH314" i="3"/>
  <c r="AG314" i="3"/>
  <c r="AF314" i="3"/>
  <c r="AC314" i="3"/>
  <c r="AB314" i="3"/>
  <c r="Z314" i="3"/>
  <c r="K314" i="3"/>
  <c r="J314" i="3"/>
  <c r="H314" i="3"/>
  <c r="AP314" i="3" s="1"/>
  <c r="BI314" i="3" s="1"/>
  <c r="AE314" i="3" s="1"/>
  <c r="G314" i="3"/>
  <c r="BJ311" i="3"/>
  <c r="BI311" i="3"/>
  <c r="AE311" i="3" s="1"/>
  <c r="BH311" i="3"/>
  <c r="AD311" i="3" s="1"/>
  <c r="BF311" i="3"/>
  <c r="BD311" i="3"/>
  <c r="AP311" i="3"/>
  <c r="AL311" i="3"/>
  <c r="AK311" i="3"/>
  <c r="AJ311" i="3"/>
  <c r="AH311" i="3"/>
  <c r="AG311" i="3"/>
  <c r="AF311" i="3"/>
  <c r="AC311" i="3"/>
  <c r="AB311" i="3"/>
  <c r="Z311" i="3"/>
  <c r="L311" i="3"/>
  <c r="K311" i="3"/>
  <c r="J311" i="3"/>
  <c r="H311" i="3"/>
  <c r="AO311" i="3" s="1"/>
  <c r="AW311" i="3" s="1"/>
  <c r="G311" i="3"/>
  <c r="I311" i="3" s="1"/>
  <c r="AO307" i="3"/>
  <c r="AK307" i="3"/>
  <c r="AJ307" i="3"/>
  <c r="AH307" i="3"/>
  <c r="AG307" i="3"/>
  <c r="AF307" i="3"/>
  <c r="AC307" i="3"/>
  <c r="AB307" i="3"/>
  <c r="Z307" i="3"/>
  <c r="K307" i="3"/>
  <c r="J307" i="3"/>
  <c r="H307" i="3"/>
  <c r="AP307" i="3" s="1"/>
  <c r="G307" i="3"/>
  <c r="BD303" i="3"/>
  <c r="AP303" i="3"/>
  <c r="AK303" i="3"/>
  <c r="AJ303" i="3"/>
  <c r="AH303" i="3"/>
  <c r="AG303" i="3"/>
  <c r="AF303" i="3"/>
  <c r="AC303" i="3"/>
  <c r="AB303" i="3"/>
  <c r="Z303" i="3"/>
  <c r="K303" i="3"/>
  <c r="J303" i="3"/>
  <c r="H303" i="3"/>
  <c r="AO303" i="3" s="1"/>
  <c r="G303" i="3"/>
  <c r="AK299" i="3"/>
  <c r="AJ299" i="3"/>
  <c r="AH299" i="3"/>
  <c r="AG299" i="3"/>
  <c r="AF299" i="3"/>
  <c r="AC299" i="3"/>
  <c r="AB299" i="3"/>
  <c r="Z299" i="3"/>
  <c r="K299" i="3"/>
  <c r="J299" i="3"/>
  <c r="H299" i="3"/>
  <c r="AP299" i="3" s="1"/>
  <c r="BI299" i="3" s="1"/>
  <c r="AE299" i="3" s="1"/>
  <c r="G299" i="3"/>
  <c r="BD295" i="3"/>
  <c r="AP295" i="3"/>
  <c r="AK295" i="3"/>
  <c r="AJ295" i="3"/>
  <c r="AH295" i="3"/>
  <c r="AG295" i="3"/>
  <c r="AF295" i="3"/>
  <c r="AC295" i="3"/>
  <c r="AB295" i="3"/>
  <c r="Z295" i="3"/>
  <c r="K295" i="3"/>
  <c r="J295" i="3"/>
  <c r="H295" i="3"/>
  <c r="AO295" i="3" s="1"/>
  <c r="G295" i="3"/>
  <c r="I295" i="3" s="1"/>
  <c r="AL295" i="3" s="1"/>
  <c r="AO291" i="3"/>
  <c r="AK291" i="3"/>
  <c r="AJ291" i="3"/>
  <c r="AH291" i="3"/>
  <c r="AG291" i="3"/>
  <c r="AF291" i="3"/>
  <c r="AC291" i="3"/>
  <c r="AB291" i="3"/>
  <c r="Z291" i="3"/>
  <c r="K291" i="3"/>
  <c r="J291" i="3"/>
  <c r="H291" i="3"/>
  <c r="AP291" i="3" s="1"/>
  <c r="G291" i="3"/>
  <c r="BJ291" i="3" s="1"/>
  <c r="BJ287" i="3"/>
  <c r="BD287" i="3"/>
  <c r="AX287" i="3"/>
  <c r="AP287" i="3"/>
  <c r="AO287" i="3"/>
  <c r="AK287" i="3"/>
  <c r="AJ287" i="3"/>
  <c r="AH287" i="3"/>
  <c r="AG287" i="3"/>
  <c r="AF287" i="3"/>
  <c r="AC287" i="3"/>
  <c r="AB287" i="3"/>
  <c r="Z287" i="3"/>
  <c r="L287" i="3"/>
  <c r="BF287" i="3" s="1"/>
  <c r="K287" i="3"/>
  <c r="J287" i="3"/>
  <c r="I287" i="3"/>
  <c r="AL287" i="3" s="1"/>
  <c r="H287" i="3"/>
  <c r="G287" i="3"/>
  <c r="AK281" i="3"/>
  <c r="AJ281" i="3"/>
  <c r="AS240" i="3" s="1"/>
  <c r="AH281" i="3"/>
  <c r="AG281" i="3"/>
  <c r="AF281" i="3"/>
  <c r="AC281" i="3"/>
  <c r="AB281" i="3"/>
  <c r="Z281" i="3"/>
  <c r="K281" i="3"/>
  <c r="J281" i="3"/>
  <c r="H281" i="3"/>
  <c r="G281" i="3"/>
  <c r="BD277" i="3"/>
  <c r="AP277" i="3"/>
  <c r="AK277" i="3"/>
  <c r="AJ277" i="3"/>
  <c r="AH277" i="3"/>
  <c r="AG277" i="3"/>
  <c r="AF277" i="3"/>
  <c r="AC277" i="3"/>
  <c r="AB277" i="3"/>
  <c r="Z277" i="3"/>
  <c r="K277" i="3"/>
  <c r="J277" i="3"/>
  <c r="H277" i="3"/>
  <c r="AO277" i="3" s="1"/>
  <c r="G277" i="3"/>
  <c r="I277" i="3" s="1"/>
  <c r="AL277" i="3" s="1"/>
  <c r="AO273" i="3"/>
  <c r="AK273" i="3"/>
  <c r="AJ273" i="3"/>
  <c r="AH273" i="3"/>
  <c r="AG273" i="3"/>
  <c r="AF273" i="3"/>
  <c r="AC273" i="3"/>
  <c r="AB273" i="3"/>
  <c r="Z273" i="3"/>
  <c r="L273" i="3"/>
  <c r="BF273" i="3" s="1"/>
  <c r="K273" i="3"/>
  <c r="J273" i="3"/>
  <c r="H273" i="3"/>
  <c r="AP273" i="3" s="1"/>
  <c r="G273" i="3"/>
  <c r="AK269" i="3"/>
  <c r="AJ269" i="3"/>
  <c r="AH269" i="3"/>
  <c r="AG269" i="3"/>
  <c r="AF269" i="3"/>
  <c r="AC269" i="3"/>
  <c r="AB269" i="3"/>
  <c r="Z269" i="3"/>
  <c r="L269" i="3"/>
  <c r="BF269" i="3" s="1"/>
  <c r="K269" i="3"/>
  <c r="J269" i="3"/>
  <c r="H269" i="3"/>
  <c r="G269" i="3"/>
  <c r="BJ262" i="3"/>
  <c r="BD262" i="3"/>
  <c r="AO262" i="3"/>
  <c r="AK262" i="3"/>
  <c r="AJ262" i="3"/>
  <c r="AH262" i="3"/>
  <c r="AG262" i="3"/>
  <c r="AF262" i="3"/>
  <c r="AE262" i="3"/>
  <c r="AC262" i="3"/>
  <c r="AB262" i="3"/>
  <c r="Z262" i="3"/>
  <c r="K262" i="3"/>
  <c r="J262" i="3"/>
  <c r="H262" i="3"/>
  <c r="AP262" i="3" s="1"/>
  <c r="G262" i="3"/>
  <c r="BI262" i="3" s="1"/>
  <c r="BD258" i="3"/>
  <c r="AW258" i="3"/>
  <c r="AP258" i="3"/>
  <c r="AK258" i="3"/>
  <c r="AJ258" i="3"/>
  <c r="AH258" i="3"/>
  <c r="AG258" i="3"/>
  <c r="AF258" i="3"/>
  <c r="AC258" i="3"/>
  <c r="AB258" i="3"/>
  <c r="Z258" i="3"/>
  <c r="K258" i="3"/>
  <c r="J258" i="3"/>
  <c r="H258" i="3"/>
  <c r="AO258" i="3" s="1"/>
  <c r="G258" i="3"/>
  <c r="BJ254" i="3"/>
  <c r="AK254" i="3"/>
  <c r="AJ254" i="3"/>
  <c r="AH254" i="3"/>
  <c r="AG254" i="3"/>
  <c r="AF254" i="3"/>
  <c r="AC254" i="3"/>
  <c r="AB254" i="3"/>
  <c r="Z254" i="3"/>
  <c r="K254" i="3"/>
  <c r="J254" i="3"/>
  <c r="I254" i="3"/>
  <c r="AL254" i="3" s="1"/>
  <c r="H254" i="3"/>
  <c r="AP254" i="3" s="1"/>
  <c r="AX254" i="3" s="1"/>
  <c r="G254" i="3"/>
  <c r="BD249" i="3"/>
  <c r="AW249" i="3"/>
  <c r="AO249" i="3"/>
  <c r="AK249" i="3"/>
  <c r="AJ249" i="3"/>
  <c r="AH249" i="3"/>
  <c r="AG249" i="3"/>
  <c r="AF249" i="3"/>
  <c r="AC249" i="3"/>
  <c r="AB249" i="3"/>
  <c r="Z249" i="3"/>
  <c r="L249" i="3"/>
  <c r="BF249" i="3" s="1"/>
  <c r="K249" i="3"/>
  <c r="J249" i="3"/>
  <c r="H249" i="3"/>
  <c r="AP249" i="3" s="1"/>
  <c r="G249" i="3"/>
  <c r="BJ245" i="3"/>
  <c r="BD245" i="3"/>
  <c r="AK245" i="3"/>
  <c r="AJ245" i="3"/>
  <c r="AH245" i="3"/>
  <c r="AG245" i="3"/>
  <c r="AF245" i="3"/>
  <c r="AC245" i="3"/>
  <c r="AB245" i="3"/>
  <c r="Z245" i="3"/>
  <c r="K245" i="3"/>
  <c r="J245" i="3"/>
  <c r="H245" i="3"/>
  <c r="AP245" i="3" s="1"/>
  <c r="G245" i="3"/>
  <c r="BH241" i="3"/>
  <c r="AD241" i="3" s="1"/>
  <c r="BD241" i="3"/>
  <c r="AW241" i="3"/>
  <c r="AP241" i="3"/>
  <c r="AK241" i="3"/>
  <c r="AJ241" i="3"/>
  <c r="AH241" i="3"/>
  <c r="AG241" i="3"/>
  <c r="AF241" i="3"/>
  <c r="AC241" i="3"/>
  <c r="AB241" i="3"/>
  <c r="Z241" i="3"/>
  <c r="K241" i="3"/>
  <c r="J241" i="3"/>
  <c r="H241" i="3"/>
  <c r="AO241" i="3" s="1"/>
  <c r="G241" i="3"/>
  <c r="BJ241" i="3" s="1"/>
  <c r="BF239" i="3"/>
  <c r="AK239" i="3"/>
  <c r="AJ239" i="3"/>
  <c r="AS192" i="3" s="1"/>
  <c r="AH239" i="3"/>
  <c r="AG239" i="3"/>
  <c r="AF239" i="3"/>
  <c r="AE239" i="3"/>
  <c r="AD239" i="3"/>
  <c r="AC239" i="3"/>
  <c r="AB239" i="3"/>
  <c r="L239" i="3"/>
  <c r="K239" i="3"/>
  <c r="J239" i="3"/>
  <c r="H239" i="3"/>
  <c r="G239" i="3"/>
  <c r="BF236" i="3"/>
  <c r="AO236" i="3"/>
  <c r="AK236" i="3"/>
  <c r="AJ236" i="3"/>
  <c r="AH236" i="3"/>
  <c r="AG236" i="3"/>
  <c r="AF236" i="3"/>
  <c r="AC236" i="3"/>
  <c r="AB236" i="3"/>
  <c r="Z236" i="3"/>
  <c r="L236" i="3"/>
  <c r="K236" i="3"/>
  <c r="J236" i="3"/>
  <c r="H236" i="3"/>
  <c r="AP236" i="3" s="1"/>
  <c r="AX236" i="3" s="1"/>
  <c r="G236" i="3"/>
  <c r="AP232" i="3"/>
  <c r="AO232" i="3"/>
  <c r="AK232" i="3"/>
  <c r="AJ232" i="3"/>
  <c r="AH232" i="3"/>
  <c r="AG232" i="3"/>
  <c r="AF232" i="3"/>
  <c r="AC232" i="3"/>
  <c r="AB232" i="3"/>
  <c r="Z232" i="3"/>
  <c r="K232" i="3"/>
  <c r="J232" i="3"/>
  <c r="H232" i="3"/>
  <c r="BD232" i="3" s="1"/>
  <c r="G232" i="3"/>
  <c r="BJ229" i="3"/>
  <c r="AP229" i="3"/>
  <c r="AX229" i="3" s="1"/>
  <c r="AK229" i="3"/>
  <c r="AJ229" i="3"/>
  <c r="AH229" i="3"/>
  <c r="AG229" i="3"/>
  <c r="AF229" i="3"/>
  <c r="AC229" i="3"/>
  <c r="AB229" i="3"/>
  <c r="Z229" i="3"/>
  <c r="K229" i="3"/>
  <c r="J229" i="3"/>
  <c r="I229" i="3"/>
  <c r="AL229" i="3" s="1"/>
  <c r="H229" i="3"/>
  <c r="BD229" i="3" s="1"/>
  <c r="G229" i="3"/>
  <c r="BJ226" i="3"/>
  <c r="BI226" i="3"/>
  <c r="BD226" i="3"/>
  <c r="AX226" i="3"/>
  <c r="AK226" i="3"/>
  <c r="AJ226" i="3"/>
  <c r="AH226" i="3"/>
  <c r="AG226" i="3"/>
  <c r="AF226" i="3"/>
  <c r="AE226" i="3"/>
  <c r="AC226" i="3"/>
  <c r="AB226" i="3"/>
  <c r="Z226" i="3"/>
  <c r="L226" i="3"/>
  <c r="BF226" i="3" s="1"/>
  <c r="K226" i="3"/>
  <c r="J226" i="3"/>
  <c r="H226" i="3"/>
  <c r="AP226" i="3" s="1"/>
  <c r="G226" i="3"/>
  <c r="AO223" i="3"/>
  <c r="AK223" i="3"/>
  <c r="AJ223" i="3"/>
  <c r="AH223" i="3"/>
  <c r="AG223" i="3"/>
  <c r="AF223" i="3"/>
  <c r="AC223" i="3"/>
  <c r="AB223" i="3"/>
  <c r="Z223" i="3"/>
  <c r="K223" i="3"/>
  <c r="J223" i="3"/>
  <c r="H223" i="3"/>
  <c r="G223" i="3"/>
  <c r="BJ220" i="3"/>
  <c r="AK220" i="3"/>
  <c r="AJ220" i="3"/>
  <c r="AH220" i="3"/>
  <c r="AG220" i="3"/>
  <c r="AF220" i="3"/>
  <c r="AC220" i="3"/>
  <c r="AB220" i="3"/>
  <c r="Z220" i="3"/>
  <c r="K220" i="3"/>
  <c r="J220" i="3"/>
  <c r="I220" i="3"/>
  <c r="AL220" i="3" s="1"/>
  <c r="H220" i="3"/>
  <c r="BD220" i="3" s="1"/>
  <c r="G220" i="3"/>
  <c r="BJ217" i="3"/>
  <c r="BI217" i="3"/>
  <c r="BD217" i="3"/>
  <c r="AX217" i="3"/>
  <c r="AP217" i="3"/>
  <c r="AK217" i="3"/>
  <c r="AJ217" i="3"/>
  <c r="AH217" i="3"/>
  <c r="AG217" i="3"/>
  <c r="AF217" i="3"/>
  <c r="AE217" i="3"/>
  <c r="AC217" i="3"/>
  <c r="AB217" i="3"/>
  <c r="Z217" i="3"/>
  <c r="L217" i="3"/>
  <c r="BF217" i="3" s="1"/>
  <c r="K217" i="3"/>
  <c r="J217" i="3"/>
  <c r="I217" i="3"/>
  <c r="AL217" i="3" s="1"/>
  <c r="H217" i="3"/>
  <c r="AO217" i="3" s="1"/>
  <c r="AW217" i="3" s="1"/>
  <c r="G217" i="3"/>
  <c r="BH217" i="3" s="1"/>
  <c r="AD217" i="3" s="1"/>
  <c r="BJ214" i="3"/>
  <c r="AO214" i="3"/>
  <c r="AK214" i="3"/>
  <c r="AJ214" i="3"/>
  <c r="AH214" i="3"/>
  <c r="AG214" i="3"/>
  <c r="AF214" i="3"/>
  <c r="AC214" i="3"/>
  <c r="AB214" i="3"/>
  <c r="Z214" i="3"/>
  <c r="K214" i="3"/>
  <c r="J214" i="3"/>
  <c r="H214" i="3"/>
  <c r="AP214" i="3" s="1"/>
  <c r="G214" i="3"/>
  <c r="BJ211" i="3"/>
  <c r="AK211" i="3"/>
  <c r="AJ211" i="3"/>
  <c r="AH211" i="3"/>
  <c r="AG211" i="3"/>
  <c r="AF211" i="3"/>
  <c r="AC211" i="3"/>
  <c r="AB211" i="3"/>
  <c r="Z211" i="3"/>
  <c r="K211" i="3"/>
  <c r="J211" i="3"/>
  <c r="H211" i="3"/>
  <c r="BD211" i="3" s="1"/>
  <c r="G211" i="3"/>
  <c r="BF208" i="3"/>
  <c r="AK208" i="3"/>
  <c r="AJ208" i="3"/>
  <c r="AH208" i="3"/>
  <c r="AG208" i="3"/>
  <c r="AF208" i="3"/>
  <c r="AC208" i="3"/>
  <c r="AB208" i="3"/>
  <c r="Z208" i="3"/>
  <c r="L208" i="3"/>
  <c r="K208" i="3"/>
  <c r="J208" i="3"/>
  <c r="H208" i="3"/>
  <c r="BD208" i="3" s="1"/>
  <c r="G208" i="3"/>
  <c r="BJ205" i="3"/>
  <c r="BD205" i="3"/>
  <c r="AW205" i="3"/>
  <c r="BC205" i="3" s="1"/>
  <c r="AV205" i="3"/>
  <c r="AP205" i="3"/>
  <c r="AK205" i="3"/>
  <c r="AJ205" i="3"/>
  <c r="AH205" i="3"/>
  <c r="AG205" i="3"/>
  <c r="AF205" i="3"/>
  <c r="AC205" i="3"/>
  <c r="AB205" i="3"/>
  <c r="Z205" i="3"/>
  <c r="K205" i="3"/>
  <c r="J205" i="3"/>
  <c r="I205" i="3"/>
  <c r="AL205" i="3" s="1"/>
  <c r="H205" i="3"/>
  <c r="AO205" i="3" s="1"/>
  <c r="G205" i="3"/>
  <c r="AX205" i="3" s="1"/>
  <c r="BD202" i="3"/>
  <c r="AK202" i="3"/>
  <c r="AJ202" i="3"/>
  <c r="AH202" i="3"/>
  <c r="AG202" i="3"/>
  <c r="AF202" i="3"/>
  <c r="AC202" i="3"/>
  <c r="AB202" i="3"/>
  <c r="Z202" i="3"/>
  <c r="K202" i="3"/>
  <c r="J202" i="3"/>
  <c r="H202" i="3"/>
  <c r="AP202" i="3" s="1"/>
  <c r="G202" i="3"/>
  <c r="AK199" i="3"/>
  <c r="AJ199" i="3"/>
  <c r="AH199" i="3"/>
  <c r="AG199" i="3"/>
  <c r="AF199" i="3"/>
  <c r="AC199" i="3"/>
  <c r="AB199" i="3"/>
  <c r="Z199" i="3"/>
  <c r="K199" i="3"/>
  <c r="J199" i="3"/>
  <c r="H199" i="3"/>
  <c r="BD199" i="3" s="1"/>
  <c r="G199" i="3"/>
  <c r="BF196" i="3"/>
  <c r="BD196" i="3"/>
  <c r="AO196" i="3"/>
  <c r="AK196" i="3"/>
  <c r="AJ196" i="3"/>
  <c r="AH196" i="3"/>
  <c r="AG196" i="3"/>
  <c r="AF196" i="3"/>
  <c r="AC196" i="3"/>
  <c r="AB196" i="3"/>
  <c r="Z196" i="3"/>
  <c r="L196" i="3"/>
  <c r="K196" i="3"/>
  <c r="J196" i="3"/>
  <c r="H196" i="3"/>
  <c r="G196" i="3"/>
  <c r="BJ193" i="3"/>
  <c r="BD193" i="3"/>
  <c r="AP193" i="3"/>
  <c r="AK193" i="3"/>
  <c r="AJ193" i="3"/>
  <c r="AH193" i="3"/>
  <c r="AG193" i="3"/>
  <c r="AF193" i="3"/>
  <c r="AC193" i="3"/>
  <c r="AB193" i="3"/>
  <c r="Z193" i="3"/>
  <c r="K193" i="3"/>
  <c r="J193" i="3"/>
  <c r="I193" i="3"/>
  <c r="AL193" i="3" s="1"/>
  <c r="H193" i="3"/>
  <c r="AO193" i="3" s="1"/>
  <c r="AW193" i="3" s="1"/>
  <c r="G193" i="3"/>
  <c r="AX193" i="3" s="1"/>
  <c r="AK191" i="3"/>
  <c r="AJ191" i="3"/>
  <c r="AH191" i="3"/>
  <c r="AG191" i="3"/>
  <c r="AF191" i="3"/>
  <c r="AE191" i="3"/>
  <c r="AD191" i="3"/>
  <c r="AC191" i="3"/>
  <c r="AB191" i="3"/>
  <c r="L191" i="3"/>
  <c r="BF191" i="3" s="1"/>
  <c r="K191" i="3"/>
  <c r="J191" i="3"/>
  <c r="H191" i="3"/>
  <c r="BD191" i="3" s="1"/>
  <c r="G191" i="3"/>
  <c r="AO188" i="3"/>
  <c r="AK188" i="3"/>
  <c r="AJ188" i="3"/>
  <c r="AH188" i="3"/>
  <c r="AG188" i="3"/>
  <c r="AF188" i="3"/>
  <c r="AC188" i="3"/>
  <c r="AB188" i="3"/>
  <c r="Z188" i="3"/>
  <c r="K188" i="3"/>
  <c r="J188" i="3"/>
  <c r="H188" i="3"/>
  <c r="G188" i="3"/>
  <c r="BJ184" i="3"/>
  <c r="AK184" i="3"/>
  <c r="AJ184" i="3"/>
  <c r="AH184" i="3"/>
  <c r="AG184" i="3"/>
  <c r="AF184" i="3"/>
  <c r="AC184" i="3"/>
  <c r="AB184" i="3"/>
  <c r="Z184" i="3"/>
  <c r="K184" i="3"/>
  <c r="J184" i="3"/>
  <c r="H184" i="3"/>
  <c r="AO184" i="3" s="1"/>
  <c r="G184" i="3"/>
  <c r="BH179" i="3"/>
  <c r="AD179" i="3" s="1"/>
  <c r="BD179" i="3"/>
  <c r="AP179" i="3"/>
  <c r="AK179" i="3"/>
  <c r="AJ179" i="3"/>
  <c r="AH179" i="3"/>
  <c r="AG179" i="3"/>
  <c r="AF179" i="3"/>
  <c r="AC179" i="3"/>
  <c r="AB179" i="3"/>
  <c r="Z179" i="3"/>
  <c r="K179" i="3"/>
  <c r="J179" i="3"/>
  <c r="I179" i="3"/>
  <c r="AL179" i="3" s="1"/>
  <c r="H179" i="3"/>
  <c r="AO179" i="3" s="1"/>
  <c r="G179" i="3"/>
  <c r="AK171" i="3"/>
  <c r="AJ171" i="3"/>
  <c r="AS164" i="3" s="1"/>
  <c r="AH171" i="3"/>
  <c r="AG171" i="3"/>
  <c r="AF171" i="3"/>
  <c r="AC171" i="3"/>
  <c r="AB171" i="3"/>
  <c r="Z171" i="3"/>
  <c r="L171" i="3"/>
  <c r="BF171" i="3" s="1"/>
  <c r="K171" i="3"/>
  <c r="J171" i="3"/>
  <c r="H171" i="3"/>
  <c r="BD171" i="3" s="1"/>
  <c r="G171" i="3"/>
  <c r="AO165" i="3"/>
  <c r="AK165" i="3"/>
  <c r="AJ165" i="3"/>
  <c r="AH165" i="3"/>
  <c r="AG165" i="3"/>
  <c r="AF165" i="3"/>
  <c r="AC165" i="3"/>
  <c r="AB165" i="3"/>
  <c r="Z165" i="3"/>
  <c r="K165" i="3"/>
  <c r="J165" i="3"/>
  <c r="H165" i="3"/>
  <c r="G165" i="3"/>
  <c r="L165" i="3" s="1"/>
  <c r="AO157" i="3"/>
  <c r="BH157" i="3" s="1"/>
  <c r="AB157" i="3" s="1"/>
  <c r="AK157" i="3"/>
  <c r="AJ157" i="3"/>
  <c r="AH157" i="3"/>
  <c r="AG157" i="3"/>
  <c r="AF157" i="3"/>
  <c r="AE157" i="3"/>
  <c r="AD157" i="3"/>
  <c r="Z157" i="3"/>
  <c r="K157" i="3"/>
  <c r="J157" i="3"/>
  <c r="H157" i="3"/>
  <c r="BD157" i="3" s="1"/>
  <c r="G157" i="3"/>
  <c r="BD150" i="3"/>
  <c r="AP150" i="3"/>
  <c r="BI150" i="3" s="1"/>
  <c r="AC150" i="3" s="1"/>
  <c r="AK150" i="3"/>
  <c r="AJ150" i="3"/>
  <c r="AS149" i="3" s="1"/>
  <c r="AH150" i="3"/>
  <c r="AG150" i="3"/>
  <c r="AF150" i="3"/>
  <c r="AE150" i="3"/>
  <c r="AD150" i="3"/>
  <c r="Z150" i="3"/>
  <c r="L150" i="3"/>
  <c r="BF150" i="3" s="1"/>
  <c r="K150" i="3"/>
  <c r="J150" i="3"/>
  <c r="I150" i="3"/>
  <c r="H150" i="3"/>
  <c r="BJ150" i="3" s="1"/>
  <c r="G150" i="3"/>
  <c r="AT149" i="3"/>
  <c r="BJ141" i="3"/>
  <c r="BD141" i="3"/>
  <c r="AP141" i="3"/>
  <c r="AK141" i="3"/>
  <c r="AT135" i="3" s="1"/>
  <c r="AJ141" i="3"/>
  <c r="AH141" i="3"/>
  <c r="AG141" i="3"/>
  <c r="AF141" i="3"/>
  <c r="AE141" i="3"/>
  <c r="AD141" i="3"/>
  <c r="AC141" i="3"/>
  <c r="Z141" i="3"/>
  <c r="K141" i="3"/>
  <c r="J141" i="3"/>
  <c r="I141" i="3"/>
  <c r="AL141" i="3" s="1"/>
  <c r="H141" i="3"/>
  <c r="AO141" i="3" s="1"/>
  <c r="G141" i="3"/>
  <c r="BI141" i="3" s="1"/>
  <c r="BJ136" i="3"/>
  <c r="BI136" i="3"/>
  <c r="AC136" i="3" s="1"/>
  <c r="BH136" i="3"/>
  <c r="AB136" i="3" s="1"/>
  <c r="BD136" i="3"/>
  <c r="AP136" i="3"/>
  <c r="AK136" i="3"/>
  <c r="AJ136" i="3"/>
  <c r="AH136" i="3"/>
  <c r="AG136" i="3"/>
  <c r="AF136" i="3"/>
  <c r="AE136" i="3"/>
  <c r="AD136" i="3"/>
  <c r="Z136" i="3"/>
  <c r="K136" i="3"/>
  <c r="J136" i="3"/>
  <c r="I136" i="3"/>
  <c r="AL136" i="3" s="1"/>
  <c r="H136" i="3"/>
  <c r="AO136" i="3" s="1"/>
  <c r="AW136" i="3" s="1"/>
  <c r="G136" i="3"/>
  <c r="AX136" i="3" s="1"/>
  <c r="AU135" i="3"/>
  <c r="AK129" i="3"/>
  <c r="AJ129" i="3"/>
  <c r="AH129" i="3"/>
  <c r="AG129" i="3"/>
  <c r="AF129" i="3"/>
  <c r="AE129" i="3"/>
  <c r="AD129" i="3"/>
  <c r="Z129" i="3"/>
  <c r="L129" i="3"/>
  <c r="BF129" i="3" s="1"/>
  <c r="K129" i="3"/>
  <c r="J129" i="3"/>
  <c r="H129" i="3"/>
  <c r="BD129" i="3" s="1"/>
  <c r="G129" i="3"/>
  <c r="AK123" i="3"/>
  <c r="AJ123" i="3"/>
  <c r="AH123" i="3"/>
  <c r="AG123" i="3"/>
  <c r="AF123" i="3"/>
  <c r="AE123" i="3"/>
  <c r="AD123" i="3"/>
  <c r="Z123" i="3"/>
  <c r="K123" i="3"/>
  <c r="J123" i="3"/>
  <c r="H123" i="3"/>
  <c r="AP123" i="3" s="1"/>
  <c r="G123" i="3"/>
  <c r="BJ113" i="3"/>
  <c r="BD113" i="3"/>
  <c r="AP113" i="3"/>
  <c r="AK113" i="3"/>
  <c r="AJ113" i="3"/>
  <c r="AH113" i="3"/>
  <c r="AG113" i="3"/>
  <c r="AF113" i="3"/>
  <c r="AE113" i="3"/>
  <c r="AD113" i="3"/>
  <c r="Z113" i="3"/>
  <c r="K113" i="3"/>
  <c r="J113" i="3"/>
  <c r="I113" i="3"/>
  <c r="AL113" i="3" s="1"/>
  <c r="H113" i="3"/>
  <c r="AO113" i="3" s="1"/>
  <c r="AW113" i="3" s="1"/>
  <c r="G113" i="3"/>
  <c r="BD106" i="3"/>
  <c r="AK106" i="3"/>
  <c r="AJ106" i="3"/>
  <c r="AS95" i="3" s="1"/>
  <c r="AH106" i="3"/>
  <c r="AG106" i="3"/>
  <c r="AF106" i="3"/>
  <c r="AE106" i="3"/>
  <c r="AD106" i="3"/>
  <c r="Z106" i="3"/>
  <c r="K106" i="3"/>
  <c r="J106" i="3"/>
  <c r="H106" i="3"/>
  <c r="AP106" i="3" s="1"/>
  <c r="G106" i="3"/>
  <c r="AK101" i="3"/>
  <c r="AJ101" i="3"/>
  <c r="AH101" i="3"/>
  <c r="AG101" i="3"/>
  <c r="AF101" i="3"/>
  <c r="AE101" i="3"/>
  <c r="AD101" i="3"/>
  <c r="Z101" i="3"/>
  <c r="K101" i="3"/>
  <c r="J101" i="3"/>
  <c r="H101" i="3"/>
  <c r="BD101" i="3" s="1"/>
  <c r="G101" i="3"/>
  <c r="AO96" i="3"/>
  <c r="AK96" i="3"/>
  <c r="AJ96" i="3"/>
  <c r="AH96" i="3"/>
  <c r="AG96" i="3"/>
  <c r="AF96" i="3"/>
  <c r="AE96" i="3"/>
  <c r="AD96" i="3"/>
  <c r="Z96" i="3"/>
  <c r="K96" i="3"/>
  <c r="J96" i="3"/>
  <c r="H96" i="3"/>
  <c r="AP96" i="3" s="1"/>
  <c r="G96" i="3"/>
  <c r="BH92" i="3"/>
  <c r="AB92" i="3" s="1"/>
  <c r="BD92" i="3"/>
  <c r="AP92" i="3"/>
  <c r="AK92" i="3"/>
  <c r="AJ92" i="3"/>
  <c r="AH92" i="3"/>
  <c r="AG92" i="3"/>
  <c r="AF92" i="3"/>
  <c r="AE92" i="3"/>
  <c r="AD92" i="3"/>
  <c r="Z92" i="3"/>
  <c r="K92" i="3"/>
  <c r="J92" i="3"/>
  <c r="I92" i="3"/>
  <c r="AL92" i="3" s="1"/>
  <c r="H92" i="3"/>
  <c r="AO92" i="3" s="1"/>
  <c r="G92" i="3"/>
  <c r="AK87" i="3"/>
  <c r="AJ87" i="3"/>
  <c r="AH87" i="3"/>
  <c r="AG87" i="3"/>
  <c r="AF87" i="3"/>
  <c r="AE87" i="3"/>
  <c r="AD87" i="3"/>
  <c r="Z87" i="3"/>
  <c r="K87" i="3"/>
  <c r="J87" i="3"/>
  <c r="L87" i="3" s="1"/>
  <c r="BF87" i="3" s="1"/>
  <c r="H87" i="3"/>
  <c r="BD87" i="3" s="1"/>
  <c r="G87" i="3"/>
  <c r="AK82" i="3"/>
  <c r="AJ82" i="3"/>
  <c r="AH82" i="3"/>
  <c r="AG82" i="3"/>
  <c r="AF82" i="3"/>
  <c r="AE82" i="3"/>
  <c r="AD82" i="3"/>
  <c r="Z82" i="3"/>
  <c r="L82" i="3"/>
  <c r="BF82" i="3" s="1"/>
  <c r="K82" i="3"/>
  <c r="J82" i="3"/>
  <c r="H82" i="3"/>
  <c r="BD82" i="3" s="1"/>
  <c r="G82" i="3"/>
  <c r="BJ78" i="3"/>
  <c r="AO78" i="3"/>
  <c r="BH78" i="3" s="1"/>
  <c r="AB78" i="3" s="1"/>
  <c r="AK78" i="3"/>
  <c r="AJ78" i="3"/>
  <c r="AH78" i="3"/>
  <c r="AG78" i="3"/>
  <c r="AF78" i="3"/>
  <c r="AE78" i="3"/>
  <c r="AD78" i="3"/>
  <c r="Z78" i="3"/>
  <c r="K78" i="3"/>
  <c r="J78" i="3"/>
  <c r="I78" i="3"/>
  <c r="AL78" i="3" s="1"/>
  <c r="H78" i="3"/>
  <c r="BD78" i="3" s="1"/>
  <c r="G78" i="3"/>
  <c r="BD72" i="3"/>
  <c r="AP72" i="3"/>
  <c r="AX72" i="3" s="1"/>
  <c r="AK72" i="3"/>
  <c r="AJ72" i="3"/>
  <c r="AH72" i="3"/>
  <c r="AG72" i="3"/>
  <c r="AF72" i="3"/>
  <c r="AE72" i="3"/>
  <c r="AD72" i="3"/>
  <c r="Z72" i="3"/>
  <c r="L72" i="3"/>
  <c r="BF72" i="3" s="1"/>
  <c r="K72" i="3"/>
  <c r="J72" i="3"/>
  <c r="I72" i="3"/>
  <c r="AL72" i="3" s="1"/>
  <c r="H72" i="3"/>
  <c r="AO72" i="3" s="1"/>
  <c r="BH72" i="3" s="1"/>
  <c r="AB72" i="3" s="1"/>
  <c r="G72" i="3"/>
  <c r="BI72" i="3" s="1"/>
  <c r="AC72" i="3" s="1"/>
  <c r="BF67" i="3"/>
  <c r="AK67" i="3"/>
  <c r="AJ67" i="3"/>
  <c r="AS61" i="3" s="1"/>
  <c r="AH67" i="3"/>
  <c r="AG67" i="3"/>
  <c r="AF67" i="3"/>
  <c r="AE67" i="3"/>
  <c r="AD67" i="3"/>
  <c r="Z67" i="3"/>
  <c r="L67" i="3"/>
  <c r="K67" i="3"/>
  <c r="J67" i="3"/>
  <c r="H67" i="3"/>
  <c r="AO67" i="3" s="1"/>
  <c r="G67" i="3"/>
  <c r="BD62" i="3"/>
  <c r="AK62" i="3"/>
  <c r="AJ62" i="3"/>
  <c r="AH62" i="3"/>
  <c r="AG62" i="3"/>
  <c r="AF62" i="3"/>
  <c r="AE62" i="3"/>
  <c r="AD62" i="3"/>
  <c r="Z62" i="3"/>
  <c r="L62" i="3"/>
  <c r="BF62" i="3" s="1"/>
  <c r="K62" i="3"/>
  <c r="J62" i="3"/>
  <c r="H62" i="3"/>
  <c r="AP62" i="3" s="1"/>
  <c r="G62" i="3"/>
  <c r="AK57" i="3"/>
  <c r="AJ57" i="3"/>
  <c r="AH57" i="3"/>
  <c r="AG57" i="3"/>
  <c r="AF57" i="3"/>
  <c r="AE57" i="3"/>
  <c r="AD57" i="3"/>
  <c r="Z57" i="3"/>
  <c r="K57" i="3"/>
  <c r="J57" i="3"/>
  <c r="H57" i="3"/>
  <c r="AO57" i="3" s="1"/>
  <c r="G57" i="3"/>
  <c r="AO54" i="3"/>
  <c r="AW54" i="3" s="1"/>
  <c r="AK54" i="3"/>
  <c r="AJ54" i="3"/>
  <c r="AH54" i="3"/>
  <c r="AG54" i="3"/>
  <c r="AF54" i="3"/>
  <c r="AE54" i="3"/>
  <c r="AD54" i="3"/>
  <c r="Z54" i="3"/>
  <c r="L54" i="3"/>
  <c r="BF54" i="3" s="1"/>
  <c r="K54" i="3"/>
  <c r="J54" i="3"/>
  <c r="H54" i="3"/>
  <c r="BD54" i="3" s="1"/>
  <c r="G54" i="3"/>
  <c r="BJ51" i="3"/>
  <c r="AP51" i="3"/>
  <c r="AO51" i="3"/>
  <c r="AK51" i="3"/>
  <c r="AJ51" i="3"/>
  <c r="AH51" i="3"/>
  <c r="AG51" i="3"/>
  <c r="AF51" i="3"/>
  <c r="AE51" i="3"/>
  <c r="AD51" i="3"/>
  <c r="Z51" i="3"/>
  <c r="K51" i="3"/>
  <c r="J51" i="3"/>
  <c r="H51" i="3"/>
  <c r="BD51" i="3" s="1"/>
  <c r="G51" i="3"/>
  <c r="BJ42" i="3"/>
  <c r="BI42" i="3"/>
  <c r="AC42" i="3" s="1"/>
  <c r="BD42" i="3"/>
  <c r="AW42" i="3"/>
  <c r="AP42" i="3"/>
  <c r="AX42" i="3" s="1"/>
  <c r="AK42" i="3"/>
  <c r="AJ42" i="3"/>
  <c r="AH42" i="3"/>
  <c r="AG42" i="3"/>
  <c r="AF42" i="3"/>
  <c r="AE42" i="3"/>
  <c r="AD42" i="3"/>
  <c r="Z42" i="3"/>
  <c r="L42" i="3"/>
  <c r="BF42" i="3" s="1"/>
  <c r="K42" i="3"/>
  <c r="J42" i="3"/>
  <c r="I42" i="3"/>
  <c r="AL42" i="3" s="1"/>
  <c r="H42" i="3"/>
  <c r="AO42" i="3" s="1"/>
  <c r="BH42" i="3" s="1"/>
  <c r="AB42" i="3" s="1"/>
  <c r="G42" i="3"/>
  <c r="AK37" i="3"/>
  <c r="AJ37" i="3"/>
  <c r="AH37" i="3"/>
  <c r="AG37" i="3"/>
  <c r="AF37" i="3"/>
  <c r="AE37" i="3"/>
  <c r="AD37" i="3"/>
  <c r="Z37" i="3"/>
  <c r="K37" i="3"/>
  <c r="J37" i="3"/>
  <c r="H37" i="3"/>
  <c r="BD37" i="3" s="1"/>
  <c r="G37" i="3"/>
  <c r="AO32" i="3"/>
  <c r="AK32" i="3"/>
  <c r="AJ32" i="3"/>
  <c r="AH32" i="3"/>
  <c r="AG32" i="3"/>
  <c r="AF32" i="3"/>
  <c r="AE32" i="3"/>
  <c r="AD32" i="3"/>
  <c r="Z32" i="3"/>
  <c r="K32" i="3"/>
  <c r="J32" i="3"/>
  <c r="H32" i="3"/>
  <c r="BD32" i="3" s="1"/>
  <c r="G32" i="3"/>
  <c r="I32" i="3" s="1"/>
  <c r="AL32" i="3" s="1"/>
  <c r="AP29" i="3"/>
  <c r="AO29" i="3"/>
  <c r="AK29" i="3"/>
  <c r="AJ29" i="3"/>
  <c r="AH29" i="3"/>
  <c r="AG29" i="3"/>
  <c r="AF29" i="3"/>
  <c r="AE29" i="3"/>
  <c r="AD29" i="3"/>
  <c r="Z29" i="3"/>
  <c r="K29" i="3"/>
  <c r="J29" i="3"/>
  <c r="BD29" i="3"/>
  <c r="G29" i="3"/>
  <c r="BJ20" i="3"/>
  <c r="BD20" i="3"/>
  <c r="AP20" i="3"/>
  <c r="BI20" i="3" s="1"/>
  <c r="AC20" i="3" s="1"/>
  <c r="AK20" i="3"/>
  <c r="AJ20" i="3"/>
  <c r="AH20" i="3"/>
  <c r="AG20" i="3"/>
  <c r="AF20" i="3"/>
  <c r="AE20" i="3"/>
  <c r="AD20" i="3"/>
  <c r="Z20" i="3"/>
  <c r="L20" i="3"/>
  <c r="BF20" i="3" s="1"/>
  <c r="K20" i="3"/>
  <c r="J20" i="3"/>
  <c r="I20" i="3"/>
  <c r="AL20" i="3" s="1"/>
  <c r="H20" i="3"/>
  <c r="AO20" i="3" s="1"/>
  <c r="BH20" i="3" s="1"/>
  <c r="AB20" i="3" s="1"/>
  <c r="G20" i="3"/>
  <c r="BJ17" i="3"/>
  <c r="BI17" i="3"/>
  <c r="AC17" i="3" s="1"/>
  <c r="BD17" i="3"/>
  <c r="AX17" i="3"/>
  <c r="AP17" i="3"/>
  <c r="AK17" i="3"/>
  <c r="AJ17" i="3"/>
  <c r="AH17" i="3"/>
  <c r="AG17" i="3"/>
  <c r="AF17" i="3"/>
  <c r="AE17" i="3"/>
  <c r="AD17" i="3"/>
  <c r="Z17" i="3"/>
  <c r="L17" i="3"/>
  <c r="BF17" i="3" s="1"/>
  <c r="K17" i="3"/>
  <c r="J17" i="3"/>
  <c r="I17" i="3"/>
  <c r="AL17" i="3" s="1"/>
  <c r="AO17" i="3"/>
  <c r="G17" i="3"/>
  <c r="BD14" i="3"/>
  <c r="AO14" i="3"/>
  <c r="AK14" i="3"/>
  <c r="AJ14" i="3"/>
  <c r="AH14" i="3"/>
  <c r="AG14" i="3"/>
  <c r="AF14" i="3"/>
  <c r="AE14" i="3"/>
  <c r="AD14" i="3"/>
  <c r="Z14" i="3"/>
  <c r="L14" i="3"/>
  <c r="BF14" i="3" s="1"/>
  <c r="K14" i="3"/>
  <c r="J14" i="3"/>
  <c r="AP14" i="3"/>
  <c r="G14" i="3"/>
  <c r="I8" i="3"/>
  <c r="F8" i="3"/>
  <c r="C8" i="3"/>
  <c r="I6" i="3"/>
  <c r="F6" i="3"/>
  <c r="C6" i="3"/>
  <c r="I4" i="3"/>
  <c r="F4" i="3"/>
  <c r="C4" i="3"/>
  <c r="I2" i="3"/>
  <c r="F2" i="3"/>
  <c r="C2" i="3"/>
  <c r="AU1" i="3"/>
  <c r="AT1" i="3"/>
  <c r="AS1" i="3"/>
  <c r="I35" i="2"/>
  <c r="I36" i="2" s="1"/>
  <c r="I23" i="1" s="1"/>
  <c r="I26" i="2"/>
  <c r="I19" i="1" s="1"/>
  <c r="I25" i="2"/>
  <c r="I24" i="2"/>
  <c r="I17" i="1" s="1"/>
  <c r="I23" i="2"/>
  <c r="I16" i="1" s="1"/>
  <c r="I22" i="2"/>
  <c r="I15" i="1" s="1"/>
  <c r="I21" i="2"/>
  <c r="I27" i="2" s="1"/>
  <c r="I17" i="2"/>
  <c r="I16" i="2"/>
  <c r="F15" i="1" s="1"/>
  <c r="I15" i="2"/>
  <c r="I18" i="2" s="1"/>
  <c r="I10" i="2"/>
  <c r="F10" i="2"/>
  <c r="C10" i="2"/>
  <c r="F8" i="2"/>
  <c r="C8" i="2"/>
  <c r="F6" i="2"/>
  <c r="C6" i="2"/>
  <c r="F4" i="2"/>
  <c r="C4" i="2"/>
  <c r="F2" i="2"/>
  <c r="C2" i="2"/>
  <c r="I18" i="1"/>
  <c r="F16" i="1"/>
  <c r="I14" i="1"/>
  <c r="I10" i="1"/>
  <c r="F10" i="1"/>
  <c r="C10" i="1"/>
  <c r="F8" i="1"/>
  <c r="C8" i="1"/>
  <c r="F6" i="1"/>
  <c r="C6" i="1"/>
  <c r="F4" i="1"/>
  <c r="C4" i="1"/>
  <c r="F2" i="1"/>
  <c r="C2" i="1"/>
  <c r="C20" i="7" l="1"/>
  <c r="C17" i="7"/>
  <c r="AW27" i="9"/>
  <c r="C17" i="10"/>
  <c r="AS867" i="3"/>
  <c r="C20" i="1"/>
  <c r="AS13" i="3"/>
  <c r="C19" i="1"/>
  <c r="AT13" i="3"/>
  <c r="C18" i="1"/>
  <c r="AW17" i="3"/>
  <c r="BH17" i="3"/>
  <c r="AB17" i="3" s="1"/>
  <c r="BI14" i="3"/>
  <c r="AC14" i="3" s="1"/>
  <c r="AX14" i="3"/>
  <c r="BH67" i="3"/>
  <c r="AB67" i="3" s="1"/>
  <c r="AW67" i="3"/>
  <c r="F29" i="2"/>
  <c r="BH184" i="3"/>
  <c r="AD184" i="3" s="1"/>
  <c r="AW184" i="3"/>
  <c r="BI62" i="3"/>
  <c r="AC62" i="3" s="1"/>
  <c r="AX62" i="3"/>
  <c r="BF165" i="3"/>
  <c r="BC136" i="3"/>
  <c r="AV136" i="3"/>
  <c r="BC193" i="3"/>
  <c r="AV193" i="3"/>
  <c r="BJ269" i="3"/>
  <c r="BD269" i="3"/>
  <c r="AP269" i="3"/>
  <c r="AO269" i="3"/>
  <c r="BC360" i="3"/>
  <c r="AV360" i="3"/>
  <c r="I223" i="3"/>
  <c r="AL223" i="3" s="1"/>
  <c r="BJ223" i="3"/>
  <c r="BH223" i="3"/>
  <c r="AD223" i="3" s="1"/>
  <c r="AW223" i="3"/>
  <c r="AP223" i="3"/>
  <c r="BI223" i="3" s="1"/>
  <c r="AE223" i="3" s="1"/>
  <c r="BD223" i="3"/>
  <c r="BI307" i="3"/>
  <c r="AE307" i="3" s="1"/>
  <c r="AW307" i="3"/>
  <c r="I307" i="3"/>
  <c r="AL307" i="3" s="1"/>
  <c r="BJ307" i="3"/>
  <c r="BH307" i="3"/>
  <c r="AD307" i="3" s="1"/>
  <c r="L307" i="3"/>
  <c r="BF307" i="3" s="1"/>
  <c r="AX307" i="3"/>
  <c r="BC392" i="3"/>
  <c r="AV392" i="3"/>
  <c r="AX29" i="3"/>
  <c r="L29" i="3"/>
  <c r="AW29" i="3"/>
  <c r="AX51" i="3"/>
  <c r="L51" i="3"/>
  <c r="BF51" i="3" s="1"/>
  <c r="AW51" i="3"/>
  <c r="I57" i="3"/>
  <c r="AL57" i="3" s="1"/>
  <c r="BH199" i="3"/>
  <c r="AD199" i="3" s="1"/>
  <c r="AW199" i="3"/>
  <c r="I199" i="3"/>
  <c r="AL199" i="3" s="1"/>
  <c r="BJ199" i="3"/>
  <c r="AO37" i="3"/>
  <c r="AW37" i="3" s="1"/>
  <c r="BJ101" i="3"/>
  <c r="C25" i="1"/>
  <c r="AP37" i="3"/>
  <c r="BI37" i="3" s="1"/>
  <c r="AC37" i="3" s="1"/>
  <c r="I106" i="3"/>
  <c r="AL106" i="3" s="1"/>
  <c r="BJ106" i="3"/>
  <c r="BI106" i="3"/>
  <c r="AC106" i="3" s="1"/>
  <c r="AX106" i="3"/>
  <c r="L106" i="3"/>
  <c r="BF106" i="3" s="1"/>
  <c r="L101" i="3"/>
  <c r="BF101" i="3" s="1"/>
  <c r="AP196" i="3"/>
  <c r="AX196" i="3" s="1"/>
  <c r="I196" i="3"/>
  <c r="AL196" i="3" s="1"/>
  <c r="BJ196" i="3"/>
  <c r="I202" i="3"/>
  <c r="AL202" i="3" s="1"/>
  <c r="BJ202" i="3"/>
  <c r="BI202" i="3"/>
  <c r="AE202" i="3" s="1"/>
  <c r="AX202" i="3"/>
  <c r="L202" i="3"/>
  <c r="BF202" i="3" s="1"/>
  <c r="AX351" i="3"/>
  <c r="L351" i="3"/>
  <c r="AW351" i="3"/>
  <c r="BJ351" i="3"/>
  <c r="I351" i="3"/>
  <c r="AL351" i="3" s="1"/>
  <c r="BI351" i="3"/>
  <c r="AE351" i="3" s="1"/>
  <c r="BH351" i="3"/>
  <c r="AD351" i="3" s="1"/>
  <c r="I37" i="3"/>
  <c r="AL37" i="3" s="1"/>
  <c r="AP57" i="3"/>
  <c r="BI57" i="3" s="1"/>
  <c r="AC57" i="3" s="1"/>
  <c r="I22" i="1"/>
  <c r="BJ14" i="3"/>
  <c r="BH14" i="3"/>
  <c r="AB14" i="3" s="1"/>
  <c r="I51" i="3"/>
  <c r="AL51" i="3" s="1"/>
  <c r="AX113" i="3"/>
  <c r="BC113" i="3" s="1"/>
  <c r="BH29" i="3"/>
  <c r="AB29" i="3" s="1"/>
  <c r="L37" i="3"/>
  <c r="BF37" i="3" s="1"/>
  <c r="L57" i="3"/>
  <c r="BF57" i="3" s="1"/>
  <c r="AP78" i="3"/>
  <c r="BI78" i="3" s="1"/>
  <c r="AC78" i="3" s="1"/>
  <c r="AO208" i="3"/>
  <c r="L223" i="3"/>
  <c r="BF223" i="3" s="1"/>
  <c r="BF434" i="3"/>
  <c r="F14" i="1"/>
  <c r="F22" i="1" s="1"/>
  <c r="BH51" i="3"/>
  <c r="AB51" i="3" s="1"/>
  <c r="BD57" i="3"/>
  <c r="AX78" i="3"/>
  <c r="L78" i="3"/>
  <c r="BF78" i="3" s="1"/>
  <c r="BJ92" i="3"/>
  <c r="BI92" i="3"/>
  <c r="AC92" i="3" s="1"/>
  <c r="AX92" i="3"/>
  <c r="L92" i="3"/>
  <c r="BF92" i="3" s="1"/>
  <c r="AW92" i="3"/>
  <c r="BJ179" i="3"/>
  <c r="BI179" i="3"/>
  <c r="AE179" i="3" s="1"/>
  <c r="AX179" i="3"/>
  <c r="L179" i="3"/>
  <c r="BF179" i="3" s="1"/>
  <c r="AW179" i="3"/>
  <c r="BH236" i="3"/>
  <c r="AD236" i="3" s="1"/>
  <c r="AW236" i="3"/>
  <c r="BC383" i="3"/>
  <c r="AV383" i="3"/>
  <c r="I165" i="3"/>
  <c r="BJ165" i="3"/>
  <c r="BH165" i="3"/>
  <c r="AD165" i="3" s="1"/>
  <c r="AW165" i="3"/>
  <c r="C26" i="1"/>
  <c r="AP165" i="3"/>
  <c r="AX165" i="3" s="1"/>
  <c r="BD165" i="3"/>
  <c r="I29" i="3"/>
  <c r="AL29" i="3" s="1"/>
  <c r="I14" i="3"/>
  <c r="BI29" i="3"/>
  <c r="AC29" i="3" s="1"/>
  <c r="AW14" i="3"/>
  <c r="BJ29" i="3"/>
  <c r="BI51" i="3"/>
  <c r="AC51" i="3" s="1"/>
  <c r="AW78" i="3"/>
  <c r="AO123" i="3"/>
  <c r="AW123" i="3" s="1"/>
  <c r="L199" i="3"/>
  <c r="BF199" i="3" s="1"/>
  <c r="BI229" i="3"/>
  <c r="AE229" i="3" s="1"/>
  <c r="BD236" i="3"/>
  <c r="AT240" i="3"/>
  <c r="AW324" i="3"/>
  <c r="BH324" i="3"/>
  <c r="AD324" i="3" s="1"/>
  <c r="BH211" i="3"/>
  <c r="AD211" i="3" s="1"/>
  <c r="AW211" i="3"/>
  <c r="I211" i="3"/>
  <c r="AL211" i="3" s="1"/>
  <c r="BI232" i="3"/>
  <c r="AE232" i="3" s="1"/>
  <c r="AW232" i="3"/>
  <c r="I232" i="3"/>
  <c r="AL232" i="3" s="1"/>
  <c r="BH232" i="3"/>
  <c r="AD232" i="3" s="1"/>
  <c r="AX232" i="3"/>
  <c r="BJ232" i="3"/>
  <c r="AW20" i="3"/>
  <c r="AP32" i="3"/>
  <c r="AX32" i="3" s="1"/>
  <c r="BJ54" i="3"/>
  <c r="AP54" i="3"/>
  <c r="BI123" i="3"/>
  <c r="AC123" i="3" s="1"/>
  <c r="BD123" i="3"/>
  <c r="BI184" i="3"/>
  <c r="AE184" i="3" s="1"/>
  <c r="I188" i="3"/>
  <c r="AL188" i="3" s="1"/>
  <c r="BJ188" i="3"/>
  <c r="BH188" i="3"/>
  <c r="AD188" i="3" s="1"/>
  <c r="AW188" i="3"/>
  <c r="AP208" i="3"/>
  <c r="AX208" i="3" s="1"/>
  <c r="BJ208" i="3"/>
  <c r="I214" i="3"/>
  <c r="AL214" i="3" s="1"/>
  <c r="AW214" i="3"/>
  <c r="BI214" i="3"/>
  <c r="AE214" i="3" s="1"/>
  <c r="AX214" i="3"/>
  <c r="BD67" i="3"/>
  <c r="AP67" i="3"/>
  <c r="I67" i="3"/>
  <c r="AL67" i="3" s="1"/>
  <c r="BH214" i="3"/>
  <c r="AD214" i="3" s="1"/>
  <c r="AP239" i="3"/>
  <c r="AX239" i="3" s="1"/>
  <c r="BD239" i="3"/>
  <c r="AO239" i="3"/>
  <c r="BC249" i="3"/>
  <c r="AV249" i="3"/>
  <c r="BC258" i="3"/>
  <c r="AV258" i="3"/>
  <c r="I101" i="3"/>
  <c r="AL101" i="3" s="1"/>
  <c r="AV42" i="3"/>
  <c r="BH96" i="3"/>
  <c r="AB96" i="3" s="1"/>
  <c r="AW96" i="3"/>
  <c r="BH196" i="3"/>
  <c r="AD196" i="3" s="1"/>
  <c r="AW196" i="3"/>
  <c r="BJ32" i="3"/>
  <c r="BH32" i="3"/>
  <c r="AB32" i="3" s="1"/>
  <c r="BJ82" i="3"/>
  <c r="AT61" i="3"/>
  <c r="AO82" i="3"/>
  <c r="BH82" i="3" s="1"/>
  <c r="AB82" i="3" s="1"/>
  <c r="BH129" i="3"/>
  <c r="AB129" i="3" s="1"/>
  <c r="I129" i="3"/>
  <c r="AL129" i="3" s="1"/>
  <c r="BI129" i="3"/>
  <c r="AC129" i="3" s="1"/>
  <c r="AS135" i="3"/>
  <c r="AP157" i="3"/>
  <c r="L211" i="3"/>
  <c r="BF211" i="3" s="1"/>
  <c r="L232" i="3"/>
  <c r="BF232" i="3" s="1"/>
  <c r="BH249" i="3"/>
  <c r="AD249" i="3" s="1"/>
  <c r="BJ249" i="3"/>
  <c r="BI249" i="3"/>
  <c r="AE249" i="3" s="1"/>
  <c r="AX249" i="3"/>
  <c r="I249" i="3"/>
  <c r="AL249" i="3" s="1"/>
  <c r="I258" i="3"/>
  <c r="AL258" i="3" s="1"/>
  <c r="BJ258" i="3"/>
  <c r="BH258" i="3"/>
  <c r="AD258" i="3" s="1"/>
  <c r="L258" i="3"/>
  <c r="BF258" i="3" s="1"/>
  <c r="AX258" i="3"/>
  <c r="BI258" i="3"/>
  <c r="AE258" i="3" s="1"/>
  <c r="AP281" i="3"/>
  <c r="AO281" i="3"/>
  <c r="BJ281" i="3"/>
  <c r="BD281" i="3"/>
  <c r="BC372" i="3"/>
  <c r="AV372" i="3"/>
  <c r="BJ123" i="3"/>
  <c r="AX150" i="3"/>
  <c r="L32" i="3"/>
  <c r="BF32" i="3" s="1"/>
  <c r="BC42" i="3"/>
  <c r="BJ62" i="3"/>
  <c r="BJ67" i="3"/>
  <c r="I82" i="3"/>
  <c r="AL82" i="3" s="1"/>
  <c r="AP82" i="3"/>
  <c r="BI82" i="3" s="1"/>
  <c r="AC82" i="3" s="1"/>
  <c r="BI96" i="3"/>
  <c r="AC96" i="3" s="1"/>
  <c r="BD96" i="3"/>
  <c r="BJ129" i="3"/>
  <c r="AL150" i="3"/>
  <c r="I149" i="3"/>
  <c r="AW157" i="3"/>
  <c r="BI157" i="3"/>
  <c r="AC157" i="3" s="1"/>
  <c r="AX157" i="3"/>
  <c r="L157" i="3"/>
  <c r="BF157" i="3" s="1"/>
  <c r="L188" i="3"/>
  <c r="BF188" i="3" s="1"/>
  <c r="L214" i="3"/>
  <c r="BF214" i="3" s="1"/>
  <c r="BC217" i="3"/>
  <c r="AV217" i="3"/>
  <c r="BI273" i="3"/>
  <c r="AE273" i="3" s="1"/>
  <c r="AW273" i="3"/>
  <c r="I273" i="3"/>
  <c r="AL273" i="3" s="1"/>
  <c r="BJ273" i="3"/>
  <c r="BH273" i="3"/>
  <c r="AD273" i="3" s="1"/>
  <c r="AX273" i="3"/>
  <c r="AW57" i="3"/>
  <c r="BH37" i="3"/>
  <c r="AB37" i="3" s="1"/>
  <c r="AX20" i="3"/>
  <c r="AT95" i="3"/>
  <c r="BD184" i="3"/>
  <c r="AP184" i="3"/>
  <c r="I54" i="3"/>
  <c r="AL54" i="3" s="1"/>
  <c r="AO62" i="3"/>
  <c r="AW82" i="3"/>
  <c r="I135" i="3"/>
  <c r="AT164" i="3"/>
  <c r="AO320" i="3"/>
  <c r="AW320" i="3" s="1"/>
  <c r="BJ320" i="3"/>
  <c r="BD320" i="3"/>
  <c r="BH57" i="3"/>
  <c r="AB57" i="3" s="1"/>
  <c r="L149" i="3"/>
  <c r="BJ37" i="3"/>
  <c r="BJ57" i="3"/>
  <c r="AP188" i="3"/>
  <c r="BI188" i="3" s="1"/>
  <c r="AE188" i="3" s="1"/>
  <c r="BD188" i="3"/>
  <c r="AW32" i="3"/>
  <c r="BJ72" i="3"/>
  <c r="AW72" i="3"/>
  <c r="BI32" i="3"/>
  <c r="AC32" i="3" s="1"/>
  <c r="I62" i="3"/>
  <c r="AX82" i="3"/>
  <c r="BJ96" i="3"/>
  <c r="I157" i="3"/>
  <c r="AL157" i="3" s="1"/>
  <c r="BJ157" i="3"/>
  <c r="AT192" i="3"/>
  <c r="AO150" i="3"/>
  <c r="I239" i="3"/>
  <c r="AL239" i="3" s="1"/>
  <c r="I241" i="3"/>
  <c r="BD254" i="3"/>
  <c r="AX281" i="3"/>
  <c r="L281" i="3"/>
  <c r="BF281" i="3" s="1"/>
  <c r="I281" i="3"/>
  <c r="AL281" i="3" s="1"/>
  <c r="AW291" i="3"/>
  <c r="AX299" i="3"/>
  <c r="BD314" i="3"/>
  <c r="AX363" i="3"/>
  <c r="L363" i="3"/>
  <c r="BF363" i="3" s="1"/>
  <c r="AW363" i="3"/>
  <c r="BJ363" i="3"/>
  <c r="BI363" i="3"/>
  <c r="AE363" i="3" s="1"/>
  <c r="BH372" i="3"/>
  <c r="AD372" i="3" s="1"/>
  <c r="BH392" i="3"/>
  <c r="AD392" i="3" s="1"/>
  <c r="I454" i="3"/>
  <c r="AL454" i="3" s="1"/>
  <c r="AO454" i="3"/>
  <c r="BJ454" i="3"/>
  <c r="BI461" i="3"/>
  <c r="AE461" i="3" s="1"/>
  <c r="L461" i="3"/>
  <c r="BF461" i="3" s="1"/>
  <c r="AX461" i="3"/>
  <c r="I461" i="3"/>
  <c r="AL461" i="3" s="1"/>
  <c r="BJ461" i="3"/>
  <c r="AX291" i="3"/>
  <c r="BD299" i="3"/>
  <c r="AX374" i="3"/>
  <c r="L374" i="3"/>
  <c r="BF374" i="3" s="1"/>
  <c r="AW374" i="3"/>
  <c r="BJ374" i="3"/>
  <c r="BI374" i="3"/>
  <c r="AE374" i="3" s="1"/>
  <c r="AX414" i="3"/>
  <c r="AV414" i="3" s="1"/>
  <c r="L414" i="3"/>
  <c r="BF414" i="3" s="1"/>
  <c r="BI414" i="3"/>
  <c r="AE414" i="3" s="1"/>
  <c r="BH414" i="3"/>
  <c r="AD414" i="3" s="1"/>
  <c r="I414" i="3"/>
  <c r="AL414" i="3" s="1"/>
  <c r="BJ467" i="3"/>
  <c r="I467" i="3"/>
  <c r="AL467" i="3" s="1"/>
  <c r="I473" i="3"/>
  <c r="AL473" i="3" s="1"/>
  <c r="AX473" i="3"/>
  <c r="BI487" i="3"/>
  <c r="AX487" i="3"/>
  <c r="L570" i="3"/>
  <c r="BF570" i="3" s="1"/>
  <c r="BJ570" i="3"/>
  <c r="AW570" i="3"/>
  <c r="I570" i="3"/>
  <c r="AL570" i="3" s="1"/>
  <c r="BD641" i="3"/>
  <c r="AP641" i="3"/>
  <c r="BI641" i="3" s="1"/>
  <c r="AE641" i="3" s="1"/>
  <c r="AO641" i="3"/>
  <c r="BH641" i="3" s="1"/>
  <c r="AD641" i="3" s="1"/>
  <c r="AO101" i="3"/>
  <c r="BH101" i="3" s="1"/>
  <c r="AB101" i="3" s="1"/>
  <c r="BH113" i="3"/>
  <c r="AB113" i="3" s="1"/>
  <c r="AO129" i="3"/>
  <c r="AW129" i="3" s="1"/>
  <c r="AW141" i="3"/>
  <c r="I184" i="3"/>
  <c r="AL184" i="3" s="1"/>
  <c r="BH193" i="3"/>
  <c r="AD193" i="3" s="1"/>
  <c r="AO199" i="3"/>
  <c r="BH205" i="3"/>
  <c r="AD205" i="3" s="1"/>
  <c r="AO211" i="3"/>
  <c r="BD214" i="3"/>
  <c r="BI220" i="3"/>
  <c r="AE220" i="3" s="1"/>
  <c r="AO220" i="3"/>
  <c r="AW220" i="3" s="1"/>
  <c r="AW239" i="3"/>
  <c r="AX241" i="3"/>
  <c r="BC241" i="3" s="1"/>
  <c r="BH262" i="3"/>
  <c r="AD262" i="3" s="1"/>
  <c r="BD273" i="3"/>
  <c r="L291" i="3"/>
  <c r="BF291" i="3" s="1"/>
  <c r="BD307" i="3"/>
  <c r="BJ332" i="3"/>
  <c r="BD341" i="3"/>
  <c r="BH354" i="3"/>
  <c r="AD354" i="3" s="1"/>
  <c r="L354" i="3"/>
  <c r="BF354" i="3" s="1"/>
  <c r="I354" i="3"/>
  <c r="AL354" i="3" s="1"/>
  <c r="I363" i="3"/>
  <c r="AL363" i="3" s="1"/>
  <c r="AX386" i="3"/>
  <c r="L386" i="3"/>
  <c r="BF386" i="3" s="1"/>
  <c r="AW386" i="3"/>
  <c r="BJ386" i="3"/>
  <c r="BI386" i="3"/>
  <c r="AE386" i="3" s="1"/>
  <c r="I405" i="3"/>
  <c r="AL405" i="3" s="1"/>
  <c r="BD405" i="3"/>
  <c r="BJ87" i="3"/>
  <c r="AP101" i="3"/>
  <c r="AX101" i="3" s="1"/>
  <c r="BI113" i="3"/>
  <c r="AC113" i="3" s="1"/>
  <c r="AP129" i="3"/>
  <c r="AX129" i="3" s="1"/>
  <c r="L141" i="3"/>
  <c r="BF141" i="3" s="1"/>
  <c r="AX141" i="3"/>
  <c r="BJ171" i="3"/>
  <c r="BJ191" i="3"/>
  <c r="Z191" i="3" s="1"/>
  <c r="C21" i="1" s="1"/>
  <c r="C21" i="15" s="1"/>
  <c r="BI193" i="3"/>
  <c r="AE193" i="3" s="1"/>
  <c r="AP199" i="3"/>
  <c r="AX199" i="3" s="1"/>
  <c r="BI205" i="3"/>
  <c r="AE205" i="3" s="1"/>
  <c r="AP211" i="3"/>
  <c r="AX211" i="3" s="1"/>
  <c r="AP220" i="3"/>
  <c r="AX220" i="3" s="1"/>
  <c r="AO229" i="3"/>
  <c r="L241" i="3"/>
  <c r="BD291" i="3"/>
  <c r="I334" i="3"/>
  <c r="AL334" i="3" s="1"/>
  <c r="BJ334" i="3"/>
  <c r="BD354" i="3"/>
  <c r="AP354" i="3"/>
  <c r="BI354" i="3" s="1"/>
  <c r="AE354" i="3" s="1"/>
  <c r="BH363" i="3"/>
  <c r="AD363" i="3" s="1"/>
  <c r="I374" i="3"/>
  <c r="AL374" i="3" s="1"/>
  <c r="BJ414" i="3"/>
  <c r="BI473" i="3"/>
  <c r="AE473" i="3" s="1"/>
  <c r="BH291" i="3"/>
  <c r="AD291" i="3" s="1"/>
  <c r="BI328" i="3"/>
  <c r="AE328" i="3" s="1"/>
  <c r="BH328" i="3"/>
  <c r="AD328" i="3" s="1"/>
  <c r="AW328" i="3"/>
  <c r="BI345" i="3"/>
  <c r="BH366" i="3"/>
  <c r="AD366" i="3" s="1"/>
  <c r="L366" i="3"/>
  <c r="BF366" i="3" s="1"/>
  <c r="I366" i="3"/>
  <c r="AL366" i="3" s="1"/>
  <c r="BH397" i="3"/>
  <c r="L397" i="3"/>
  <c r="BF397" i="3" s="1"/>
  <c r="AW397" i="3"/>
  <c r="I397" i="3"/>
  <c r="AL397" i="3" s="1"/>
  <c r="AS406" i="3"/>
  <c r="AV416" i="3"/>
  <c r="AX434" i="3"/>
  <c r="BJ473" i="3"/>
  <c r="AL484" i="3"/>
  <c r="AU483" i="3" s="1"/>
  <c r="I483" i="3"/>
  <c r="BC537" i="3"/>
  <c r="BH537" i="3"/>
  <c r="AD537" i="3" s="1"/>
  <c r="BI675" i="3"/>
  <c r="AX675" i="3"/>
  <c r="L184" i="3"/>
  <c r="BF184" i="3" s="1"/>
  <c r="AX184" i="3"/>
  <c r="AW229" i="3"/>
  <c r="BJ236" i="3"/>
  <c r="BI269" i="3"/>
  <c r="AE269" i="3" s="1"/>
  <c r="BH269" i="3"/>
  <c r="AD269" i="3" s="1"/>
  <c r="BI281" i="3"/>
  <c r="AE281" i="3" s="1"/>
  <c r="BJ299" i="3"/>
  <c r="BH317" i="3"/>
  <c r="AD317" i="3" s="1"/>
  <c r="AW317" i="3"/>
  <c r="AP317" i="3"/>
  <c r="AX317" i="3" s="1"/>
  <c r="AW334" i="3"/>
  <c r="AO345" i="3"/>
  <c r="BH345" i="3" s="1"/>
  <c r="AW348" i="3"/>
  <c r="BJ357" i="3"/>
  <c r="BH357" i="3"/>
  <c r="AD357" i="3" s="1"/>
  <c r="I357" i="3"/>
  <c r="AL357" i="3" s="1"/>
  <c r="AW357" i="3"/>
  <c r="BD366" i="3"/>
  <c r="AP366" i="3"/>
  <c r="BI366" i="3" s="1"/>
  <c r="AE366" i="3" s="1"/>
  <c r="BH377" i="3"/>
  <c r="AD377" i="3" s="1"/>
  <c r="AX377" i="3"/>
  <c r="BC377" i="3" s="1"/>
  <c r="L377" i="3"/>
  <c r="BF377" i="3" s="1"/>
  <c r="I377" i="3"/>
  <c r="AL377" i="3" s="1"/>
  <c r="BH386" i="3"/>
  <c r="AD386" i="3" s="1"/>
  <c r="BD397" i="3"/>
  <c r="AP397" i="3"/>
  <c r="BI397" i="3" s="1"/>
  <c r="BJ407" i="3"/>
  <c r="BI407" i="3"/>
  <c r="AE407" i="3" s="1"/>
  <c r="BH407" i="3"/>
  <c r="AD407" i="3" s="1"/>
  <c r="AX407" i="3"/>
  <c r="L407" i="3"/>
  <c r="AW407" i="3"/>
  <c r="AL434" i="3"/>
  <c r="L467" i="3"/>
  <c r="BF467" i="3" s="1"/>
  <c r="L473" i="3"/>
  <c r="BF473" i="3" s="1"/>
  <c r="BC511" i="3"/>
  <c r="AV511" i="3"/>
  <c r="AL677" i="3"/>
  <c r="AW322" i="3"/>
  <c r="I328" i="3"/>
  <c r="AL328" i="3" s="1"/>
  <c r="AX328" i="3"/>
  <c r="I345" i="3"/>
  <c r="AL345" i="3" s="1"/>
  <c r="AL348" i="3"/>
  <c r="AX348" i="3"/>
  <c r="BD357" i="3"/>
  <c r="AP357" i="3"/>
  <c r="AX357" i="3" s="1"/>
  <c r="BJ366" i="3"/>
  <c r="BD377" i="3"/>
  <c r="AP377" i="3"/>
  <c r="BI377" i="3" s="1"/>
  <c r="AE377" i="3" s="1"/>
  <c r="BH388" i="3"/>
  <c r="AD388" i="3" s="1"/>
  <c r="L388" i="3"/>
  <c r="BF388" i="3" s="1"/>
  <c r="AW388" i="3"/>
  <c r="I388" i="3"/>
  <c r="AL388" i="3" s="1"/>
  <c r="BJ397" i="3"/>
  <c r="Z397" i="3" s="1"/>
  <c r="BC416" i="3"/>
  <c r="I123" i="3"/>
  <c r="AL123" i="3" s="1"/>
  <c r="L136" i="3"/>
  <c r="BH141" i="3"/>
  <c r="AB141" i="3" s="1"/>
  <c r="I208" i="3"/>
  <c r="AL208" i="3" s="1"/>
  <c r="AU192" i="3" s="1"/>
  <c r="L220" i="3"/>
  <c r="BF220" i="3" s="1"/>
  <c r="L229" i="3"/>
  <c r="BF229" i="3" s="1"/>
  <c r="I236" i="3"/>
  <c r="AL236" i="3" s="1"/>
  <c r="BH239" i="3"/>
  <c r="BI241" i="3"/>
  <c r="AE241" i="3" s="1"/>
  <c r="I269" i="3"/>
  <c r="AL269" i="3" s="1"/>
  <c r="AW269" i="3"/>
  <c r="BI287" i="3"/>
  <c r="AE287" i="3" s="1"/>
  <c r="BH287" i="3"/>
  <c r="AD287" i="3" s="1"/>
  <c r="AW287" i="3"/>
  <c r="I317" i="3"/>
  <c r="AL317" i="3" s="1"/>
  <c r="AX322" i="3"/>
  <c r="L334" i="3"/>
  <c r="BF334" i="3" s="1"/>
  <c r="BJ369" i="3"/>
  <c r="BH369" i="3"/>
  <c r="AD369" i="3" s="1"/>
  <c r="I369" i="3"/>
  <c r="AL369" i="3" s="1"/>
  <c r="AW369" i="3"/>
  <c r="BJ377" i="3"/>
  <c r="BD388" i="3"/>
  <c r="AP388" i="3"/>
  <c r="BI388" i="3" s="1"/>
  <c r="AE388" i="3" s="1"/>
  <c r="BJ388" i="3"/>
  <c r="I407" i="3"/>
  <c r="BJ429" i="3"/>
  <c r="BH429" i="3"/>
  <c r="AD429" i="3" s="1"/>
  <c r="I429" i="3"/>
  <c r="AL429" i="3" s="1"/>
  <c r="AW429" i="3"/>
  <c r="BH504" i="3"/>
  <c r="AD504" i="3" s="1"/>
  <c r="BJ504" i="3"/>
  <c r="AW504" i="3"/>
  <c r="I504" i="3"/>
  <c r="AL504" i="3" s="1"/>
  <c r="BI303" i="3"/>
  <c r="AE303" i="3" s="1"/>
  <c r="BH303" i="3"/>
  <c r="AD303" i="3" s="1"/>
  <c r="AW303" i="3"/>
  <c r="I96" i="3"/>
  <c r="BH54" i="3"/>
  <c r="AB54" i="3" s="1"/>
  <c r="I226" i="3"/>
  <c r="AL226" i="3" s="1"/>
  <c r="AO226" i="3"/>
  <c r="AW226" i="3" s="1"/>
  <c r="BI239" i="3"/>
  <c r="AO245" i="3"/>
  <c r="BH245" i="3" s="1"/>
  <c r="AD245" i="3" s="1"/>
  <c r="AX269" i="3"/>
  <c r="AW277" i="3"/>
  <c r="AW295" i="3"/>
  <c r="I303" i="3"/>
  <c r="AL303" i="3" s="1"/>
  <c r="AX303" i="3"/>
  <c r="AX311" i="3"/>
  <c r="BC311" i="3" s="1"/>
  <c r="L322" i="3"/>
  <c r="BF322" i="3" s="1"/>
  <c r="AX345" i="3"/>
  <c r="BI357" i="3"/>
  <c r="AE357" i="3" s="1"/>
  <c r="BD369" i="3"/>
  <c r="AP369" i="3"/>
  <c r="BI369" i="3" s="1"/>
  <c r="AE369" i="3" s="1"/>
  <c r="AX369" i="3"/>
  <c r="BJ380" i="3"/>
  <c r="BH380" i="3"/>
  <c r="AD380" i="3" s="1"/>
  <c r="I380" i="3"/>
  <c r="AL380" i="3" s="1"/>
  <c r="AW380" i="3"/>
  <c r="BJ390" i="3"/>
  <c r="BH390" i="3"/>
  <c r="AD390" i="3" s="1"/>
  <c r="I390" i="3"/>
  <c r="AL390" i="3" s="1"/>
  <c r="AW390" i="3"/>
  <c r="L398" i="3"/>
  <c r="AT398" i="3"/>
  <c r="I409" i="3"/>
  <c r="AL409" i="3" s="1"/>
  <c r="AX409" i="3"/>
  <c r="BD429" i="3"/>
  <c r="AP429" i="3"/>
  <c r="BI429" i="3" s="1"/>
  <c r="AE429" i="3" s="1"/>
  <c r="AX429" i="3"/>
  <c r="AP507" i="3"/>
  <c r="AX507" i="3" s="1"/>
  <c r="BD507" i="3"/>
  <c r="AO507" i="3"/>
  <c r="AO87" i="3"/>
  <c r="AO171" i="3"/>
  <c r="AO191" i="3"/>
  <c r="BH229" i="3"/>
  <c r="AD229" i="3" s="1"/>
  <c r="BJ239" i="3"/>
  <c r="Z239" i="3" s="1"/>
  <c r="AX245" i="3"/>
  <c r="L245" i="3"/>
  <c r="BF245" i="3" s="1"/>
  <c r="I245" i="3"/>
  <c r="AL245" i="3" s="1"/>
  <c r="AX277" i="3"/>
  <c r="AX295" i="3"/>
  <c r="L328" i="3"/>
  <c r="BF328" i="3" s="1"/>
  <c r="BJ328" i="3"/>
  <c r="L345" i="3"/>
  <c r="BF345" i="3" s="1"/>
  <c r="BD380" i="3"/>
  <c r="AP380" i="3"/>
  <c r="BD390" i="3"/>
  <c r="AP390" i="3"/>
  <c r="AW418" i="3"/>
  <c r="I418" i="3"/>
  <c r="AL418" i="3" s="1"/>
  <c r="AX418" i="3"/>
  <c r="BF489" i="3"/>
  <c r="BJ494" i="3"/>
  <c r="BI494" i="3"/>
  <c r="AE494" i="3" s="1"/>
  <c r="BH494" i="3"/>
  <c r="AD494" i="3" s="1"/>
  <c r="L494" i="3"/>
  <c r="BF494" i="3" s="1"/>
  <c r="AX494" i="3"/>
  <c r="AW494" i="3"/>
  <c r="I494" i="3"/>
  <c r="AL494" i="3" s="1"/>
  <c r="I87" i="3"/>
  <c r="AL87" i="3" s="1"/>
  <c r="AP87" i="3"/>
  <c r="L96" i="3"/>
  <c r="AX96" i="3"/>
  <c r="L123" i="3"/>
  <c r="BF123" i="3" s="1"/>
  <c r="AX123" i="3"/>
  <c r="I171" i="3"/>
  <c r="AL171" i="3" s="1"/>
  <c r="AP171" i="3"/>
  <c r="I191" i="3"/>
  <c r="AL191" i="3" s="1"/>
  <c r="AP191" i="3"/>
  <c r="AW245" i="3"/>
  <c r="BI254" i="3"/>
  <c r="AE254" i="3" s="1"/>
  <c r="AO254" i="3"/>
  <c r="AW254" i="3" s="1"/>
  <c r="L277" i="3"/>
  <c r="BF277" i="3" s="1"/>
  <c r="L295" i="3"/>
  <c r="BF295" i="3" s="1"/>
  <c r="L317" i="3"/>
  <c r="BF317" i="3" s="1"/>
  <c r="BJ317" i="3"/>
  <c r="BI332" i="3"/>
  <c r="AE332" i="3" s="1"/>
  <c r="AO332" i="3"/>
  <c r="BH334" i="3"/>
  <c r="AD334" i="3" s="1"/>
  <c r="AO337" i="3"/>
  <c r="I399" i="3"/>
  <c r="BH418" i="3"/>
  <c r="AD418" i="3" s="1"/>
  <c r="AO452" i="3"/>
  <c r="BH479" i="3"/>
  <c r="AD479" i="3" s="1"/>
  <c r="AO499" i="3"/>
  <c r="AW499" i="3" s="1"/>
  <c r="BD499" i="3"/>
  <c r="I499" i="3"/>
  <c r="AL499" i="3" s="1"/>
  <c r="AP499" i="3"/>
  <c r="AW550" i="3"/>
  <c r="L303" i="3"/>
  <c r="BF303" i="3" s="1"/>
  <c r="BJ303" i="3"/>
  <c r="BI320" i="3"/>
  <c r="AE320" i="3" s="1"/>
  <c r="BH322" i="3"/>
  <c r="AD322" i="3" s="1"/>
  <c r="BI334" i="3"/>
  <c r="AE334" i="3" s="1"/>
  <c r="BJ345" i="3"/>
  <c r="Z345" i="3" s="1"/>
  <c r="AP452" i="3"/>
  <c r="AX452" i="3" s="1"/>
  <c r="AV525" i="3"/>
  <c r="AT560" i="3"/>
  <c r="AX454" i="3"/>
  <c r="BI454" i="3"/>
  <c r="AE454" i="3" s="1"/>
  <c r="BI482" i="3"/>
  <c r="AX482" i="3"/>
  <c r="BH576" i="3"/>
  <c r="AD576" i="3" s="1"/>
  <c r="AW576" i="3"/>
  <c r="I611" i="3"/>
  <c r="AL611" i="3" s="1"/>
  <c r="BJ611" i="3"/>
  <c r="BI611" i="3"/>
  <c r="AE611" i="3" s="1"/>
  <c r="L611" i="3"/>
  <c r="BF611" i="3" s="1"/>
  <c r="BF621" i="3"/>
  <c r="L620" i="3"/>
  <c r="BH277" i="3"/>
  <c r="AD277" i="3" s="1"/>
  <c r="BI291" i="3"/>
  <c r="AE291" i="3" s="1"/>
  <c r="BH295" i="3"/>
  <c r="AD295" i="3" s="1"/>
  <c r="AO314" i="3"/>
  <c r="I320" i="3"/>
  <c r="AL320" i="3" s="1"/>
  <c r="BJ322" i="3"/>
  <c r="L418" i="3"/>
  <c r="BF418" i="3" s="1"/>
  <c r="BJ421" i="3"/>
  <c r="BH421" i="3"/>
  <c r="AD421" i="3" s="1"/>
  <c r="L421" i="3"/>
  <c r="BF421" i="3" s="1"/>
  <c r="I421" i="3"/>
  <c r="AL421" i="3" s="1"/>
  <c r="AX421" i="3"/>
  <c r="AV421" i="3" s="1"/>
  <c r="BI452" i="3"/>
  <c r="AE452" i="3" s="1"/>
  <c r="BD452" i="3"/>
  <c r="AX481" i="3"/>
  <c r="BH525" i="3"/>
  <c r="AD525" i="3" s="1"/>
  <c r="AO106" i="3"/>
  <c r="AW106" i="3" s="1"/>
  <c r="L113" i="3"/>
  <c r="BF113" i="3" s="1"/>
  <c r="BH123" i="3"/>
  <c r="AB123" i="3" s="1"/>
  <c r="L193" i="3"/>
  <c r="AO202" i="3"/>
  <c r="AW202" i="3" s="1"/>
  <c r="L205" i="3"/>
  <c r="BF205" i="3" s="1"/>
  <c r="AX262" i="3"/>
  <c r="L262" i="3"/>
  <c r="BF262" i="3" s="1"/>
  <c r="I262" i="3"/>
  <c r="AL262" i="3" s="1"/>
  <c r="BI277" i="3"/>
  <c r="AE277" i="3" s="1"/>
  <c r="BI295" i="3"/>
  <c r="AE295" i="3" s="1"/>
  <c r="AO299" i="3"/>
  <c r="BJ402" i="3"/>
  <c r="BI402" i="3"/>
  <c r="AE402" i="3" s="1"/>
  <c r="AX402" i="3"/>
  <c r="L402" i="3"/>
  <c r="BF402" i="3" s="1"/>
  <c r="I402" i="3"/>
  <c r="AL402" i="3" s="1"/>
  <c r="AO405" i="3"/>
  <c r="BD454" i="3"/>
  <c r="AO461" i="3"/>
  <c r="AW461" i="3" s="1"/>
  <c r="BH570" i="3"/>
  <c r="AD570" i="3" s="1"/>
  <c r="BJ600" i="3"/>
  <c r="BD600" i="3"/>
  <c r="I600" i="3"/>
  <c r="AL600" i="3" s="1"/>
  <c r="AP600" i="3"/>
  <c r="AO600" i="3"/>
  <c r="BH226" i="3"/>
  <c r="AD226" i="3" s="1"/>
  <c r="BI236" i="3"/>
  <c r="AE236" i="3" s="1"/>
  <c r="BI245" i="3"/>
  <c r="AE245" i="3" s="1"/>
  <c r="L254" i="3"/>
  <c r="BF254" i="3" s="1"/>
  <c r="AW262" i="3"/>
  <c r="BJ277" i="3"/>
  <c r="I291" i="3"/>
  <c r="AL291" i="3" s="1"/>
  <c r="BJ295" i="3"/>
  <c r="AX314" i="3"/>
  <c r="AX320" i="3"/>
  <c r="BD324" i="3"/>
  <c r="L332" i="3"/>
  <c r="BF332" i="3" s="1"/>
  <c r="BH402" i="3"/>
  <c r="AD402" i="3" s="1"/>
  <c r="AP405" i="3"/>
  <c r="AX405" i="3" s="1"/>
  <c r="BI421" i="3"/>
  <c r="AE421" i="3" s="1"/>
  <c r="I452" i="3"/>
  <c r="AL452" i="3" s="1"/>
  <c r="BD461" i="3"/>
  <c r="BJ482" i="3"/>
  <c r="Z482" i="3" s="1"/>
  <c r="BD482" i="3"/>
  <c r="AO482" i="3"/>
  <c r="AO487" i="3"/>
  <c r="BI499" i="3"/>
  <c r="AE499" i="3" s="1"/>
  <c r="AX499" i="3"/>
  <c r="L499" i="3"/>
  <c r="BF499" i="3" s="1"/>
  <c r="I507" i="3"/>
  <c r="AL507" i="3" s="1"/>
  <c r="BJ507" i="3"/>
  <c r="AP582" i="3"/>
  <c r="AP596" i="3"/>
  <c r="BI596" i="3" s="1"/>
  <c r="AE596" i="3" s="1"/>
  <c r="BH615" i="3"/>
  <c r="AD615" i="3" s="1"/>
  <c r="BJ687" i="3"/>
  <c r="AX687" i="3"/>
  <c r="L687" i="3"/>
  <c r="BF687" i="3" s="1"/>
  <c r="I782" i="3"/>
  <c r="AL783" i="3"/>
  <c r="AU782" i="3" s="1"/>
  <c r="BJ18" i="6"/>
  <c r="BI18" i="6"/>
  <c r="AC18" i="6" s="1"/>
  <c r="BH18" i="6"/>
  <c r="AB18" i="6" s="1"/>
  <c r="AX18" i="6"/>
  <c r="L18" i="6"/>
  <c r="AW18" i="6"/>
  <c r="I18" i="6"/>
  <c r="BH19" i="6"/>
  <c r="AF19" i="6" s="1"/>
  <c r="AW19" i="6"/>
  <c r="BJ818" i="3"/>
  <c r="I818" i="3"/>
  <c r="AL818" i="3" s="1"/>
  <c r="L818" i="3"/>
  <c r="BF818" i="3" s="1"/>
  <c r="AX818" i="3"/>
  <c r="I839" i="3"/>
  <c r="AL839" i="3" s="1"/>
  <c r="BJ839" i="3"/>
  <c r="Z839" i="3" s="1"/>
  <c r="BH839" i="3"/>
  <c r="L839" i="3"/>
  <c r="BF839" i="3" s="1"/>
  <c r="AX839" i="3"/>
  <c r="AW839" i="3"/>
  <c r="BI849" i="3"/>
  <c r="AC849" i="3" s="1"/>
  <c r="I849" i="3"/>
  <c r="AL849" i="3" s="1"/>
  <c r="BJ849" i="3"/>
  <c r="L849" i="3"/>
  <c r="BF849" i="3" s="1"/>
  <c r="AW849" i="3"/>
  <c r="BJ851" i="3"/>
  <c r="AO467" i="3"/>
  <c r="BH467" i="3" s="1"/>
  <c r="AD467" i="3" s="1"/>
  <c r="I523" i="3"/>
  <c r="AL523" i="3" s="1"/>
  <c r="BJ523" i="3"/>
  <c r="I534" i="3"/>
  <c r="AL534" i="3" s="1"/>
  <c r="BJ534" i="3"/>
  <c r="I548" i="3"/>
  <c r="AL548" i="3" s="1"/>
  <c r="BJ548" i="3"/>
  <c r="AP570" i="3"/>
  <c r="BI570" i="3" s="1"/>
  <c r="AE570" i="3" s="1"/>
  <c r="BJ698" i="3"/>
  <c r="BI698" i="3"/>
  <c r="AE698" i="3" s="1"/>
  <c r="BH698" i="3"/>
  <c r="AD698" i="3" s="1"/>
  <c r="AW698" i="3"/>
  <c r="AL714" i="3"/>
  <c r="BD726" i="3"/>
  <c r="AP726" i="3"/>
  <c r="AX726" i="3" s="1"/>
  <c r="L735" i="3"/>
  <c r="AP849" i="3"/>
  <c r="AX849" i="3" s="1"/>
  <c r="BD849" i="3"/>
  <c r="BI862" i="3"/>
  <c r="BH862" i="3"/>
  <c r="BJ862" i="3"/>
  <c r="Z862" i="3" s="1"/>
  <c r="L862" i="3"/>
  <c r="BF862" i="3" s="1"/>
  <c r="AX862" i="3"/>
  <c r="AW862" i="3"/>
  <c r="I862" i="3"/>
  <c r="AL862" i="3" s="1"/>
  <c r="C20" i="4"/>
  <c r="I49" i="6"/>
  <c r="AL49" i="6" s="1"/>
  <c r="AP49" i="6"/>
  <c r="AX49" i="6" s="1"/>
  <c r="AO49" i="6"/>
  <c r="AW49" i="6" s="1"/>
  <c r="AP467" i="3"/>
  <c r="BI467" i="3" s="1"/>
  <c r="AE467" i="3" s="1"/>
  <c r="AW477" i="3"/>
  <c r="BI515" i="3"/>
  <c r="AE515" i="3" s="1"/>
  <c r="AX515" i="3"/>
  <c r="L515" i="3"/>
  <c r="BF515" i="3" s="1"/>
  <c r="BI551" i="3"/>
  <c r="AX551" i="3"/>
  <c r="L551" i="3"/>
  <c r="BF551" i="3" s="1"/>
  <c r="AW551" i="3"/>
  <c r="BH651" i="3"/>
  <c r="AD651" i="3" s="1"/>
  <c r="AX698" i="3"/>
  <c r="BJ736" i="3"/>
  <c r="BH736" i="3"/>
  <c r="AD736" i="3" s="1"/>
  <c r="I736" i="3"/>
  <c r="AP800" i="3"/>
  <c r="AO800" i="3"/>
  <c r="BJ800" i="3"/>
  <c r="BC853" i="3"/>
  <c r="AV853" i="3"/>
  <c r="BH14" i="6"/>
  <c r="AD14" i="6" s="1"/>
  <c r="C16" i="4" s="1"/>
  <c r="AW14" i="6"/>
  <c r="BC41" i="6"/>
  <c r="AV41" i="6"/>
  <c r="BI394" i="3"/>
  <c r="AE394" i="3" s="1"/>
  <c r="AO402" i="3"/>
  <c r="AW402" i="3" s="1"/>
  <c r="AO477" i="3"/>
  <c r="BI484" i="3"/>
  <c r="AE484" i="3" s="1"/>
  <c r="L507" i="3"/>
  <c r="BF507" i="3" s="1"/>
  <c r="AW515" i="3"/>
  <c r="AW523" i="3"/>
  <c r="BI528" i="3"/>
  <c r="AE528" i="3" s="1"/>
  <c r="AX528" i="3"/>
  <c r="L528" i="3"/>
  <c r="BF528" i="3" s="1"/>
  <c r="AW528" i="3"/>
  <c r="AW534" i="3"/>
  <c r="BI540" i="3"/>
  <c r="AE540" i="3" s="1"/>
  <c r="AX540" i="3"/>
  <c r="L540" i="3"/>
  <c r="BF540" i="3" s="1"/>
  <c r="AW540" i="3"/>
  <c r="AW548" i="3"/>
  <c r="BJ555" i="3"/>
  <c r="AP619" i="3"/>
  <c r="BJ677" i="3"/>
  <c r="BI677" i="3"/>
  <c r="AE677" i="3" s="1"/>
  <c r="I698" i="3"/>
  <c r="AL698" i="3" s="1"/>
  <c r="AO870" i="3"/>
  <c r="AU879" i="3"/>
  <c r="BJ394" i="3"/>
  <c r="BI416" i="3"/>
  <c r="AE416" i="3" s="1"/>
  <c r="AO446" i="3"/>
  <c r="BH446" i="3" s="1"/>
  <c r="AD446" i="3" s="1"/>
  <c r="I477" i="3"/>
  <c r="AL477" i="3" s="1"/>
  <c r="AP477" i="3"/>
  <c r="AO484" i="3"/>
  <c r="AW484" i="3" s="1"/>
  <c r="BH499" i="3"/>
  <c r="AD499" i="3" s="1"/>
  <c r="I515" i="3"/>
  <c r="AL515" i="3" s="1"/>
  <c r="AX523" i="3"/>
  <c r="AX534" i="3"/>
  <c r="AX548" i="3"/>
  <c r="I551" i="3"/>
  <c r="AL551" i="3" s="1"/>
  <c r="BJ596" i="3"/>
  <c r="I619" i="3"/>
  <c r="AL619" i="3" s="1"/>
  <c r="AP628" i="3"/>
  <c r="BJ641" i="3"/>
  <c r="AX641" i="3"/>
  <c r="L641" i="3"/>
  <c r="BF641" i="3" s="1"/>
  <c r="AW641" i="3"/>
  <c r="I641" i="3"/>
  <c r="AL641" i="3" s="1"/>
  <c r="AU620" i="3" s="1"/>
  <c r="AW677" i="3"/>
  <c r="AW700" i="3"/>
  <c r="BF787" i="3"/>
  <c r="AP843" i="3"/>
  <c r="BD843" i="3"/>
  <c r="AO843" i="3"/>
  <c r="AW843" i="3" s="1"/>
  <c r="AP870" i="3"/>
  <c r="AX870" i="3" s="1"/>
  <c r="L13" i="6"/>
  <c r="BF14" i="6"/>
  <c r="I865" i="3"/>
  <c r="AL866" i="3"/>
  <c r="AU865" i="3" s="1"/>
  <c r="BH58" i="6"/>
  <c r="AB58" i="6" s="1"/>
  <c r="AW58" i="6"/>
  <c r="BD882" i="3"/>
  <c r="I882" i="3"/>
  <c r="AL882" i="3" s="1"/>
  <c r="AO882" i="3"/>
  <c r="BJ346" i="3"/>
  <c r="AO399" i="3"/>
  <c r="BH399" i="3" s="1"/>
  <c r="AD399" i="3" s="1"/>
  <c r="AO418" i="3"/>
  <c r="AW446" i="3"/>
  <c r="L477" i="3"/>
  <c r="BF477" i="3" s="1"/>
  <c r="AP504" i="3"/>
  <c r="BI504" i="3" s="1"/>
  <c r="AE504" i="3" s="1"/>
  <c r="BI507" i="3"/>
  <c r="AE507" i="3" s="1"/>
  <c r="BH515" i="3"/>
  <c r="AD515" i="3" s="1"/>
  <c r="BH551" i="3"/>
  <c r="BJ645" i="3"/>
  <c r="BI645" i="3"/>
  <c r="AE645" i="3" s="1"/>
  <c r="BH645" i="3"/>
  <c r="AD645" i="3" s="1"/>
  <c r="BC768" i="3"/>
  <c r="AV768" i="3"/>
  <c r="BD868" i="3"/>
  <c r="AO868" i="3"/>
  <c r="AP875" i="3"/>
  <c r="I875" i="3"/>
  <c r="AL875" i="3" s="1"/>
  <c r="BD875" i="3"/>
  <c r="AO875" i="3"/>
  <c r="BH875" i="3" s="1"/>
  <c r="AW341" i="3"/>
  <c r="BJ372" i="3"/>
  <c r="BJ383" i="3"/>
  <c r="BJ392" i="3"/>
  <c r="AP399" i="3"/>
  <c r="BI399" i="3" s="1"/>
  <c r="AE399" i="3" s="1"/>
  <c r="AP418" i="3"/>
  <c r="BI418" i="3" s="1"/>
  <c r="AE418" i="3" s="1"/>
  <c r="AP425" i="3"/>
  <c r="AW440" i="3"/>
  <c r="L446" i="3"/>
  <c r="BF446" i="3" s="1"/>
  <c r="AX446" i="3"/>
  <c r="AP475" i="3"/>
  <c r="L484" i="3"/>
  <c r="AX484" i="3"/>
  <c r="BJ515" i="3"/>
  <c r="BH523" i="3"/>
  <c r="AD523" i="3" s="1"/>
  <c r="BJ528" i="3"/>
  <c r="BH534" i="3"/>
  <c r="AD534" i="3" s="1"/>
  <c r="BJ540" i="3"/>
  <c r="BH548" i="3"/>
  <c r="AD548" i="3" s="1"/>
  <c r="BJ551" i="3"/>
  <c r="Z551" i="3" s="1"/>
  <c r="I587" i="3"/>
  <c r="AL587" i="3" s="1"/>
  <c r="AX587" i="3"/>
  <c r="BD619" i="3"/>
  <c r="BD628" i="3"/>
  <c r="L677" i="3"/>
  <c r="BH677" i="3"/>
  <c r="AD677" i="3" s="1"/>
  <c r="I411" i="3"/>
  <c r="AL411" i="3" s="1"/>
  <c r="I425" i="3"/>
  <c r="AL425" i="3" s="1"/>
  <c r="AO440" i="3"/>
  <c r="BH440" i="3" s="1"/>
  <c r="AD440" i="3" s="1"/>
  <c r="AO481" i="3"/>
  <c r="AS488" i="3"/>
  <c r="BI523" i="3"/>
  <c r="AE523" i="3" s="1"/>
  <c r="BI534" i="3"/>
  <c r="AE534" i="3" s="1"/>
  <c r="BI548" i="3"/>
  <c r="AE548" i="3" s="1"/>
  <c r="I645" i="3"/>
  <c r="AL645" i="3" s="1"/>
  <c r="AW645" i="3"/>
  <c r="BH666" i="3"/>
  <c r="AD666" i="3" s="1"/>
  <c r="AX666" i="3"/>
  <c r="L666" i="3"/>
  <c r="BF666" i="3" s="1"/>
  <c r="AV684" i="3"/>
  <c r="BC684" i="3"/>
  <c r="L706" i="3"/>
  <c r="BF706" i="3" s="1"/>
  <c r="AX706" i="3"/>
  <c r="I706" i="3"/>
  <c r="AL706" i="3" s="1"/>
  <c r="BJ706" i="3"/>
  <c r="BI706" i="3"/>
  <c r="AE706" i="3" s="1"/>
  <c r="BJ55" i="6"/>
  <c r="I55" i="6"/>
  <c r="AL55" i="6" s="1"/>
  <c r="BD55" i="6"/>
  <c r="AP55" i="6"/>
  <c r="AX55" i="6" s="1"/>
  <c r="AO55" i="6"/>
  <c r="AW55" i="6" s="1"/>
  <c r="AX75" i="6"/>
  <c r="BI75" i="6"/>
  <c r="AC75" i="6" s="1"/>
  <c r="I299" i="3"/>
  <c r="AL299" i="3" s="1"/>
  <c r="I314" i="3"/>
  <c r="AL314" i="3" s="1"/>
  <c r="I324" i="3"/>
  <c r="AL324" i="3" s="1"/>
  <c r="I337" i="3"/>
  <c r="AL337" i="3" s="1"/>
  <c r="AW411" i="3"/>
  <c r="AW425" i="3"/>
  <c r="I440" i="3"/>
  <c r="AL440" i="3" s="1"/>
  <c r="AP440" i="3"/>
  <c r="BH477" i="3"/>
  <c r="AD477" i="3" s="1"/>
  <c r="I481" i="3"/>
  <c r="AL481" i="3" s="1"/>
  <c r="AP519" i="3"/>
  <c r="BI519" i="3" s="1"/>
  <c r="AE519" i="3" s="1"/>
  <c r="AP531" i="3"/>
  <c r="BI531" i="3" s="1"/>
  <c r="AE531" i="3" s="1"/>
  <c r="AP543" i="3"/>
  <c r="BI543" i="3" s="1"/>
  <c r="AE543" i="3" s="1"/>
  <c r="AX561" i="3"/>
  <c r="I576" i="3"/>
  <c r="AL576" i="3" s="1"/>
  <c r="AU560" i="3" s="1"/>
  <c r="AX576" i="3"/>
  <c r="AX645" i="3"/>
  <c r="AW666" i="3"/>
  <c r="BJ712" i="3"/>
  <c r="Z712" i="3" s="1"/>
  <c r="BH712" i="3"/>
  <c r="AW712" i="3"/>
  <c r="I712" i="3"/>
  <c r="AL712" i="3" s="1"/>
  <c r="BI780" i="3"/>
  <c r="AE780" i="3" s="1"/>
  <c r="AX615" i="3"/>
  <c r="L615" i="3"/>
  <c r="BF615" i="3" s="1"/>
  <c r="AS676" i="3"/>
  <c r="BD712" i="3"/>
  <c r="AP712" i="3"/>
  <c r="AX712" i="3" s="1"/>
  <c r="AX772" i="3"/>
  <c r="L772" i="3"/>
  <c r="AW772" i="3"/>
  <c r="BI772" i="3"/>
  <c r="AE772" i="3" s="1"/>
  <c r="BH772" i="3"/>
  <c r="AD772" i="3" s="1"/>
  <c r="I772" i="3"/>
  <c r="AO409" i="3"/>
  <c r="AW409" i="3" s="1"/>
  <c r="L425" i="3"/>
  <c r="BF425" i="3" s="1"/>
  <c r="BI446" i="3"/>
  <c r="AE446" i="3" s="1"/>
  <c r="AO473" i="3"/>
  <c r="AW473" i="3" s="1"/>
  <c r="BJ477" i="3"/>
  <c r="BH484" i="3"/>
  <c r="AD484" i="3" s="1"/>
  <c r="I489" i="3"/>
  <c r="BJ489" i="3"/>
  <c r="AW519" i="3"/>
  <c r="AW531" i="3"/>
  <c r="AW543" i="3"/>
  <c r="BD576" i="3"/>
  <c r="L587" i="3"/>
  <c r="BF587" i="3" s="1"/>
  <c r="BI587" i="3"/>
  <c r="AE587" i="3" s="1"/>
  <c r="AP604" i="3"/>
  <c r="AP615" i="3"/>
  <c r="BI615" i="3" s="1"/>
  <c r="AE615" i="3" s="1"/>
  <c r="AO621" i="3"/>
  <c r="AW621" i="3" s="1"/>
  <c r="L645" i="3"/>
  <c r="BF645" i="3" s="1"/>
  <c r="BJ666" i="3"/>
  <c r="AS786" i="3"/>
  <c r="AO818" i="3"/>
  <c r="BH818" i="3" s="1"/>
  <c r="AB818" i="3" s="1"/>
  <c r="BD49" i="6"/>
  <c r="BI72" i="6"/>
  <c r="AC72" i="6" s="1"/>
  <c r="AX72" i="6"/>
  <c r="L299" i="3"/>
  <c r="BF299" i="3" s="1"/>
  <c r="L314" i="3"/>
  <c r="BF314" i="3" s="1"/>
  <c r="L324" i="3"/>
  <c r="BF324" i="3" s="1"/>
  <c r="L337" i="3"/>
  <c r="BF337" i="3" s="1"/>
  <c r="BH341" i="3"/>
  <c r="AD341" i="3" s="1"/>
  <c r="AO346" i="3"/>
  <c r="AW394" i="3"/>
  <c r="AX423" i="3"/>
  <c r="L423" i="3"/>
  <c r="BF423" i="3" s="1"/>
  <c r="AO423" i="3"/>
  <c r="AO434" i="3"/>
  <c r="L440" i="3"/>
  <c r="BF440" i="3" s="1"/>
  <c r="L481" i="3"/>
  <c r="BF481" i="3" s="1"/>
  <c r="BJ484" i="3"/>
  <c r="AX519" i="3"/>
  <c r="AX531" i="3"/>
  <c r="AX543" i="3"/>
  <c r="AO555" i="3"/>
  <c r="L561" i="3"/>
  <c r="BH561" i="3"/>
  <c r="AD561" i="3" s="1"/>
  <c r="BJ587" i="3"/>
  <c r="I615" i="3"/>
  <c r="AL615" i="3" s="1"/>
  <c r="BJ621" i="3"/>
  <c r="BI621" i="3"/>
  <c r="AE621" i="3" s="1"/>
  <c r="BH621" i="3"/>
  <c r="AD621" i="3" s="1"/>
  <c r="AO726" i="3"/>
  <c r="AW726" i="3" s="1"/>
  <c r="AS735" i="3"/>
  <c r="AO780" i="3"/>
  <c r="AW780" i="3" s="1"/>
  <c r="BJ780" i="3"/>
  <c r="BD780" i="3"/>
  <c r="I780" i="3"/>
  <c r="AL780" i="3" s="1"/>
  <c r="AX783" i="3"/>
  <c r="AP818" i="3"/>
  <c r="BI818" i="3" s="1"/>
  <c r="AC818" i="3" s="1"/>
  <c r="AO849" i="3"/>
  <c r="BH849" i="3" s="1"/>
  <c r="AB849" i="3" s="1"/>
  <c r="AO851" i="3"/>
  <c r="L394" i="3"/>
  <c r="BF394" i="3" s="1"/>
  <c r="I416" i="3"/>
  <c r="AL416" i="3" s="1"/>
  <c r="AW489" i="3"/>
  <c r="L519" i="3"/>
  <c r="BF519" i="3" s="1"/>
  <c r="L531" i="3"/>
  <c r="BF531" i="3" s="1"/>
  <c r="L543" i="3"/>
  <c r="BF543" i="3" s="1"/>
  <c r="BH555" i="3"/>
  <c r="AD555" i="3" s="1"/>
  <c r="AW555" i="3"/>
  <c r="I555" i="3"/>
  <c r="AX555" i="3"/>
  <c r="BI561" i="3"/>
  <c r="AE561" i="3" s="1"/>
  <c r="AW582" i="3"/>
  <c r="AX596" i="3"/>
  <c r="L596" i="3"/>
  <c r="BF596" i="3" s="1"/>
  <c r="AO596" i="3"/>
  <c r="AW615" i="3"/>
  <c r="AX651" i="3"/>
  <c r="BC651" i="3" s="1"/>
  <c r="AO675" i="3"/>
  <c r="BJ675" i="3"/>
  <c r="Z675" i="3" s="1"/>
  <c r="I675" i="3"/>
  <c r="AL675" i="3" s="1"/>
  <c r="AO783" i="3"/>
  <c r="BH783" i="3" s="1"/>
  <c r="AB783" i="3" s="1"/>
  <c r="BD783" i="3"/>
  <c r="BD851" i="3"/>
  <c r="I88" i="6"/>
  <c r="AL88" i="6" s="1"/>
  <c r="BJ88" i="6"/>
  <c r="BI88" i="6"/>
  <c r="AG88" i="6" s="1"/>
  <c r="AX88" i="6"/>
  <c r="L88" i="6"/>
  <c r="BF88" i="6" s="1"/>
  <c r="BI89" i="6"/>
  <c r="AC89" i="6" s="1"/>
  <c r="BH89" i="6"/>
  <c r="AB89" i="6" s="1"/>
  <c r="AX89" i="6"/>
  <c r="L89" i="6"/>
  <c r="BF89" i="6" s="1"/>
  <c r="AW89" i="6"/>
  <c r="BJ89" i="6"/>
  <c r="AP736" i="3"/>
  <c r="BI736" i="3" s="1"/>
  <c r="AE736" i="3" s="1"/>
  <c r="L782" i="3"/>
  <c r="BF783" i="3"/>
  <c r="BJ790" i="3"/>
  <c r="BI877" i="3"/>
  <c r="AO877" i="3"/>
  <c r="AW877" i="3" s="1"/>
  <c r="I20" i="6"/>
  <c r="AL20" i="6" s="1"/>
  <c r="AX20" i="6"/>
  <c r="L20" i="6"/>
  <c r="BF20" i="6" s="1"/>
  <c r="AX25" i="6"/>
  <c r="L25" i="6"/>
  <c r="BF25" i="6" s="1"/>
  <c r="I25" i="6"/>
  <c r="AL25" i="6" s="1"/>
  <c r="BJ25" i="6"/>
  <c r="BJ29" i="6"/>
  <c r="BI29" i="6"/>
  <c r="AC29" i="6" s="1"/>
  <c r="AX29" i="6"/>
  <c r="L29" i="6"/>
  <c r="BF29" i="6" s="1"/>
  <c r="BI42" i="6"/>
  <c r="AC42" i="6" s="1"/>
  <c r="AV99" i="6"/>
  <c r="AO714" i="3"/>
  <c r="BJ726" i="3"/>
  <c r="AO790" i="3"/>
  <c r="AW790" i="3" s="1"/>
  <c r="AP877" i="3"/>
  <c r="I13" i="6"/>
  <c r="AL14" i="6"/>
  <c r="AU13" i="6" s="1"/>
  <c r="BF33" i="6"/>
  <c r="I41" i="6"/>
  <c r="AL41" i="6" s="1"/>
  <c r="AP42" i="6"/>
  <c r="AX42" i="6" s="1"/>
  <c r="I42" i="6"/>
  <c r="AL42" i="6" s="1"/>
  <c r="BD42" i="6"/>
  <c r="I89" i="6"/>
  <c r="AL89" i="6" s="1"/>
  <c r="AW91" i="6"/>
  <c r="I91" i="6"/>
  <c r="AL91" i="6" s="1"/>
  <c r="AX91" i="6"/>
  <c r="BJ91" i="6"/>
  <c r="BI91" i="6"/>
  <c r="AC91" i="6" s="1"/>
  <c r="BH91" i="6"/>
  <c r="AB91" i="6" s="1"/>
  <c r="L91" i="6"/>
  <c r="BF91" i="6" s="1"/>
  <c r="I94" i="6"/>
  <c r="AL94" i="6" s="1"/>
  <c r="I877" i="3"/>
  <c r="AL877" i="3" s="1"/>
  <c r="C25" i="4"/>
  <c r="AS17" i="6"/>
  <c r="BJ20" i="6"/>
  <c r="I29" i="6"/>
  <c r="AL29" i="6" s="1"/>
  <c r="BJ42" i="6"/>
  <c r="AX99" i="6"/>
  <c r="BC99" i="6" s="1"/>
  <c r="BI99" i="6"/>
  <c r="AG99" i="6" s="1"/>
  <c r="I726" i="3"/>
  <c r="AL726" i="3" s="1"/>
  <c r="AX768" i="3"/>
  <c r="L768" i="3"/>
  <c r="BF768" i="3" s="1"/>
  <c r="I768" i="3"/>
  <c r="AL768" i="3" s="1"/>
  <c r="AX877" i="3"/>
  <c r="AW884" i="3"/>
  <c r="BD14" i="6"/>
  <c r="AX21" i="6"/>
  <c r="L21" i="6"/>
  <c r="BF21" i="6" s="1"/>
  <c r="BJ21" i="6"/>
  <c r="BI21" i="6"/>
  <c r="AC21" i="6" s="1"/>
  <c r="BI30" i="6"/>
  <c r="AC30" i="6" s="1"/>
  <c r="AX30" i="6"/>
  <c r="BC66" i="6"/>
  <c r="AV66" i="6"/>
  <c r="BI123" i="6"/>
  <c r="AC123" i="6" s="1"/>
  <c r="AX123" i="6"/>
  <c r="BJ877" i="3"/>
  <c r="Z877" i="3" s="1"/>
  <c r="AX884" i="3"/>
  <c r="BJ22" i="6"/>
  <c r="BI22" i="6"/>
  <c r="AC22" i="6" s="1"/>
  <c r="AX22" i="6"/>
  <c r="L22" i="6"/>
  <c r="BF22" i="6" s="1"/>
  <c r="AW30" i="6"/>
  <c r="BI66" i="6"/>
  <c r="AG66" i="6" s="1"/>
  <c r="AX112" i="6"/>
  <c r="AO687" i="3"/>
  <c r="AW687" i="3" s="1"/>
  <c r="BJ700" i="3"/>
  <c r="L714" i="3"/>
  <c r="BD768" i="3"/>
  <c r="L790" i="3"/>
  <c r="BF790" i="3" s="1"/>
  <c r="AX790" i="3"/>
  <c r="AP811" i="3"/>
  <c r="AX811" i="3" s="1"/>
  <c r="AO827" i="3"/>
  <c r="BH827" i="3" s="1"/>
  <c r="AB827" i="3" s="1"/>
  <c r="AX843" i="3"/>
  <c r="L843" i="3"/>
  <c r="I843" i="3"/>
  <c r="BI851" i="3"/>
  <c r="AC851" i="3" s="1"/>
  <c r="AW868" i="3"/>
  <c r="BI868" i="3"/>
  <c r="AX873" i="3"/>
  <c r="L877" i="3"/>
  <c r="BF877" i="3" s="1"/>
  <c r="I21" i="6"/>
  <c r="AL21" i="6" s="1"/>
  <c r="BH50" i="6"/>
  <c r="AB50" i="6" s="1"/>
  <c r="AW50" i="6"/>
  <c r="AP105" i="6"/>
  <c r="BD105" i="6"/>
  <c r="AO105" i="6"/>
  <c r="BD132" i="6"/>
  <c r="AP132" i="6"/>
  <c r="AX132" i="6" s="1"/>
  <c r="AO132" i="6"/>
  <c r="BJ72" i="6"/>
  <c r="BD72" i="6"/>
  <c r="AO72" i="6"/>
  <c r="BH108" i="6"/>
  <c r="AF108" i="6" s="1"/>
  <c r="AW108" i="6"/>
  <c r="BJ109" i="6"/>
  <c r="BI109" i="6"/>
  <c r="AC109" i="6" s="1"/>
  <c r="AX109" i="6"/>
  <c r="L109" i="6"/>
  <c r="BF109" i="6" s="1"/>
  <c r="I109" i="6"/>
  <c r="AL109" i="6" s="1"/>
  <c r="BD156" i="6"/>
  <c r="I156" i="6"/>
  <c r="AL156" i="6" s="1"/>
  <c r="AO156" i="6"/>
  <c r="AW156" i="6" s="1"/>
  <c r="AO561" i="3"/>
  <c r="AW561" i="3" s="1"/>
  <c r="AO587" i="3"/>
  <c r="BH587" i="3" s="1"/>
  <c r="AD587" i="3" s="1"/>
  <c r="AO611" i="3"/>
  <c r="AW611" i="3" s="1"/>
  <c r="AO706" i="3"/>
  <c r="BH706" i="3" s="1"/>
  <c r="AD706" i="3" s="1"/>
  <c r="BI714" i="3"/>
  <c r="AE714" i="3" s="1"/>
  <c r="BH768" i="3"/>
  <c r="AD768" i="3" s="1"/>
  <c r="BH776" i="3"/>
  <c r="AD776" i="3" s="1"/>
  <c r="AX776" i="3"/>
  <c r="L776" i="3"/>
  <c r="BF776" i="3" s="1"/>
  <c r="I851" i="3"/>
  <c r="AL851" i="3" s="1"/>
  <c r="BI853" i="3"/>
  <c r="AC853" i="3" s="1"/>
  <c r="I868" i="3"/>
  <c r="BI50" i="6"/>
  <c r="AC50" i="6" s="1"/>
  <c r="I72" i="6"/>
  <c r="AL72" i="6" s="1"/>
  <c r="L21" i="9"/>
  <c r="BF21" i="9" s="1"/>
  <c r="I21" i="9"/>
  <c r="AL21" i="9" s="1"/>
  <c r="AO636" i="3"/>
  <c r="AO661" i="3"/>
  <c r="BI768" i="3"/>
  <c r="AE768" i="3" s="1"/>
  <c r="BJ787" i="3"/>
  <c r="AO787" i="3"/>
  <c r="AO840" i="3"/>
  <c r="BJ853" i="3"/>
  <c r="AO860" i="3"/>
  <c r="BH860" i="3" s="1"/>
  <c r="AB860" i="3" s="1"/>
  <c r="AX868" i="3"/>
  <c r="AP880" i="3"/>
  <c r="I22" i="4"/>
  <c r="BI23" i="6"/>
  <c r="AC23" i="6" s="1"/>
  <c r="AX23" i="6"/>
  <c r="I31" i="6"/>
  <c r="AL31" i="6" s="1"/>
  <c r="BH31" i="6"/>
  <c r="AB31" i="6" s="1"/>
  <c r="AX31" i="6"/>
  <c r="L31" i="6"/>
  <c r="BF31" i="6" s="1"/>
  <c r="AP50" i="6"/>
  <c r="AX50" i="6" s="1"/>
  <c r="I50" i="6"/>
  <c r="AL50" i="6" s="1"/>
  <c r="BD50" i="6"/>
  <c r="AX51" i="6"/>
  <c r="BJ77" i="6"/>
  <c r="BC78" i="6"/>
  <c r="BJ719" i="3"/>
  <c r="AO719" i="3"/>
  <c r="BJ768" i="3"/>
  <c r="I776" i="3"/>
  <c r="AL776" i="3" s="1"/>
  <c r="AW776" i="3"/>
  <c r="AP787" i="3"/>
  <c r="AX787" i="3" s="1"/>
  <c r="BH790" i="3"/>
  <c r="AB790" i="3" s="1"/>
  <c r="L811" i="3"/>
  <c r="BF811" i="3" s="1"/>
  <c r="BH811" i="3"/>
  <c r="AB811" i="3" s="1"/>
  <c r="L827" i="3"/>
  <c r="BF827" i="3" s="1"/>
  <c r="AX827" i="3"/>
  <c r="AP840" i="3"/>
  <c r="AX840" i="3" s="1"/>
  <c r="BH843" i="3"/>
  <c r="AB843" i="3" s="1"/>
  <c r="AW851" i="3"/>
  <c r="AX860" i="3"/>
  <c r="L860" i="3"/>
  <c r="BF860" i="3" s="1"/>
  <c r="I860" i="3"/>
  <c r="AL860" i="3" s="1"/>
  <c r="BH868" i="3"/>
  <c r="AX880" i="3"/>
  <c r="L880" i="3"/>
  <c r="BJ880" i="3"/>
  <c r="BH880" i="3"/>
  <c r="AB880" i="3" s="1"/>
  <c r="AW880" i="3"/>
  <c r="I27" i="5"/>
  <c r="F29" i="5" s="1"/>
  <c r="AW23" i="6"/>
  <c r="BD77" i="6"/>
  <c r="AO77" i="6"/>
  <c r="AW77" i="6" s="1"/>
  <c r="AP719" i="3"/>
  <c r="AX719" i="3" s="1"/>
  <c r="BH726" i="3"/>
  <c r="AD726" i="3" s="1"/>
  <c r="BI790" i="3"/>
  <c r="AC790" i="3" s="1"/>
  <c r="BI843" i="3"/>
  <c r="AC843" i="3" s="1"/>
  <c r="L851" i="3"/>
  <c r="BF851" i="3" s="1"/>
  <c r="AX851" i="3"/>
  <c r="BD860" i="3"/>
  <c r="BH866" i="3"/>
  <c r="AX866" i="3"/>
  <c r="L866" i="3"/>
  <c r="BJ866" i="3"/>
  <c r="Z866" i="3" s="1"/>
  <c r="AO866" i="3"/>
  <c r="AW866" i="3" s="1"/>
  <c r="L868" i="3"/>
  <c r="BJ868" i="3"/>
  <c r="Z868" i="3" s="1"/>
  <c r="BI880" i="3"/>
  <c r="AC880" i="3" s="1"/>
  <c r="BJ31" i="6"/>
  <c r="AT32" i="6"/>
  <c r="AS32" i="6"/>
  <c r="I77" i="6"/>
  <c r="AL77" i="6" s="1"/>
  <c r="BI78" i="6"/>
  <c r="AC78" i="6" s="1"/>
  <c r="AX78" i="6"/>
  <c r="AV78" i="6" s="1"/>
  <c r="AW85" i="6"/>
  <c r="BH85" i="6"/>
  <c r="AF85" i="6" s="1"/>
  <c r="I14" i="9"/>
  <c r="BI14" i="9"/>
  <c r="AC14" i="9" s="1"/>
  <c r="BJ14" i="9"/>
  <c r="L14" i="9"/>
  <c r="AX14" i="9"/>
  <c r="BI726" i="3"/>
  <c r="AE726" i="3" s="1"/>
  <c r="BJ783" i="3"/>
  <c r="I800" i="3"/>
  <c r="AL800" i="3" s="1"/>
  <c r="AU786" i="3" s="1"/>
  <c r="BJ843" i="3"/>
  <c r="AP866" i="3"/>
  <c r="BI866" i="3" s="1"/>
  <c r="BJ870" i="3"/>
  <c r="Z870" i="3" s="1"/>
  <c r="BI870" i="3"/>
  <c r="BJ882" i="3"/>
  <c r="BI882" i="3"/>
  <c r="AC882" i="3" s="1"/>
  <c r="BH882" i="3"/>
  <c r="AB882" i="3" s="1"/>
  <c r="BI55" i="6"/>
  <c r="AG55" i="6" s="1"/>
  <c r="I75" i="6"/>
  <c r="AL75" i="6" s="1"/>
  <c r="AO75" i="6"/>
  <c r="BJ75" i="6"/>
  <c r="BD75" i="6"/>
  <c r="BI81" i="6"/>
  <c r="AC81" i="6" s="1"/>
  <c r="C26" i="4"/>
  <c r="F26" i="4" s="1"/>
  <c r="AT13" i="6"/>
  <c r="I24" i="6"/>
  <c r="AL24" i="6" s="1"/>
  <c r="AX24" i="6"/>
  <c r="L24" i="6"/>
  <c r="BF24" i="6" s="1"/>
  <c r="AP58" i="6"/>
  <c r="AX58" i="6" s="1"/>
  <c r="I58" i="6"/>
  <c r="AL58" i="6" s="1"/>
  <c r="BD58" i="6"/>
  <c r="AO89" i="6"/>
  <c r="AP94" i="6"/>
  <c r="AX94" i="6" s="1"/>
  <c r="BJ115" i="6"/>
  <c r="BI115" i="6"/>
  <c r="AG115" i="6" s="1"/>
  <c r="AX115" i="6"/>
  <c r="AW115" i="6"/>
  <c r="I115" i="6"/>
  <c r="AL115" i="6" s="1"/>
  <c r="BH115" i="6"/>
  <c r="AF115" i="6" s="1"/>
  <c r="L115" i="6"/>
  <c r="BF115" i="6" s="1"/>
  <c r="L719" i="3"/>
  <c r="BF719" i="3" s="1"/>
  <c r="AW783" i="3"/>
  <c r="BI827" i="3"/>
  <c r="AC827" i="3" s="1"/>
  <c r="BH851" i="3"/>
  <c r="AB851" i="3" s="1"/>
  <c r="BJ860" i="3"/>
  <c r="AW882" i="3"/>
  <c r="BI24" i="6"/>
  <c r="AC24" i="6" s="1"/>
  <c r="AW25" i="6"/>
  <c r="AO42" i="6"/>
  <c r="BJ58" i="6"/>
  <c r="BC64" i="6"/>
  <c r="AP80" i="6"/>
  <c r="BD80" i="6"/>
  <c r="AO80" i="6"/>
  <c r="BH80" i="6" s="1"/>
  <c r="AF80" i="6" s="1"/>
  <c r="BJ80" i="6"/>
  <c r="AP89" i="6"/>
  <c r="AO873" i="3"/>
  <c r="BD37" i="6"/>
  <c r="BJ41" i="6"/>
  <c r="BD47" i="6"/>
  <c r="BJ49" i="6"/>
  <c r="BD53" i="6"/>
  <c r="AO70" i="6"/>
  <c r="AW74" i="6"/>
  <c r="AO96" i="6"/>
  <c r="AX128" i="6"/>
  <c r="BJ155" i="6"/>
  <c r="BH155" i="6"/>
  <c r="AF155" i="6" s="1"/>
  <c r="I873" i="3"/>
  <c r="AL873" i="3" s="1"/>
  <c r="I70" i="6"/>
  <c r="AL70" i="6" s="1"/>
  <c r="AP70" i="6"/>
  <c r="AO90" i="6"/>
  <c r="I96" i="6"/>
  <c r="AL96" i="6" s="1"/>
  <c r="AP96" i="6"/>
  <c r="AX96" i="6" s="1"/>
  <c r="L128" i="6"/>
  <c r="BF128" i="6" s="1"/>
  <c r="BD131" i="6"/>
  <c r="L136" i="6"/>
  <c r="BF136" i="6" s="1"/>
  <c r="AP155" i="6"/>
  <c r="BI155" i="6" s="1"/>
  <c r="AG155" i="6" s="1"/>
  <c r="AV20" i="9"/>
  <c r="AP90" i="6"/>
  <c r="C25" i="7"/>
  <c r="BH16" i="9"/>
  <c r="AB16" i="9" s="1"/>
  <c r="AW16" i="9"/>
  <c r="I16" i="9"/>
  <c r="AL16" i="9" s="1"/>
  <c r="BJ16" i="9"/>
  <c r="AO25" i="9"/>
  <c r="BH25" i="9" s="1"/>
  <c r="AB25" i="9" s="1"/>
  <c r="BJ25" i="9"/>
  <c r="BI37" i="6"/>
  <c r="AC37" i="6" s="1"/>
  <c r="BI47" i="6"/>
  <c r="AG47" i="6" s="1"/>
  <c r="BI53" i="6"/>
  <c r="AC53" i="6" s="1"/>
  <c r="BJ67" i="6"/>
  <c r="BI71" i="6"/>
  <c r="AG71" i="6" s="1"/>
  <c r="AW86" i="6"/>
  <c r="I86" i="6"/>
  <c r="AL86" i="6" s="1"/>
  <c r="AO86" i="6"/>
  <c r="BH86" i="6" s="1"/>
  <c r="AB86" i="6" s="1"/>
  <c r="I90" i="6"/>
  <c r="AL90" i="6" s="1"/>
  <c r="AP116" i="6"/>
  <c r="AP140" i="6"/>
  <c r="AS144" i="6"/>
  <c r="BJ149" i="6"/>
  <c r="BI149" i="6"/>
  <c r="AC149" i="6" s="1"/>
  <c r="BH149" i="6"/>
  <c r="AB149" i="6" s="1"/>
  <c r="AO149" i="6"/>
  <c r="AW149" i="6" s="1"/>
  <c r="AW155" i="6"/>
  <c r="C26" i="7"/>
  <c r="F26" i="7" s="1"/>
  <c r="BD16" i="9"/>
  <c r="AP16" i="9"/>
  <c r="AX16" i="9" s="1"/>
  <c r="BI17" i="9"/>
  <c r="AC17" i="9" s="1"/>
  <c r="BH17" i="9"/>
  <c r="AB17" i="9" s="1"/>
  <c r="AO17" i="9"/>
  <c r="I18" i="11"/>
  <c r="F29" i="11" s="1"/>
  <c r="BJ53" i="6"/>
  <c r="AW69" i="6"/>
  <c r="BJ71" i="6"/>
  <c r="AX74" i="6"/>
  <c r="AO81" i="6"/>
  <c r="AW114" i="6"/>
  <c r="BC119" i="6"/>
  <c r="BI131" i="6"/>
  <c r="AC131" i="6" s="1"/>
  <c r="AT144" i="6"/>
  <c r="AP149" i="6"/>
  <c r="AX149" i="6" s="1"/>
  <c r="AX155" i="6"/>
  <c r="AS13" i="9"/>
  <c r="AO21" i="9"/>
  <c r="BH21" i="9" s="1"/>
  <c r="AB21" i="9" s="1"/>
  <c r="AS13" i="12"/>
  <c r="C25" i="10"/>
  <c r="AO22" i="6"/>
  <c r="AW22" i="6" s="1"/>
  <c r="AO29" i="6"/>
  <c r="AW29" i="6" s="1"/>
  <c r="L74" i="6"/>
  <c r="BF74" i="6" s="1"/>
  <c r="AP81" i="6"/>
  <c r="AX81" i="6" s="1"/>
  <c r="AW105" i="6"/>
  <c r="I105" i="6"/>
  <c r="AL105" i="6" s="1"/>
  <c r="AW112" i="6"/>
  <c r="AO114" i="6"/>
  <c r="AW116" i="6"/>
  <c r="AV119" i="6"/>
  <c r="AW123" i="6"/>
  <c r="AO127" i="6"/>
  <c r="AW127" i="6" s="1"/>
  <c r="AP130" i="6"/>
  <c r="BJ131" i="6"/>
  <c r="AW140" i="6"/>
  <c r="I149" i="6"/>
  <c r="AL149" i="6" s="1"/>
  <c r="L155" i="6"/>
  <c r="BF155" i="6" s="1"/>
  <c r="AT13" i="9"/>
  <c r="AO14" i="9"/>
  <c r="AW14" i="9" s="1"/>
  <c r="I17" i="9"/>
  <c r="AL17" i="9" s="1"/>
  <c r="AW17" i="9"/>
  <c r="AP21" i="9"/>
  <c r="AX21" i="9" s="1"/>
  <c r="AW132" i="6"/>
  <c r="BJ156" i="6"/>
  <c r="BI156" i="6"/>
  <c r="AG156" i="6" s="1"/>
  <c r="L16" i="9"/>
  <c r="BF16" i="9" s="1"/>
  <c r="AW28" i="9"/>
  <c r="BI28" i="9"/>
  <c r="AC28" i="9" s="1"/>
  <c r="BH28" i="9"/>
  <c r="AB28" i="9" s="1"/>
  <c r="L28" i="9"/>
  <c r="BF28" i="9" s="1"/>
  <c r="AX28" i="9"/>
  <c r="AT13" i="13"/>
  <c r="BJ16" i="12"/>
  <c r="BH16" i="12"/>
  <c r="AB16" i="12" s="1"/>
  <c r="AW16" i="12"/>
  <c r="BI16" i="12"/>
  <c r="AC16" i="12" s="1"/>
  <c r="AX16" i="12"/>
  <c r="I16" i="12"/>
  <c r="AL16" i="12" s="1"/>
  <c r="BH20" i="12"/>
  <c r="AB20" i="12" s="1"/>
  <c r="AW20" i="12"/>
  <c r="BH22" i="9"/>
  <c r="AB22" i="9" s="1"/>
  <c r="I22" i="9"/>
  <c r="AL22" i="9" s="1"/>
  <c r="AX22" i="9"/>
  <c r="AW22" i="9"/>
  <c r="BJ18" i="12"/>
  <c r="BI18" i="12"/>
  <c r="AC18" i="12" s="1"/>
  <c r="AX18" i="12"/>
  <c r="L18" i="12"/>
  <c r="BF18" i="12" s="1"/>
  <c r="I18" i="12"/>
  <c r="AL18" i="12" s="1"/>
  <c r="BH18" i="12"/>
  <c r="AB18" i="12" s="1"/>
  <c r="AW18" i="12"/>
  <c r="AO21" i="6"/>
  <c r="BH21" i="6" s="1"/>
  <c r="AB21" i="6" s="1"/>
  <c r="AO25" i="6"/>
  <c r="BH25" i="6" s="1"/>
  <c r="AB25" i="6" s="1"/>
  <c r="L64" i="6"/>
  <c r="BF64" i="6" s="1"/>
  <c r="AO67" i="6"/>
  <c r="L69" i="6"/>
  <c r="BF69" i="6" s="1"/>
  <c r="BI74" i="6"/>
  <c r="AG74" i="6" s="1"/>
  <c r="AX77" i="6"/>
  <c r="L81" i="6"/>
  <c r="BF81" i="6" s="1"/>
  <c r="AP85" i="6"/>
  <c r="AW94" i="6"/>
  <c r="L105" i="6"/>
  <c r="BF105" i="6" s="1"/>
  <c r="AO109" i="6"/>
  <c r="BH109" i="6" s="1"/>
  <c r="AB109" i="6" s="1"/>
  <c r="L114" i="6"/>
  <c r="BF114" i="6" s="1"/>
  <c r="BH114" i="6"/>
  <c r="AF114" i="6" s="1"/>
  <c r="L119" i="6"/>
  <c r="BF119" i="6" s="1"/>
  <c r="BJ119" i="6"/>
  <c r="L127" i="6"/>
  <c r="BF127" i="6" s="1"/>
  <c r="BH132" i="6"/>
  <c r="AB132" i="6" s="1"/>
  <c r="BJ150" i="6"/>
  <c r="BI150" i="6"/>
  <c r="AC150" i="6" s="1"/>
  <c r="BI152" i="6"/>
  <c r="AC152" i="6" s="1"/>
  <c r="BJ17" i="9"/>
  <c r="BH35" i="9"/>
  <c r="AB35" i="9" s="1"/>
  <c r="AO37" i="6"/>
  <c r="BH37" i="6" s="1"/>
  <c r="AB37" i="6" s="1"/>
  <c r="AO47" i="6"/>
  <c r="BH47" i="6" s="1"/>
  <c r="AF47" i="6" s="1"/>
  <c r="AO53" i="6"/>
  <c r="BH53" i="6" s="1"/>
  <c r="AB53" i="6" s="1"/>
  <c r="AO62" i="6"/>
  <c r="AW62" i="6" s="1"/>
  <c r="AP67" i="6"/>
  <c r="BJ121" i="6"/>
  <c r="BI121" i="6"/>
  <c r="AC121" i="6" s="1"/>
  <c r="BI127" i="6"/>
  <c r="AG127" i="6" s="1"/>
  <c r="BD130" i="6"/>
  <c r="BI132" i="6"/>
  <c r="AC132" i="6" s="1"/>
  <c r="L146" i="6"/>
  <c r="AO150" i="6"/>
  <c r="BH150" i="6" s="1"/>
  <c r="AB150" i="6" s="1"/>
  <c r="BJ152" i="6"/>
  <c r="AX156" i="6"/>
  <c r="BD14" i="9"/>
  <c r="AP31" i="9"/>
  <c r="I31" i="9"/>
  <c r="AL31" i="9" s="1"/>
  <c r="BJ31" i="9"/>
  <c r="BD31" i="9"/>
  <c r="BJ29" i="12"/>
  <c r="BI29" i="12"/>
  <c r="AC29" i="12" s="1"/>
  <c r="BH29" i="12"/>
  <c r="AB29" i="12" s="1"/>
  <c r="AW29" i="12"/>
  <c r="I29" i="12"/>
  <c r="AL29" i="12" s="1"/>
  <c r="L29" i="12"/>
  <c r="BF29" i="12" s="1"/>
  <c r="AX29" i="12"/>
  <c r="I37" i="6"/>
  <c r="I47" i="6"/>
  <c r="AL47" i="6" s="1"/>
  <c r="I53" i="6"/>
  <c r="AL53" i="6" s="1"/>
  <c r="I62" i="6"/>
  <c r="AL62" i="6" s="1"/>
  <c r="AP62" i="6"/>
  <c r="BI62" i="6" s="1"/>
  <c r="AG62" i="6" s="1"/>
  <c r="BH64" i="6"/>
  <c r="AB64" i="6" s="1"/>
  <c r="I67" i="6"/>
  <c r="AL67" i="6" s="1"/>
  <c r="AW80" i="6"/>
  <c r="I80" i="6"/>
  <c r="AL80" i="6" s="1"/>
  <c r="BJ86" i="6"/>
  <c r="BH105" i="6"/>
  <c r="AB105" i="6" s="1"/>
  <c r="BJ114" i="6"/>
  <c r="BJ127" i="6"/>
  <c r="L132" i="6"/>
  <c r="BF132" i="6" s="1"/>
  <c r="BJ132" i="6"/>
  <c r="AO136" i="6"/>
  <c r="BH136" i="6" s="1"/>
  <c r="AF136" i="6" s="1"/>
  <c r="BH146" i="6"/>
  <c r="AB146" i="6" s="1"/>
  <c r="I150" i="6"/>
  <c r="AL150" i="6" s="1"/>
  <c r="L154" i="6"/>
  <c r="BF154" i="6" s="1"/>
  <c r="I154" i="6"/>
  <c r="AL154" i="6" s="1"/>
  <c r="AW154" i="6"/>
  <c r="L156" i="6"/>
  <c r="BF156" i="6" s="1"/>
  <c r="I18" i="8"/>
  <c r="F29" i="8" s="1"/>
  <c r="BI22" i="9"/>
  <c r="AC22" i="9" s="1"/>
  <c r="BD14" i="12"/>
  <c r="AP14" i="12"/>
  <c r="AX14" i="12" s="1"/>
  <c r="AO14" i="12"/>
  <c r="BH14" i="12" s="1"/>
  <c r="AB14" i="12" s="1"/>
  <c r="L16" i="12"/>
  <c r="BF16" i="12" s="1"/>
  <c r="AP31" i="12"/>
  <c r="I31" i="12"/>
  <c r="AL31" i="12" s="1"/>
  <c r="BJ31" i="12"/>
  <c r="BD31" i="12"/>
  <c r="AO31" i="12"/>
  <c r="BJ128" i="6"/>
  <c r="BI128" i="6"/>
  <c r="AC128" i="6" s="1"/>
  <c r="BJ136" i="6"/>
  <c r="BI136" i="6"/>
  <c r="AG136" i="6" s="1"/>
  <c r="BI146" i="6"/>
  <c r="AC146" i="6" s="1"/>
  <c r="BD154" i="6"/>
  <c r="AP154" i="6"/>
  <c r="AX154" i="6" s="1"/>
  <c r="F22" i="7"/>
  <c r="I14" i="7"/>
  <c r="I22" i="7" s="1"/>
  <c r="I27" i="8"/>
  <c r="L22" i="9"/>
  <c r="BF22" i="9" s="1"/>
  <c r="BJ22" i="9"/>
  <c r="AV37" i="9"/>
  <c r="BC37" i="9"/>
  <c r="AP23" i="12"/>
  <c r="I23" i="12"/>
  <c r="BJ23" i="12"/>
  <c r="AO23" i="12"/>
  <c r="AL17" i="13"/>
  <c r="I13" i="13"/>
  <c r="BI14" i="6"/>
  <c r="AE14" i="6" s="1"/>
  <c r="C17" i="4" s="1"/>
  <c r="AO20" i="6"/>
  <c r="AW20" i="6" s="1"/>
  <c r="AO24" i="6"/>
  <c r="BH24" i="6" s="1"/>
  <c r="AB24" i="6" s="1"/>
  <c r="AO31" i="6"/>
  <c r="AW31" i="6" s="1"/>
  <c r="AW37" i="6"/>
  <c r="AW47" i="6"/>
  <c r="AX62" i="6"/>
  <c r="BI69" i="6"/>
  <c r="AG69" i="6" s="1"/>
  <c r="AW71" i="6"/>
  <c r="BI83" i="6"/>
  <c r="AC83" i="6" s="1"/>
  <c r="AO88" i="6"/>
  <c r="BH88" i="6" s="1"/>
  <c r="AF88" i="6" s="1"/>
  <c r="BI94" i="6"/>
  <c r="AG94" i="6" s="1"/>
  <c r="BJ105" i="6"/>
  <c r="AW113" i="6"/>
  <c r="AW117" i="6"/>
  <c r="AW121" i="6"/>
  <c r="AW125" i="6"/>
  <c r="BJ145" i="6"/>
  <c r="BI145" i="6"/>
  <c r="AG145" i="6" s="1"/>
  <c r="BJ146" i="6"/>
  <c r="C16" i="7"/>
  <c r="AP35" i="9"/>
  <c r="I35" i="9"/>
  <c r="AL35" i="9" s="1"/>
  <c r="BD35" i="9"/>
  <c r="BJ35" i="9"/>
  <c r="BJ38" i="9"/>
  <c r="I38" i="9"/>
  <c r="AL38" i="9" s="1"/>
  <c r="BF23" i="12"/>
  <c r="L22" i="12"/>
  <c r="BF14" i="13"/>
  <c r="L13" i="13"/>
  <c r="AO33" i="6"/>
  <c r="L37" i="6"/>
  <c r="BF37" i="6" s="1"/>
  <c r="BH41" i="6"/>
  <c r="AF41" i="6" s="1"/>
  <c r="AO44" i="6"/>
  <c r="L47" i="6"/>
  <c r="BF47" i="6" s="1"/>
  <c r="BH49" i="6"/>
  <c r="AB49" i="6" s="1"/>
  <c r="AO51" i="6"/>
  <c r="BH51" i="6" s="1"/>
  <c r="AF51" i="6" s="1"/>
  <c r="L53" i="6"/>
  <c r="BF53" i="6" s="1"/>
  <c r="BH55" i="6"/>
  <c r="AF55" i="6" s="1"/>
  <c r="AO60" i="6"/>
  <c r="BH60" i="6" s="1"/>
  <c r="AB60" i="6" s="1"/>
  <c r="L62" i="6"/>
  <c r="BF62" i="6" s="1"/>
  <c r="BJ69" i="6"/>
  <c r="AX71" i="6"/>
  <c r="BI77" i="6"/>
  <c r="AG77" i="6" s="1"/>
  <c r="AO83" i="6"/>
  <c r="AX121" i="6"/>
  <c r="I128" i="6"/>
  <c r="AL128" i="6" s="1"/>
  <c r="AO131" i="6"/>
  <c r="BH131" i="6" s="1"/>
  <c r="AB131" i="6" s="1"/>
  <c r="I136" i="6"/>
  <c r="AL136" i="6" s="1"/>
  <c r="AW136" i="6"/>
  <c r="L148" i="6"/>
  <c r="BF148" i="6" s="1"/>
  <c r="I148" i="6"/>
  <c r="AL148" i="6" s="1"/>
  <c r="AW148" i="6"/>
  <c r="L150" i="6"/>
  <c r="BF150" i="6" s="1"/>
  <c r="AX150" i="6"/>
  <c r="AX19" i="9"/>
  <c r="BC19" i="9" s="1"/>
  <c r="L19" i="9"/>
  <c r="BF19" i="9" s="1"/>
  <c r="BJ19" i="9"/>
  <c r="BH19" i="9"/>
  <c r="AB19" i="9" s="1"/>
  <c r="AP25" i="9"/>
  <c r="BI25" i="9" s="1"/>
  <c r="AC25" i="9" s="1"/>
  <c r="BD33" i="9"/>
  <c r="AP33" i="9"/>
  <c r="BI33" i="9" s="1"/>
  <c r="AC33" i="9" s="1"/>
  <c r="AO33" i="9"/>
  <c r="I83" i="6"/>
  <c r="AL83" i="6" s="1"/>
  <c r="BI96" i="6"/>
  <c r="AC96" i="6" s="1"/>
  <c r="L121" i="6"/>
  <c r="BF121" i="6" s="1"/>
  <c r="AW128" i="6"/>
  <c r="AX136" i="6"/>
  <c r="I145" i="6"/>
  <c r="BD148" i="6"/>
  <c r="AP148" i="6"/>
  <c r="BI148" i="6" s="1"/>
  <c r="AG148" i="6" s="1"/>
  <c r="BJ154" i="6"/>
  <c r="BC24" i="9"/>
  <c r="BD25" i="9"/>
  <c r="BC30" i="13"/>
  <c r="AV30" i="13"/>
  <c r="AV125" i="13"/>
  <c r="BC125" i="13"/>
  <c r="AS22" i="12"/>
  <c r="BC131" i="13"/>
  <c r="AV131" i="13"/>
  <c r="BI24" i="9"/>
  <c r="AC24" i="9" s="1"/>
  <c r="BH24" i="9"/>
  <c r="AB24" i="9" s="1"/>
  <c r="AP39" i="9"/>
  <c r="BJ39" i="9"/>
  <c r="AX19" i="13"/>
  <c r="BC19" i="13" s="1"/>
  <c r="BC46" i="13"/>
  <c r="AW36" i="9"/>
  <c r="BI36" i="9"/>
  <c r="AC36" i="9" s="1"/>
  <c r="BH36" i="9"/>
  <c r="AB36" i="9" s="1"/>
  <c r="AT13" i="12"/>
  <c r="BH67" i="13"/>
  <c r="AB67" i="13" s="1"/>
  <c r="AW67" i="13"/>
  <c r="BH134" i="13"/>
  <c r="AD134" i="13" s="1"/>
  <c r="AW134" i="13"/>
  <c r="I24" i="9"/>
  <c r="AL24" i="9" s="1"/>
  <c r="AW30" i="9"/>
  <c r="I30" i="9"/>
  <c r="AL30" i="9" s="1"/>
  <c r="AW40" i="9"/>
  <c r="BI40" i="9"/>
  <c r="AC40" i="9" s="1"/>
  <c r="BH40" i="9"/>
  <c r="AB40" i="9" s="1"/>
  <c r="C18" i="10"/>
  <c r="BC27" i="13"/>
  <c r="AU48" i="13"/>
  <c r="BH26" i="9"/>
  <c r="AB26" i="9" s="1"/>
  <c r="I26" i="9"/>
  <c r="AL26" i="9" s="1"/>
  <c r="AX30" i="9"/>
  <c r="BC49" i="13"/>
  <c r="AV49" i="13"/>
  <c r="AX70" i="13"/>
  <c r="BC70" i="13" s="1"/>
  <c r="BI70" i="13"/>
  <c r="AC70" i="13" s="1"/>
  <c r="I48" i="13"/>
  <c r="AV70" i="13"/>
  <c r="AV97" i="13"/>
  <c r="BC52" i="13"/>
  <c r="AV52" i="13"/>
  <c r="L23" i="9"/>
  <c r="BF23" i="9" s="1"/>
  <c r="L26" i="9"/>
  <c r="BF26" i="9" s="1"/>
  <c r="BJ34" i="9"/>
  <c r="I34" i="9"/>
  <c r="AL34" i="9" s="1"/>
  <c r="BI37" i="9"/>
  <c r="AC37" i="9" s="1"/>
  <c r="C21" i="10"/>
  <c r="AW25" i="12"/>
  <c r="I25" i="12"/>
  <c r="AL25" i="12" s="1"/>
  <c r="BI25" i="12"/>
  <c r="AC25" i="12" s="1"/>
  <c r="BH25" i="12"/>
  <c r="AB25" i="12" s="1"/>
  <c r="BC33" i="13"/>
  <c r="BC55" i="13"/>
  <c r="AV55" i="13"/>
  <c r="BC102" i="13"/>
  <c r="AV102" i="13"/>
  <c r="AP23" i="9"/>
  <c r="BI23" i="9" s="1"/>
  <c r="AC23" i="9" s="1"/>
  <c r="BJ24" i="9"/>
  <c r="BJ30" i="9"/>
  <c r="AX34" i="9"/>
  <c r="AX25" i="12"/>
  <c r="AX52" i="13"/>
  <c r="BC75" i="13"/>
  <c r="AV75" i="13"/>
  <c r="BI234" i="13"/>
  <c r="AE234" i="13" s="1"/>
  <c r="AX234" i="13"/>
  <c r="I23" i="9"/>
  <c r="AL23" i="9" s="1"/>
  <c r="AX25" i="9"/>
  <c r="L25" i="9"/>
  <c r="BF25" i="9" s="1"/>
  <c r="BI26" i="9"/>
  <c r="AC26" i="9" s="1"/>
  <c r="I37" i="9"/>
  <c r="AL37" i="9" s="1"/>
  <c r="BJ37" i="9"/>
  <c r="AW42" i="9"/>
  <c r="C16" i="10"/>
  <c r="BC36" i="13"/>
  <c r="AV36" i="13"/>
  <c r="AU69" i="13"/>
  <c r="AV115" i="13"/>
  <c r="BC115" i="13"/>
  <c r="AT139" i="13"/>
  <c r="AL231" i="13"/>
  <c r="AU177" i="13" s="1"/>
  <c r="I177" i="13"/>
  <c r="AV14" i="13"/>
  <c r="BI145" i="13"/>
  <c r="AE145" i="13" s="1"/>
  <c r="AX145" i="13"/>
  <c r="AV145" i="13" s="1"/>
  <c r="BC261" i="13"/>
  <c r="AV261" i="13"/>
  <c r="I113" i="6"/>
  <c r="AL113" i="6" s="1"/>
  <c r="I117" i="6"/>
  <c r="AL117" i="6" s="1"/>
  <c r="I125" i="6"/>
  <c r="AL125" i="6" s="1"/>
  <c r="I131" i="6"/>
  <c r="AL131" i="6" s="1"/>
  <c r="AO146" i="6"/>
  <c r="AW146" i="6" s="1"/>
  <c r="AO152" i="6"/>
  <c r="BH152" i="6" s="1"/>
  <c r="AB152" i="6" s="1"/>
  <c r="AX15" i="9"/>
  <c r="BH18" i="9"/>
  <c r="AB18" i="9" s="1"/>
  <c r="I18" i="9"/>
  <c r="AL18" i="9" s="1"/>
  <c r="I25" i="9"/>
  <c r="AL25" i="9" s="1"/>
  <c r="AX27" i="9"/>
  <c r="AV27" i="9" s="1"/>
  <c r="L27" i="9"/>
  <c r="BF27" i="9" s="1"/>
  <c r="BI29" i="9"/>
  <c r="AC29" i="9" s="1"/>
  <c r="AX29" i="9"/>
  <c r="L29" i="9"/>
  <c r="BF29" i="9" s="1"/>
  <c r="L34" i="9"/>
  <c r="BF34" i="9" s="1"/>
  <c r="BD18" i="12"/>
  <c r="L25" i="12"/>
  <c r="BF25" i="12" s="1"/>
  <c r="BJ25" i="12"/>
  <c r="AW27" i="12"/>
  <c r="AX14" i="13"/>
  <c r="BC14" i="13" s="1"/>
  <c r="BH52" i="13"/>
  <c r="AB52" i="13" s="1"/>
  <c r="BH55" i="13"/>
  <c r="AB55" i="13" s="1"/>
  <c r="AW58" i="13"/>
  <c r="AV78" i="13"/>
  <c r="BH102" i="13"/>
  <c r="AB102" i="13" s="1"/>
  <c r="AO15" i="9"/>
  <c r="AW18" i="9"/>
  <c r="BI20" i="9"/>
  <c r="AC20" i="9" s="1"/>
  <c r="BH20" i="9"/>
  <c r="AB20" i="9" s="1"/>
  <c r="AW25" i="9"/>
  <c r="BI34" i="9"/>
  <c r="AC34" i="9" s="1"/>
  <c r="AO39" i="9"/>
  <c r="BJ42" i="9"/>
  <c r="C19" i="10"/>
  <c r="AX27" i="12"/>
  <c r="BC42" i="13"/>
  <c r="L69" i="13"/>
  <c r="BF75" i="13"/>
  <c r="BI111" i="13"/>
  <c r="AC111" i="13" s="1"/>
  <c r="AX111" i="13"/>
  <c r="I15" i="9"/>
  <c r="AL15" i="9" s="1"/>
  <c r="AX18" i="9"/>
  <c r="BH23" i="9"/>
  <c r="AB23" i="9" s="1"/>
  <c r="I27" i="9"/>
  <c r="AL27" i="9" s="1"/>
  <c r="I29" i="9"/>
  <c r="AL29" i="9" s="1"/>
  <c r="AW29" i="9"/>
  <c r="AW32" i="9"/>
  <c r="BI32" i="9"/>
  <c r="AC32" i="9" s="1"/>
  <c r="BH32" i="9"/>
  <c r="AB32" i="9" s="1"/>
  <c r="I27" i="11"/>
  <c r="C20" i="10"/>
  <c r="BJ27" i="12"/>
  <c r="AU13" i="13"/>
  <c r="BC17" i="13"/>
  <c r="BC44" i="13"/>
  <c r="AV44" i="13"/>
  <c r="I139" i="13"/>
  <c r="AV192" i="13"/>
  <c r="AX105" i="13"/>
  <c r="BI158" i="13"/>
  <c r="AE158" i="13" s="1"/>
  <c r="AX158" i="13"/>
  <c r="AV158" i="13" s="1"/>
  <c r="BC165" i="13"/>
  <c r="AW176" i="13"/>
  <c r="AX209" i="13"/>
  <c r="BC231" i="13"/>
  <c r="AW234" i="13"/>
  <c r="BH234" i="13"/>
  <c r="AD234" i="13" s="1"/>
  <c r="BC246" i="13"/>
  <c r="BH250" i="13"/>
  <c r="AD250" i="13" s="1"/>
  <c r="AW250" i="13"/>
  <c r="BC296" i="13"/>
  <c r="L303" i="13"/>
  <c r="BF304" i="13"/>
  <c r="AW310" i="13"/>
  <c r="BH310" i="13"/>
  <c r="AD310" i="13" s="1"/>
  <c r="BH279" i="13"/>
  <c r="AD279" i="13" s="1"/>
  <c r="AW279" i="13"/>
  <c r="AU325" i="13"/>
  <c r="BH352" i="13"/>
  <c r="AD352" i="13" s="1"/>
  <c r="AW352" i="13"/>
  <c r="AO18" i="9"/>
  <c r="AO22" i="9"/>
  <c r="AO26" i="9"/>
  <c r="AW26" i="9" s="1"/>
  <c r="AO30" i="9"/>
  <c r="BH30" i="9" s="1"/>
  <c r="AB30" i="9" s="1"/>
  <c r="AO34" i="9"/>
  <c r="BH34" i="9" s="1"/>
  <c r="AB34" i="9" s="1"/>
  <c r="AO38" i="9"/>
  <c r="BH38" i="9" s="1"/>
  <c r="AB38" i="9" s="1"/>
  <c r="BI14" i="12"/>
  <c r="AC14" i="12" s="1"/>
  <c r="AX58" i="13"/>
  <c r="BC97" i="13"/>
  <c r="AT119" i="13"/>
  <c r="BF136" i="13"/>
  <c r="BI167" i="13"/>
  <c r="AE167" i="13" s="1"/>
  <c r="AX167" i="13"/>
  <c r="BC167" i="13" s="1"/>
  <c r="BC213" i="13"/>
  <c r="AW216" i="13"/>
  <c r="BH216" i="13"/>
  <c r="AD216" i="13" s="1"/>
  <c r="BH277" i="13"/>
  <c r="AD277" i="13" s="1"/>
  <c r="BC289" i="13"/>
  <c r="BH382" i="13"/>
  <c r="AD382" i="13" s="1"/>
  <c r="AW382" i="13"/>
  <c r="BJ14" i="12"/>
  <c r="AW83" i="13"/>
  <c r="AW143" i="13"/>
  <c r="BC192" i="13"/>
  <c r="AW195" i="13"/>
  <c r="BH195" i="13"/>
  <c r="AD195" i="13" s="1"/>
  <c r="AV236" i="13"/>
  <c r="BC281" i="13"/>
  <c r="AU297" i="13"/>
  <c r="BH316" i="13"/>
  <c r="AD316" i="13" s="1"/>
  <c r="AW316" i="13"/>
  <c r="BF346" i="13"/>
  <c r="BC379" i="13"/>
  <c r="AU479" i="13"/>
  <c r="AT177" i="13"/>
  <c r="AW238" i="13"/>
  <c r="BH238" i="13"/>
  <c r="AD238" i="13" s="1"/>
  <c r="L260" i="13"/>
  <c r="BF261" i="13"/>
  <c r="BH298" i="13"/>
  <c r="AD298" i="13" s="1"/>
  <c r="AW298" i="13"/>
  <c r="BI316" i="13"/>
  <c r="AE316" i="13" s="1"/>
  <c r="AX316" i="13"/>
  <c r="BF379" i="13"/>
  <c r="L378" i="13"/>
  <c r="AW138" i="13"/>
  <c r="AW152" i="13"/>
  <c r="AW161" i="13"/>
  <c r="AX216" i="13"/>
  <c r="BI238" i="13"/>
  <c r="AE238" i="13" s="1"/>
  <c r="AX238" i="13"/>
  <c r="AW283" i="13"/>
  <c r="BH283" i="13"/>
  <c r="AD283" i="13" s="1"/>
  <c r="AV291" i="13"/>
  <c r="BC300" i="13"/>
  <c r="BC318" i="13"/>
  <c r="AV318" i="13"/>
  <c r="BI283" i="13"/>
  <c r="AE283" i="13" s="1"/>
  <c r="AX283" i="13"/>
  <c r="I119" i="13"/>
  <c r="AW222" i="13"/>
  <c r="BH222" i="13"/>
  <c r="AD222" i="13" s="1"/>
  <c r="BC273" i="13"/>
  <c r="AV273" i="13"/>
  <c r="AX92" i="13"/>
  <c r="BI92" i="13"/>
  <c r="AC92" i="13" s="1"/>
  <c r="BC145" i="13"/>
  <c r="BI154" i="13"/>
  <c r="AE154" i="13" s="1"/>
  <c r="AX154" i="13"/>
  <c r="AV154" i="13" s="1"/>
  <c r="BC178" i="13"/>
  <c r="BC200" i="13"/>
  <c r="AW203" i="13"/>
  <c r="BH203" i="13"/>
  <c r="AD203" i="13" s="1"/>
  <c r="BC240" i="13"/>
  <c r="BH258" i="13"/>
  <c r="AW258" i="13"/>
  <c r="BC320" i="13"/>
  <c r="BC322" i="13"/>
  <c r="AV322" i="13"/>
  <c r="AS139" i="13"/>
  <c r="BI163" i="13"/>
  <c r="AE163" i="13" s="1"/>
  <c r="AX163" i="13"/>
  <c r="AV163" i="13" s="1"/>
  <c r="BC170" i="13"/>
  <c r="AW182" i="13"/>
  <c r="BH182" i="13"/>
  <c r="AD182" i="13" s="1"/>
  <c r="AX242" i="13"/>
  <c r="AV242" i="13" s="1"/>
  <c r="BI242" i="13"/>
  <c r="AE242" i="13" s="1"/>
  <c r="BH302" i="13"/>
  <c r="AW302" i="13"/>
  <c r="L33" i="9"/>
  <c r="BF33" i="9" s="1"/>
  <c r="AX33" i="9"/>
  <c r="L37" i="9"/>
  <c r="BF37" i="9" s="1"/>
  <c r="AX37" i="9"/>
  <c r="L42" i="9"/>
  <c r="BF42" i="9" s="1"/>
  <c r="AX42" i="9"/>
  <c r="I14" i="12"/>
  <c r="L27" i="12"/>
  <c r="BF27" i="12" s="1"/>
  <c r="AS69" i="13"/>
  <c r="BC154" i="13"/>
  <c r="AX222" i="13"/>
  <c r="AT325" i="13"/>
  <c r="AX78" i="13"/>
  <c r="BC78" i="13" s="1"/>
  <c r="BI78" i="13"/>
  <c r="AC78" i="13" s="1"/>
  <c r="L110" i="13"/>
  <c r="BF111" i="13"/>
  <c r="AL140" i="13"/>
  <c r="AU139" i="13" s="1"/>
  <c r="BC163" i="13"/>
  <c r="BI174" i="13"/>
  <c r="AE174" i="13" s="1"/>
  <c r="AX174" i="13"/>
  <c r="AV174" i="13" s="1"/>
  <c r="AX203" i="13"/>
  <c r="AS260" i="13"/>
  <c r="BC275" i="13"/>
  <c r="AV275" i="13"/>
  <c r="BI300" i="13"/>
  <c r="AE300" i="13" s="1"/>
  <c r="BC324" i="13"/>
  <c r="AV324" i="13"/>
  <c r="I69" i="13"/>
  <c r="L101" i="13"/>
  <c r="BH111" i="13"/>
  <c r="AB111" i="13" s="1"/>
  <c r="AW147" i="13"/>
  <c r="BC174" i="13"/>
  <c r="AX182" i="13"/>
  <c r="BC225" i="13"/>
  <c r="AW228" i="13"/>
  <c r="BH228" i="13"/>
  <c r="AD228" i="13" s="1"/>
  <c r="AV244" i="13"/>
  <c r="BI258" i="13"/>
  <c r="AT260" i="13"/>
  <c r="BH273" i="13"/>
  <c r="AD273" i="13" s="1"/>
  <c r="AX287" i="13"/>
  <c r="AV287" i="13" s="1"/>
  <c r="BI287" i="13"/>
  <c r="AE287" i="13" s="1"/>
  <c r="AV294" i="13"/>
  <c r="BI302" i="13"/>
  <c r="BC306" i="13"/>
  <c r="AV306" i="13"/>
  <c r="BI324" i="13"/>
  <c r="AX324" i="13"/>
  <c r="BC332" i="13"/>
  <c r="AV332" i="13"/>
  <c r="L14" i="12"/>
  <c r="AX125" i="13"/>
  <c r="BI140" i="13"/>
  <c r="AE140" i="13" s="1"/>
  <c r="AX140" i="13"/>
  <c r="AV140" i="13" s="1"/>
  <c r="AW156" i="13"/>
  <c r="AV186" i="13"/>
  <c r="BC206" i="13"/>
  <c r="AW209" i="13"/>
  <c r="BH209" i="13"/>
  <c r="AD209" i="13" s="1"/>
  <c r="BI228" i="13"/>
  <c r="AE228" i="13" s="1"/>
  <c r="AX228" i="13"/>
  <c r="BC304" i="13"/>
  <c r="AL346" i="13"/>
  <c r="AW189" i="13"/>
  <c r="BH189" i="13"/>
  <c r="AD189" i="13" s="1"/>
  <c r="BC277" i="13"/>
  <c r="AV277" i="13"/>
  <c r="BC287" i="13"/>
  <c r="BI338" i="13"/>
  <c r="AE338" i="13" s="1"/>
  <c r="AX338" i="13"/>
  <c r="AL379" i="13"/>
  <c r="AU378" i="13" s="1"/>
  <c r="BC64" i="13"/>
  <c r="BI102" i="13"/>
  <c r="AC102" i="13" s="1"/>
  <c r="BC136" i="13"/>
  <c r="BC140" i="13"/>
  <c r="BI150" i="13"/>
  <c r="AE150" i="13" s="1"/>
  <c r="AX150" i="13"/>
  <c r="BC150" i="13" s="1"/>
  <c r="BF182" i="13"/>
  <c r="L177" i="13"/>
  <c r="AV231" i="13"/>
  <c r="BH275" i="13"/>
  <c r="AD275" i="13" s="1"/>
  <c r="AL304" i="13"/>
  <c r="AU303" i="13" s="1"/>
  <c r="I303" i="13"/>
  <c r="AV308" i="13"/>
  <c r="AW338" i="13"/>
  <c r="BC425" i="13"/>
  <c r="AV372" i="13"/>
  <c r="AW395" i="13"/>
  <c r="AX443" i="13"/>
  <c r="BC466" i="13"/>
  <c r="BH500" i="13"/>
  <c r="AD500" i="13" s="1"/>
  <c r="AW500" i="13"/>
  <c r="AX680" i="13"/>
  <c r="BI680" i="13"/>
  <c r="AC680" i="13" s="1"/>
  <c r="BC681" i="13"/>
  <c r="AV681" i="13"/>
  <c r="BC703" i="13"/>
  <c r="AV703" i="13"/>
  <c r="BH261" i="13"/>
  <c r="AD261" i="13" s="1"/>
  <c r="AX366" i="13"/>
  <c r="BC366" i="13" s="1"/>
  <c r="BI425" i="13"/>
  <c r="AE425" i="13" s="1"/>
  <c r="AX425" i="13"/>
  <c r="AX466" i="13"/>
  <c r="AW612" i="13"/>
  <c r="BH612" i="13"/>
  <c r="AD612" i="13" s="1"/>
  <c r="BF665" i="13"/>
  <c r="L624" i="13"/>
  <c r="BH689" i="13"/>
  <c r="AW689" i="13"/>
  <c r="AW403" i="13"/>
  <c r="BC409" i="13"/>
  <c r="BC419" i="13"/>
  <c r="AV425" i="13"/>
  <c r="BI480" i="13"/>
  <c r="AE480" i="13" s="1"/>
  <c r="AX480" i="13"/>
  <c r="AX500" i="13"/>
  <c r="BI525" i="13"/>
  <c r="AE525" i="13" s="1"/>
  <c r="AX525" i="13"/>
  <c r="AW267" i="13"/>
  <c r="AX271" i="13"/>
  <c r="BC271" i="13" s="1"/>
  <c r="AV296" i="13"/>
  <c r="AX326" i="13"/>
  <c r="AV326" i="13" s="1"/>
  <c r="AV377" i="13"/>
  <c r="AW411" i="13"/>
  <c r="AW421" i="13"/>
  <c r="L479" i="13"/>
  <c r="L524" i="13"/>
  <c r="L576" i="13"/>
  <c r="BF577" i="13"/>
  <c r="AV616" i="13"/>
  <c r="BC616" i="13"/>
  <c r="AX248" i="13"/>
  <c r="AW263" i="13"/>
  <c r="AX267" i="13"/>
  <c r="AX296" i="13"/>
  <c r="AW312" i="13"/>
  <c r="BH372" i="13"/>
  <c r="BH373" i="13"/>
  <c r="AW373" i="13"/>
  <c r="AS430" i="13"/>
  <c r="AW448" i="13"/>
  <c r="AW480" i="13"/>
  <c r="AX505" i="13"/>
  <c r="BI505" i="13"/>
  <c r="AE505" i="13" s="1"/>
  <c r="AW525" i="13"/>
  <c r="BH533" i="13"/>
  <c r="AD533" i="13" s="1"/>
  <c r="AW533" i="13"/>
  <c r="BC699" i="13"/>
  <c r="AX263" i="13"/>
  <c r="AW344" i="13"/>
  <c r="AS378" i="13"/>
  <c r="AV397" i="13"/>
  <c r="BC505" i="13"/>
  <c r="BC619" i="13"/>
  <c r="AV619" i="13"/>
  <c r="AU684" i="13"/>
  <c r="AV358" i="13"/>
  <c r="BH377" i="13"/>
  <c r="BI448" i="13"/>
  <c r="AE448" i="13" s="1"/>
  <c r="BI557" i="13"/>
  <c r="AE557" i="13" s="1"/>
  <c r="AX557" i="13"/>
  <c r="BI673" i="13"/>
  <c r="AC673" i="13" s="1"/>
  <c r="AX673" i="13"/>
  <c r="AV673" i="13" s="1"/>
  <c r="BC512" i="13"/>
  <c r="AV512" i="13"/>
  <c r="AV542" i="13"/>
  <c r="BC542" i="13"/>
  <c r="BC622" i="13"/>
  <c r="AV622" i="13"/>
  <c r="I260" i="13"/>
  <c r="BH296" i="13"/>
  <c r="BC358" i="13"/>
  <c r="I430" i="13"/>
  <c r="BC452" i="13"/>
  <c r="AW557" i="13"/>
  <c r="BH293" i="13"/>
  <c r="AD293" i="13" s="1"/>
  <c r="AX308" i="13"/>
  <c r="BC308" i="13" s="1"/>
  <c r="AV370" i="13"/>
  <c r="BC390" i="13"/>
  <c r="AW399" i="13"/>
  <c r="AX431" i="13"/>
  <c r="BH619" i="13"/>
  <c r="AD619" i="13" s="1"/>
  <c r="BH692" i="13"/>
  <c r="AB692" i="13" s="1"/>
  <c r="AW692" i="13"/>
  <c r="AV346" i="13"/>
  <c r="AU430" i="13"/>
  <c r="AX692" i="13"/>
  <c r="BI692" i="13"/>
  <c r="AC692" i="13" s="1"/>
  <c r="AX250" i="13"/>
  <c r="AW314" i="13"/>
  <c r="AX346" i="13"/>
  <c r="BC346" i="13" s="1"/>
  <c r="AX370" i="13"/>
  <c r="BC370" i="13" s="1"/>
  <c r="AW407" i="13"/>
  <c r="AW415" i="13"/>
  <c r="L430" i="13"/>
  <c r="BF431" i="13"/>
  <c r="AW460" i="13"/>
  <c r="BC478" i="13"/>
  <c r="AV478" i="13"/>
  <c r="BC515" i="13"/>
  <c r="I556" i="13"/>
  <c r="AL557" i="13"/>
  <c r="AU556" i="13" s="1"/>
  <c r="AV567" i="13"/>
  <c r="BI625" i="13"/>
  <c r="AC625" i="13" s="1"/>
  <c r="AX625" i="13"/>
  <c r="AV625" i="13" s="1"/>
  <c r="AV438" i="13"/>
  <c r="AV544" i="13"/>
  <c r="BC625" i="13"/>
  <c r="AL375" i="13"/>
  <c r="AU374" i="13" s="1"/>
  <c r="I374" i="13"/>
  <c r="L684" i="13"/>
  <c r="BH269" i="13"/>
  <c r="AD269" i="13" s="1"/>
  <c r="BH370" i="13"/>
  <c r="AD370" i="13" s="1"/>
  <c r="BI438" i="13"/>
  <c r="AE438" i="13" s="1"/>
  <c r="AV466" i="13"/>
  <c r="AX549" i="13"/>
  <c r="BC549" i="13" s="1"/>
  <c r="BC665" i="13"/>
  <c r="AW680" i="13"/>
  <c r="BH680" i="13"/>
  <c r="AB680" i="13" s="1"/>
  <c r="BH694" i="13"/>
  <c r="AB694" i="13" s="1"/>
  <c r="AW694" i="13"/>
  <c r="I698" i="13"/>
  <c r="BI746" i="13"/>
  <c r="AC746" i="13" s="1"/>
  <c r="AX746" i="13"/>
  <c r="AX757" i="13"/>
  <c r="AV757" i="13" s="1"/>
  <c r="BI757" i="13"/>
  <c r="AG757" i="13" s="1"/>
  <c r="BC463" i="13"/>
  <c r="AX561" i="13"/>
  <c r="AV561" i="13" s="1"/>
  <c r="I576" i="13"/>
  <c r="AV636" i="13"/>
  <c r="BC656" i="13"/>
  <c r="AU668" i="13"/>
  <c r="AV675" i="13"/>
  <c r="BH681" i="13"/>
  <c r="L698" i="13"/>
  <c r="AV713" i="13"/>
  <c r="AV723" i="13"/>
  <c r="AX765" i="13"/>
  <c r="BI765" i="13"/>
  <c r="AG765" i="13" s="1"/>
  <c r="AW768" i="13"/>
  <c r="BH768" i="13"/>
  <c r="AF768" i="13" s="1"/>
  <c r="I668" i="13"/>
  <c r="BC669" i="13"/>
  <c r="AV669" i="13"/>
  <c r="AV699" i="13"/>
  <c r="BC734" i="13"/>
  <c r="AV747" i="13"/>
  <c r="BC747" i="13"/>
  <c r="BC688" i="13"/>
  <c r="AV688" i="13"/>
  <c r="AX770" i="13"/>
  <c r="BI770" i="13"/>
  <c r="AG770" i="13" s="1"/>
  <c r="BH561" i="13"/>
  <c r="AD561" i="13" s="1"/>
  <c r="AT611" i="13"/>
  <c r="I624" i="13"/>
  <c r="AX683" i="13"/>
  <c r="AV683" i="13" s="1"/>
  <c r="AX699" i="13"/>
  <c r="BC706" i="13"/>
  <c r="I712" i="13"/>
  <c r="BI728" i="13"/>
  <c r="AC728" i="13" s="1"/>
  <c r="BC730" i="13"/>
  <c r="AV730" i="13"/>
  <c r="AV771" i="13"/>
  <c r="I479" i="13"/>
  <c r="I524" i="13"/>
  <c r="L556" i="13"/>
  <c r="I611" i="13"/>
  <c r="AL683" i="13"/>
  <c r="AU682" i="13" s="1"/>
  <c r="I682" i="13"/>
  <c r="BC683" i="13"/>
  <c r="BF686" i="13"/>
  <c r="BI694" i="13"/>
  <c r="AC694" i="13" s="1"/>
  <c r="BC716" i="13"/>
  <c r="AV716" i="13"/>
  <c r="BC724" i="13"/>
  <c r="AV724" i="13"/>
  <c r="AW741" i="13"/>
  <c r="AV718" i="13"/>
  <c r="BC700" i="13"/>
  <c r="AV742" i="13"/>
  <c r="BC742" i="13"/>
  <c r="BC685" i="13"/>
  <c r="AV685" i="13"/>
  <c r="L695" i="13"/>
  <c r="AV750" i="13"/>
  <c r="AV505" i="13"/>
  <c r="AL622" i="13"/>
  <c r="AU621" i="13" s="1"/>
  <c r="BI697" i="13"/>
  <c r="AE697" i="13" s="1"/>
  <c r="AX697" i="13"/>
  <c r="AV704" i="13"/>
  <c r="AV710" i="13"/>
  <c r="BI716" i="13"/>
  <c r="AC716" i="13" s="1"/>
  <c r="BC719" i="13"/>
  <c r="AV719" i="13"/>
  <c r="BI724" i="13"/>
  <c r="AC724" i="13" s="1"/>
  <c r="BC726" i="13"/>
  <c r="AV726" i="13"/>
  <c r="BC737" i="13"/>
  <c r="AV737" i="13"/>
  <c r="AX753" i="13"/>
  <c r="BI753" i="13"/>
  <c r="AG753" i="13" s="1"/>
  <c r="BI773" i="13"/>
  <c r="AC773" i="13" s="1"/>
  <c r="AS576" i="13"/>
  <c r="AV627" i="13"/>
  <c r="I684" i="13"/>
  <c r="BH718" i="13"/>
  <c r="AF718" i="13" s="1"/>
  <c r="BH725" i="13"/>
  <c r="AF725" i="13" s="1"/>
  <c r="BC732" i="13"/>
  <c r="AV753" i="13"/>
  <c r="AT576" i="13"/>
  <c r="AW650" i="13"/>
  <c r="BC674" i="13"/>
  <c r="AV674" i="13"/>
  <c r="AX689" i="13"/>
  <c r="AV693" i="13"/>
  <c r="AW697" i="13"/>
  <c r="BI718" i="13"/>
  <c r="AG718" i="13" s="1"/>
  <c r="BI725" i="13"/>
  <c r="AG725" i="13" s="1"/>
  <c r="BI732" i="13"/>
  <c r="AG732" i="13" s="1"/>
  <c r="AX732" i="13"/>
  <c r="BC738" i="13"/>
  <c r="AV738" i="13"/>
  <c r="BC744" i="13"/>
  <c r="AV744" i="13"/>
  <c r="BI750" i="13"/>
  <c r="AC750" i="13" s="1"/>
  <c r="BC753" i="13"/>
  <c r="AV531" i="13"/>
  <c r="AL577" i="13"/>
  <c r="AU576" i="13" s="1"/>
  <c r="BC627" i="13"/>
  <c r="AX650" i="13"/>
  <c r="BC690" i="13"/>
  <c r="AV690" i="13"/>
  <c r="AS698" i="13"/>
  <c r="BC720" i="13"/>
  <c r="BC727" i="13"/>
  <c r="BI731" i="13"/>
  <c r="AC731" i="13" s="1"/>
  <c r="AV732" i="13"/>
  <c r="BH739" i="13"/>
  <c r="AB739" i="13" s="1"/>
  <c r="AW739" i="13"/>
  <c r="BC745" i="13"/>
  <c r="AV745" i="13"/>
  <c r="AV523" i="13"/>
  <c r="AW555" i="13"/>
  <c r="BC561" i="13"/>
  <c r="AX701" i="13"/>
  <c r="BH719" i="13"/>
  <c r="AB719" i="13" s="1"/>
  <c r="BC722" i="13"/>
  <c r="AV722" i="13"/>
  <c r="BH726" i="13"/>
  <c r="AB726" i="13" s="1"/>
  <c r="AV733" i="13"/>
  <c r="BC733" i="13"/>
  <c r="BH737" i="13"/>
  <c r="AB737" i="13" s="1"/>
  <c r="BC779" i="13"/>
  <c r="AV779" i="13"/>
  <c r="BI719" i="13"/>
  <c r="AC719" i="13" s="1"/>
  <c r="BI726" i="13"/>
  <c r="AC726" i="13" s="1"/>
  <c r="BC728" i="13"/>
  <c r="AV728" i="13"/>
  <c r="BH732" i="13"/>
  <c r="AF732" i="13" s="1"/>
  <c r="AX733" i="13"/>
  <c r="BH746" i="13"/>
  <c r="AB746" i="13" s="1"/>
  <c r="AW746" i="13"/>
  <c r="AX797" i="13"/>
  <c r="BI797" i="13"/>
  <c r="AG797" i="13" s="1"/>
  <c r="BC823" i="13"/>
  <c r="AV823" i="13"/>
  <c r="AW778" i="13"/>
  <c r="BH778" i="13"/>
  <c r="AF778" i="13" s="1"/>
  <c r="BC797" i="13"/>
  <c r="AV797" i="13"/>
  <c r="BC817" i="13"/>
  <c r="AV817" i="13"/>
  <c r="AW824" i="13"/>
  <c r="BH824" i="13"/>
  <c r="AB824" i="13" s="1"/>
  <c r="BC773" i="13"/>
  <c r="BC811" i="13"/>
  <c r="AV811" i="13"/>
  <c r="AW818" i="13"/>
  <c r="BH818" i="13"/>
  <c r="AB818" i="13" s="1"/>
  <c r="BC834" i="13"/>
  <c r="AV834" i="13"/>
  <c r="BC784" i="13"/>
  <c r="AX793" i="13"/>
  <c r="AV793" i="13" s="1"/>
  <c r="BI793" i="13"/>
  <c r="AG793" i="13" s="1"/>
  <c r="BC805" i="13"/>
  <c r="AV805" i="13"/>
  <c r="AW812" i="13"/>
  <c r="BH812" i="13"/>
  <c r="AB812" i="13" s="1"/>
  <c r="AX833" i="13"/>
  <c r="BC833" i="13" s="1"/>
  <c r="BI833" i="13"/>
  <c r="AC833" i="13" s="1"/>
  <c r="AW774" i="13"/>
  <c r="BH774" i="13"/>
  <c r="AB774" i="13" s="1"/>
  <c r="AW806" i="13"/>
  <c r="BH806" i="13"/>
  <c r="AB806" i="13" s="1"/>
  <c r="AU831" i="13"/>
  <c r="BC763" i="13"/>
  <c r="BC769" i="13"/>
  <c r="AW787" i="13"/>
  <c r="BH787" i="13"/>
  <c r="AB787" i="13" s="1"/>
  <c r="BC825" i="13"/>
  <c r="AV825" i="13"/>
  <c r="L831" i="13"/>
  <c r="L830" i="13" s="1"/>
  <c r="AT836" i="13"/>
  <c r="BC819" i="13"/>
  <c r="AV819" i="13"/>
  <c r="AW826" i="13"/>
  <c r="BH826" i="13"/>
  <c r="AB826" i="13" s="1"/>
  <c r="AX835" i="13"/>
  <c r="AV835" i="13" s="1"/>
  <c r="BI835" i="13"/>
  <c r="AC835" i="13" s="1"/>
  <c r="AW770" i="13"/>
  <c r="BH770" i="13"/>
  <c r="AF770" i="13" s="1"/>
  <c r="AX799" i="13"/>
  <c r="BI799" i="13"/>
  <c r="AG799" i="13" s="1"/>
  <c r="BC813" i="13"/>
  <c r="AV813" i="13"/>
  <c r="AW820" i="13"/>
  <c r="BH820" i="13"/>
  <c r="AB820" i="13" s="1"/>
  <c r="BC835" i="13"/>
  <c r="AW780" i="13"/>
  <c r="BH780" i="13"/>
  <c r="AB780" i="13" s="1"/>
  <c r="BC799" i="13"/>
  <c r="AV799" i="13"/>
  <c r="AT801" i="13"/>
  <c r="BC807" i="13"/>
  <c r="AV807" i="13"/>
  <c r="AW814" i="13"/>
  <c r="BH814" i="13"/>
  <c r="AB814" i="13" s="1"/>
  <c r="AV838" i="13"/>
  <c r="BC838" i="13"/>
  <c r="AW765" i="13"/>
  <c r="BC775" i="13"/>
  <c r="AU790" i="13"/>
  <c r="AX795" i="13"/>
  <c r="BC795" i="13" s="1"/>
  <c r="BI795" i="13"/>
  <c r="AC795" i="13" s="1"/>
  <c r="AW808" i="13"/>
  <c r="BH808" i="13"/>
  <c r="AB808" i="13" s="1"/>
  <c r="BC827" i="13"/>
  <c r="AV827" i="13"/>
  <c r="AX775" i="13"/>
  <c r="AV775" i="13" s="1"/>
  <c r="AW802" i="13"/>
  <c r="BH802" i="13"/>
  <c r="AB802" i="13" s="1"/>
  <c r="AW828" i="13"/>
  <c r="BH828" i="13"/>
  <c r="AB828" i="13" s="1"/>
  <c r="AV840" i="13"/>
  <c r="BC840" i="13"/>
  <c r="BC771" i="13"/>
  <c r="AW776" i="13"/>
  <c r="BH776" i="13"/>
  <c r="AB776" i="13" s="1"/>
  <c r="I801" i="13"/>
  <c r="I800" i="13" s="1"/>
  <c r="BC821" i="13"/>
  <c r="AV821" i="13"/>
  <c r="AL837" i="13"/>
  <c r="AU836" i="13" s="1"/>
  <c r="I836" i="13"/>
  <c r="BC839" i="13"/>
  <c r="AV839" i="13"/>
  <c r="AW749" i="13"/>
  <c r="BC755" i="13"/>
  <c r="AV781" i="13"/>
  <c r="BC791" i="13"/>
  <c r="AV791" i="13"/>
  <c r="L801" i="13"/>
  <c r="L800" i="13" s="1"/>
  <c r="BC815" i="13"/>
  <c r="AV815" i="13"/>
  <c r="AW822" i="13"/>
  <c r="BH822" i="13"/>
  <c r="AB822" i="13" s="1"/>
  <c r="BF837" i="13"/>
  <c r="L836" i="13"/>
  <c r="AW772" i="13"/>
  <c r="BH772" i="13"/>
  <c r="AF772" i="13" s="1"/>
  <c r="BC809" i="13"/>
  <c r="AV809" i="13"/>
  <c r="AW816" i="13"/>
  <c r="BH816" i="13"/>
  <c r="AB816" i="13" s="1"/>
  <c r="BC829" i="13"/>
  <c r="AV829" i="13"/>
  <c r="BC766" i="13"/>
  <c r="BC803" i="13"/>
  <c r="AV803" i="13"/>
  <c r="AW810" i="13"/>
  <c r="BH810" i="13"/>
  <c r="AB810" i="13" s="1"/>
  <c r="AV777" i="13"/>
  <c r="AW782" i="13"/>
  <c r="BH782" i="13"/>
  <c r="AB782" i="13" s="1"/>
  <c r="AW804" i="13"/>
  <c r="BH804" i="13"/>
  <c r="AB804" i="13" s="1"/>
  <c r="BC832" i="13"/>
  <c r="AV832" i="13"/>
  <c r="BH838" i="13"/>
  <c r="AB838" i="13" s="1"/>
  <c r="BH840" i="13"/>
  <c r="AB840" i="13" s="1"/>
  <c r="AV841" i="13"/>
  <c r="I831" i="13"/>
  <c r="I830" i="13" s="1"/>
  <c r="C20" i="15" l="1"/>
  <c r="BC27" i="9"/>
  <c r="C27" i="15"/>
  <c r="F26" i="1"/>
  <c r="C28" i="15"/>
  <c r="F28" i="15" s="1"/>
  <c r="AW14" i="12"/>
  <c r="BC127" i="6"/>
  <c r="AV127" i="6"/>
  <c r="AV611" i="3"/>
  <c r="BC611" i="3"/>
  <c r="BC220" i="3"/>
  <c r="AV220" i="3"/>
  <c r="AV20" i="6"/>
  <c r="BC20" i="6"/>
  <c r="BC62" i="6"/>
  <c r="AV62" i="6"/>
  <c r="BC811" i="3"/>
  <c r="AV811" i="3"/>
  <c r="BC156" i="6"/>
  <c r="AV156" i="6"/>
  <c r="AV561" i="3"/>
  <c r="BC561" i="3"/>
  <c r="BC402" i="3"/>
  <c r="AV402" i="3"/>
  <c r="AV31" i="6"/>
  <c r="BC31" i="6"/>
  <c r="BC129" i="3"/>
  <c r="AV129" i="3"/>
  <c r="BC687" i="3"/>
  <c r="AV687" i="3"/>
  <c r="AV146" i="6"/>
  <c r="BC146" i="6"/>
  <c r="AV473" i="3"/>
  <c r="BC473" i="3"/>
  <c r="BC461" i="3"/>
  <c r="AV461" i="3"/>
  <c r="BC877" i="3"/>
  <c r="AV877" i="3"/>
  <c r="BC726" i="3"/>
  <c r="AV726" i="3"/>
  <c r="AV37" i="3"/>
  <c r="BC37" i="3"/>
  <c r="BC816" i="13"/>
  <c r="AV816" i="13"/>
  <c r="BC749" i="13"/>
  <c r="AV749" i="13"/>
  <c r="BC802" i="13"/>
  <c r="AV802" i="13"/>
  <c r="BC814" i="13"/>
  <c r="AV814" i="13"/>
  <c r="AV833" i="13"/>
  <c r="AV778" i="13"/>
  <c r="BC778" i="13"/>
  <c r="AV399" i="13"/>
  <c r="BC399" i="13"/>
  <c r="AV263" i="13"/>
  <c r="BC263" i="13"/>
  <c r="AV156" i="13"/>
  <c r="BC156" i="13"/>
  <c r="BC143" i="13"/>
  <c r="AV143" i="13"/>
  <c r="BC111" i="13"/>
  <c r="AV111" i="13"/>
  <c r="BC40" i="9"/>
  <c r="AV40" i="9"/>
  <c r="AX39" i="9"/>
  <c r="BI39" i="9"/>
  <c r="AG39" i="9" s="1"/>
  <c r="C19" i="7" s="1"/>
  <c r="C19" i="15" s="1"/>
  <c r="AW83" i="6"/>
  <c r="BH83" i="6"/>
  <c r="AB83" i="6" s="1"/>
  <c r="AV125" i="6"/>
  <c r="BC125" i="6"/>
  <c r="AX67" i="6"/>
  <c r="BI67" i="6"/>
  <c r="AC67" i="6" s="1"/>
  <c r="BC132" i="6"/>
  <c r="AV132" i="6"/>
  <c r="AV112" i="6"/>
  <c r="BC112" i="6"/>
  <c r="BC149" i="6"/>
  <c r="AV149" i="6"/>
  <c r="AV882" i="3"/>
  <c r="BC882" i="3"/>
  <c r="AW714" i="3"/>
  <c r="BH714" i="3"/>
  <c r="AD714" i="3" s="1"/>
  <c r="BH20" i="6"/>
  <c r="AB20" i="6" s="1"/>
  <c r="AW675" i="3"/>
  <c r="BH675" i="3"/>
  <c r="BH346" i="3"/>
  <c r="AD346" i="3" s="1"/>
  <c r="AW346" i="3"/>
  <c r="BC666" i="3"/>
  <c r="AV666" i="3"/>
  <c r="BI475" i="3"/>
  <c r="AE475" i="3" s="1"/>
  <c r="AX475" i="3"/>
  <c r="L786" i="3"/>
  <c r="AV548" i="3"/>
  <c r="BC548" i="3"/>
  <c r="BC862" i="3"/>
  <c r="AV862" i="3"/>
  <c r="AW21" i="6"/>
  <c r="AV651" i="3"/>
  <c r="BC421" i="3"/>
  <c r="AV499" i="3"/>
  <c r="BC499" i="3"/>
  <c r="BC494" i="3"/>
  <c r="AV494" i="3"/>
  <c r="AV226" i="3"/>
  <c r="BC226" i="3"/>
  <c r="BC322" i="3"/>
  <c r="AV322" i="3"/>
  <c r="AV377" i="3"/>
  <c r="BH473" i="3"/>
  <c r="AD473" i="3" s="1"/>
  <c r="BC211" i="3"/>
  <c r="AV211" i="3"/>
  <c r="BC14" i="3"/>
  <c r="AV14" i="3"/>
  <c r="BC179" i="3"/>
  <c r="AV179" i="3"/>
  <c r="I1" i="13"/>
  <c r="AV311" i="3"/>
  <c r="BC612" i="13"/>
  <c r="AV612" i="13"/>
  <c r="AV338" i="13"/>
  <c r="BC338" i="13"/>
  <c r="BC182" i="13"/>
  <c r="AV182" i="13"/>
  <c r="BC83" i="13"/>
  <c r="AV83" i="13"/>
  <c r="BC121" i="6"/>
  <c r="AV121" i="6"/>
  <c r="C27" i="7"/>
  <c r="F27" i="7" s="1"/>
  <c r="BC16" i="12"/>
  <c r="AV16" i="12"/>
  <c r="BC114" i="6"/>
  <c r="AV114" i="6"/>
  <c r="I13" i="9"/>
  <c r="AL14" i="9"/>
  <c r="AU13" i="9" s="1"/>
  <c r="AW661" i="3"/>
  <c r="BH661" i="3"/>
  <c r="AD661" i="3" s="1"/>
  <c r="BC772" i="3"/>
  <c r="AV772" i="3"/>
  <c r="L676" i="3"/>
  <c r="BF677" i="3"/>
  <c r="AV540" i="3"/>
  <c r="BC540" i="3"/>
  <c r="AV551" i="3"/>
  <c r="BC551" i="3"/>
  <c r="AV19" i="6"/>
  <c r="BC19" i="6"/>
  <c r="BC254" i="3"/>
  <c r="AV254" i="3"/>
  <c r="BC388" i="3"/>
  <c r="AU676" i="3"/>
  <c r="BC334" i="3"/>
  <c r="AV334" i="3"/>
  <c r="BC141" i="3"/>
  <c r="AV141" i="3"/>
  <c r="BC196" i="3"/>
  <c r="AV196" i="3"/>
  <c r="L61" i="3"/>
  <c r="BC199" i="3"/>
  <c r="AV199" i="3"/>
  <c r="AV533" i="13"/>
  <c r="BC533" i="13"/>
  <c r="AV271" i="13"/>
  <c r="BF880" i="3"/>
  <c r="L879" i="3"/>
  <c r="BC776" i="3"/>
  <c r="AV776" i="3"/>
  <c r="AW636" i="3"/>
  <c r="BH636" i="3"/>
  <c r="AD636" i="3" s="1"/>
  <c r="BC108" i="6"/>
  <c r="AV108" i="6"/>
  <c r="BC91" i="6"/>
  <c r="AV91" i="6"/>
  <c r="BC615" i="3"/>
  <c r="AV615" i="3"/>
  <c r="AW109" i="6"/>
  <c r="L771" i="3"/>
  <c r="BF772" i="3"/>
  <c r="BC700" i="3"/>
  <c r="AV700" i="3"/>
  <c r="BI840" i="3"/>
  <c r="AX467" i="3"/>
  <c r="BH299" i="3"/>
  <c r="AD299" i="3" s="1"/>
  <c r="AW299" i="3"/>
  <c r="BH452" i="3"/>
  <c r="AD452" i="3" s="1"/>
  <c r="AW452" i="3"/>
  <c r="BC269" i="3"/>
  <c r="AV269" i="3"/>
  <c r="I676" i="3"/>
  <c r="AV157" i="3"/>
  <c r="BC157" i="3"/>
  <c r="BI67" i="3"/>
  <c r="AC67" i="3" s="1"/>
  <c r="AX67" i="3"/>
  <c r="BI211" i="3"/>
  <c r="AE211" i="3" s="1"/>
  <c r="I13" i="3"/>
  <c r="AL14" i="3"/>
  <c r="AU13" i="3" s="1"/>
  <c r="AV113" i="3"/>
  <c r="AV770" i="13"/>
  <c r="BC770" i="13"/>
  <c r="AV415" i="13"/>
  <c r="BC415" i="13"/>
  <c r="AV17" i="9"/>
  <c r="BC17" i="9"/>
  <c r="BH90" i="6"/>
  <c r="AF90" i="6" s="1"/>
  <c r="AW90" i="6"/>
  <c r="AV407" i="13"/>
  <c r="BC407" i="13"/>
  <c r="AV382" i="13"/>
  <c r="BC382" i="13"/>
  <c r="BC25" i="12"/>
  <c r="AV25" i="12"/>
  <c r="AV167" i="13"/>
  <c r="BH156" i="6"/>
  <c r="AF156" i="6" s="1"/>
  <c r="AV113" i="6"/>
  <c r="BC113" i="6"/>
  <c r="I842" i="13"/>
  <c r="I12" i="13"/>
  <c r="AX70" i="6"/>
  <c r="BI70" i="6"/>
  <c r="AG70" i="6" s="1"/>
  <c r="C19" i="4" s="1"/>
  <c r="AW24" i="6"/>
  <c r="BH877" i="3"/>
  <c r="AW88" i="6"/>
  <c r="BH596" i="3"/>
  <c r="AD596" i="3" s="1"/>
  <c r="AW596" i="3"/>
  <c r="BF561" i="3"/>
  <c r="L560" i="3"/>
  <c r="BC543" i="3"/>
  <c r="AV543" i="3"/>
  <c r="AW875" i="3"/>
  <c r="AV677" i="3"/>
  <c r="BC677" i="3"/>
  <c r="BC484" i="3"/>
  <c r="AV484" i="3"/>
  <c r="BC14" i="6"/>
  <c r="AV14" i="6"/>
  <c r="AV839" i="3"/>
  <c r="BC839" i="3"/>
  <c r="I17" i="6"/>
  <c r="I12" i="6" s="1"/>
  <c r="AL18" i="6"/>
  <c r="I620" i="3"/>
  <c r="BH611" i="3"/>
  <c r="AD611" i="3" s="1"/>
  <c r="BC245" i="3"/>
  <c r="AV245" i="3"/>
  <c r="AL96" i="3"/>
  <c r="AU95" i="3" s="1"/>
  <c r="I95" i="3"/>
  <c r="I406" i="3"/>
  <c r="AL407" i="3"/>
  <c r="AU406" i="3" s="1"/>
  <c r="AX388" i="3"/>
  <c r="AV388" i="3" s="1"/>
  <c r="BC317" i="3"/>
  <c r="AV317" i="3"/>
  <c r="AX366" i="3"/>
  <c r="AW467" i="3"/>
  <c r="AV363" i="3"/>
  <c r="BC363" i="3"/>
  <c r="AV96" i="3"/>
  <c r="BC96" i="3"/>
  <c r="BI208" i="3"/>
  <c r="AE208" i="3" s="1"/>
  <c r="L433" i="3"/>
  <c r="BI199" i="3"/>
  <c r="AE199" i="3" s="1"/>
  <c r="BC680" i="13"/>
  <c r="AV680" i="13"/>
  <c r="AV765" i="13"/>
  <c r="BC765" i="13"/>
  <c r="BC757" i="13"/>
  <c r="BF14" i="12"/>
  <c r="L13" i="12"/>
  <c r="L12" i="12" s="1"/>
  <c r="I144" i="6"/>
  <c r="AL145" i="6"/>
  <c r="AU144" i="6" s="1"/>
  <c r="BI154" i="6"/>
  <c r="AG154" i="6" s="1"/>
  <c r="AW38" i="9"/>
  <c r="BC94" i="6"/>
  <c r="AV94" i="6"/>
  <c r="BC14" i="9"/>
  <c r="AV14" i="9"/>
  <c r="BC783" i="3"/>
  <c r="AV783" i="3"/>
  <c r="I879" i="3"/>
  <c r="AW21" i="9"/>
  <c r="BH72" i="6"/>
  <c r="AB72" i="6" s="1"/>
  <c r="AW72" i="6"/>
  <c r="BC868" i="3"/>
  <c r="AV868" i="3"/>
  <c r="AV30" i="6"/>
  <c r="BC30" i="6"/>
  <c r="BC531" i="3"/>
  <c r="AV531" i="3"/>
  <c r="BC55" i="6"/>
  <c r="AV55" i="6"/>
  <c r="BI425" i="3"/>
  <c r="AE425" i="3" s="1"/>
  <c r="AX425" i="3"/>
  <c r="AV58" i="6"/>
  <c r="BC58" i="6"/>
  <c r="BI477" i="3"/>
  <c r="AE477" i="3" s="1"/>
  <c r="AX477" i="3"/>
  <c r="BC18" i="6"/>
  <c r="AV18" i="6"/>
  <c r="BH600" i="3"/>
  <c r="AD600" i="3" s="1"/>
  <c r="AW600" i="3"/>
  <c r="AX399" i="3"/>
  <c r="BH220" i="3"/>
  <c r="AD220" i="3" s="1"/>
  <c r="BC303" i="3"/>
  <c r="AV303" i="3"/>
  <c r="L240" i="3"/>
  <c r="BF241" i="3"/>
  <c r="BH320" i="3"/>
  <c r="AD320" i="3" s="1"/>
  <c r="AU149" i="3"/>
  <c r="BH281" i="3"/>
  <c r="AD281" i="3" s="1"/>
  <c r="AW281" i="3"/>
  <c r="AV241" i="3"/>
  <c r="BI54" i="3"/>
  <c r="AC54" i="3" s="1"/>
  <c r="AX54" i="3"/>
  <c r="BC414" i="3"/>
  <c r="AX37" i="3"/>
  <c r="BI196" i="3"/>
  <c r="AE196" i="3" s="1"/>
  <c r="AV307" i="3"/>
  <c r="BC307" i="3"/>
  <c r="BI101" i="3"/>
  <c r="AC101" i="3" s="1"/>
  <c r="BC820" i="13"/>
  <c r="AV820" i="13"/>
  <c r="AV117" i="6"/>
  <c r="BC117" i="6"/>
  <c r="BC806" i="13"/>
  <c r="AV806" i="13"/>
  <c r="BC525" i="13"/>
  <c r="AV525" i="13"/>
  <c r="AV134" i="13"/>
  <c r="BC134" i="13"/>
  <c r="BC154" i="6"/>
  <c r="AV154" i="6"/>
  <c r="AX31" i="9"/>
  <c r="BI31" i="9"/>
  <c r="AC31" i="9" s="1"/>
  <c r="BI85" i="6"/>
  <c r="AG85" i="6" s="1"/>
  <c r="AX85" i="6"/>
  <c r="BC85" i="6" s="1"/>
  <c r="BC29" i="6"/>
  <c r="AV29" i="6"/>
  <c r="BC69" i="6"/>
  <c r="AV69" i="6"/>
  <c r="BI140" i="6"/>
  <c r="AC140" i="6" s="1"/>
  <c r="AX140" i="6"/>
  <c r="AV140" i="6" s="1"/>
  <c r="BH62" i="6"/>
  <c r="AF62" i="6" s="1"/>
  <c r="BH873" i="3"/>
  <c r="AW873" i="3"/>
  <c r="BH780" i="3"/>
  <c r="AD780" i="3" s="1"/>
  <c r="BH719" i="3"/>
  <c r="AD719" i="3" s="1"/>
  <c r="AW719" i="3"/>
  <c r="BH29" i="6"/>
  <c r="AB29" i="6" s="1"/>
  <c r="BC519" i="3"/>
  <c r="AV519" i="3"/>
  <c r="BC645" i="3"/>
  <c r="AV645" i="3"/>
  <c r="BC641" i="3"/>
  <c r="AV641" i="3"/>
  <c r="AV534" i="3"/>
  <c r="BC534" i="3"/>
  <c r="L17" i="6"/>
  <c r="BF18" i="6"/>
  <c r="BI600" i="3"/>
  <c r="AE600" i="3" s="1"/>
  <c r="AX600" i="3"/>
  <c r="AL399" i="3"/>
  <c r="AU398" i="3" s="1"/>
  <c r="I398" i="3"/>
  <c r="BI191" i="3"/>
  <c r="AX191" i="3"/>
  <c r="BI317" i="3"/>
  <c r="AE317" i="3" s="1"/>
  <c r="AW345" i="3"/>
  <c r="BC92" i="3"/>
  <c r="AV92" i="3"/>
  <c r="BH208" i="3"/>
  <c r="AD208" i="3" s="1"/>
  <c r="AW208" i="3"/>
  <c r="BI165" i="3"/>
  <c r="AE165" i="3" s="1"/>
  <c r="AV776" i="13"/>
  <c r="BC776" i="13"/>
  <c r="AV795" i="13"/>
  <c r="BC238" i="13"/>
  <c r="AV238" i="13"/>
  <c r="AV250" i="13"/>
  <c r="BC250" i="13"/>
  <c r="BC92" i="13"/>
  <c r="AV92" i="13"/>
  <c r="BC746" i="13"/>
  <c r="AV746" i="13"/>
  <c r="BC673" i="13"/>
  <c r="AL14" i="12"/>
  <c r="I13" i="12"/>
  <c r="AV26" i="9"/>
  <c r="BC26" i="9"/>
  <c r="AW23" i="12"/>
  <c r="BH23" i="12"/>
  <c r="AB23" i="12" s="1"/>
  <c r="AV782" i="13"/>
  <c r="BC782" i="13"/>
  <c r="BC793" i="13"/>
  <c r="BC701" i="13"/>
  <c r="AV701" i="13"/>
  <c r="AV549" i="13"/>
  <c r="BC694" i="13"/>
  <c r="AV694" i="13"/>
  <c r="AV314" i="13"/>
  <c r="BC314" i="13"/>
  <c r="BC557" i="13"/>
  <c r="AV557" i="13"/>
  <c r="BC189" i="13"/>
  <c r="AV189" i="13"/>
  <c r="BC242" i="13"/>
  <c r="AV161" i="13"/>
  <c r="BC161" i="13"/>
  <c r="BC234" i="13"/>
  <c r="AV234" i="13"/>
  <c r="BC27" i="12"/>
  <c r="AV27" i="12"/>
  <c r="AV19" i="13"/>
  <c r="AW131" i="6"/>
  <c r="AV22" i="6"/>
  <c r="BC22" i="6"/>
  <c r="BI116" i="6"/>
  <c r="AG116" i="6" s="1"/>
  <c r="AX116" i="6"/>
  <c r="BC16" i="9"/>
  <c r="AV16" i="9"/>
  <c r="AW60" i="6"/>
  <c r="BI811" i="3"/>
  <c r="AC811" i="3" s="1"/>
  <c r="AW860" i="3"/>
  <c r="BI719" i="3"/>
  <c r="AE719" i="3" s="1"/>
  <c r="BI21" i="9"/>
  <c r="AC21" i="9" s="1"/>
  <c r="AL843" i="3"/>
  <c r="AU842" i="3" s="1"/>
  <c r="I842" i="3"/>
  <c r="AW587" i="3"/>
  <c r="AV528" i="3"/>
  <c r="BC528" i="3"/>
  <c r="AW399" i="3"/>
  <c r="BH409" i="3"/>
  <c r="AD409" i="3" s="1"/>
  <c r="AV320" i="3"/>
  <c r="BC320" i="3"/>
  <c r="AV184" i="3"/>
  <c r="BC184" i="3"/>
  <c r="AV787" i="13"/>
  <c r="BC787" i="13"/>
  <c r="AV768" i="13"/>
  <c r="BC768" i="13"/>
  <c r="BC248" i="13"/>
  <c r="AV248" i="13"/>
  <c r="BH81" i="6"/>
  <c r="AB81" i="6" s="1"/>
  <c r="AW81" i="6"/>
  <c r="BC697" i="13"/>
  <c r="AV697" i="13"/>
  <c r="BC228" i="13"/>
  <c r="AV228" i="13"/>
  <c r="BC826" i="13"/>
  <c r="AV826" i="13"/>
  <c r="BC818" i="13"/>
  <c r="AV818" i="13"/>
  <c r="I695" i="13"/>
  <c r="BC808" i="13"/>
  <c r="AV808" i="13"/>
  <c r="AV780" i="13"/>
  <c r="BC780" i="13"/>
  <c r="BC480" i="13"/>
  <c r="AV480" i="13"/>
  <c r="AV403" i="13"/>
  <c r="BC403" i="13"/>
  <c r="AV152" i="13"/>
  <c r="BC152" i="13"/>
  <c r="AW34" i="9"/>
  <c r="AV67" i="13"/>
  <c r="BC67" i="13"/>
  <c r="AV128" i="6"/>
  <c r="BC128" i="6"/>
  <c r="AL23" i="12"/>
  <c r="AU22" i="12" s="1"/>
  <c r="I22" i="12"/>
  <c r="AW51" i="6"/>
  <c r="BF843" i="3"/>
  <c r="L842" i="3"/>
  <c r="BH22" i="6"/>
  <c r="AB22" i="6" s="1"/>
  <c r="C14" i="4" s="1"/>
  <c r="C22" i="4" s="1"/>
  <c r="I488" i="3"/>
  <c r="AL489" i="3"/>
  <c r="AU488" i="3" s="1"/>
  <c r="AX582" i="3"/>
  <c r="BC582" i="3" s="1"/>
  <c r="BI582" i="3"/>
  <c r="AE582" i="3" s="1"/>
  <c r="BI171" i="3"/>
  <c r="AE171" i="3" s="1"/>
  <c r="AX171" i="3"/>
  <c r="L488" i="3"/>
  <c r="I433" i="3"/>
  <c r="BC328" i="3"/>
  <c r="AV328" i="3"/>
  <c r="I192" i="3"/>
  <c r="AW101" i="3"/>
  <c r="BC324" i="3"/>
  <c r="AV324" i="3"/>
  <c r="AV351" i="3"/>
  <c r="BC351" i="3"/>
  <c r="AV51" i="3"/>
  <c r="BC51" i="3"/>
  <c r="AV443" i="13"/>
  <c r="BC443" i="13"/>
  <c r="BC283" i="13"/>
  <c r="AV283" i="13"/>
  <c r="BC58" i="13"/>
  <c r="AV58" i="13"/>
  <c r="AV30" i="9"/>
  <c r="BC30" i="9"/>
  <c r="BC804" i="13"/>
  <c r="AV804" i="13"/>
  <c r="AV772" i="13"/>
  <c r="BC772" i="13"/>
  <c r="BC822" i="13"/>
  <c r="AV822" i="13"/>
  <c r="AV774" i="13"/>
  <c r="BC774" i="13"/>
  <c r="AV555" i="13"/>
  <c r="BC555" i="13"/>
  <c r="BC650" i="13"/>
  <c r="AV650" i="13"/>
  <c r="BC448" i="13"/>
  <c r="AV448" i="13"/>
  <c r="AV421" i="13"/>
  <c r="BC421" i="13"/>
  <c r="BC689" i="13"/>
  <c r="AV689" i="13"/>
  <c r="AV138" i="13"/>
  <c r="BC138" i="13"/>
  <c r="AV316" i="13"/>
  <c r="BC316" i="13"/>
  <c r="BC216" i="13"/>
  <c r="AV216" i="13"/>
  <c r="BC352" i="13"/>
  <c r="AV352" i="13"/>
  <c r="BH39" i="9"/>
  <c r="AF39" i="9" s="1"/>
  <c r="C18" i="7" s="1"/>
  <c r="C18" i="15" s="1"/>
  <c r="AW39" i="9"/>
  <c r="BH77" i="6"/>
  <c r="AF77" i="6" s="1"/>
  <c r="AX23" i="12"/>
  <c r="BI23" i="12"/>
  <c r="AC23" i="12" s="1"/>
  <c r="C15" i="10" s="1"/>
  <c r="BC22" i="9"/>
  <c r="AV22" i="9"/>
  <c r="BI16" i="9"/>
  <c r="AC16" i="9" s="1"/>
  <c r="C15" i="7" s="1"/>
  <c r="I786" i="3"/>
  <c r="BI58" i="6"/>
  <c r="AC58" i="6" s="1"/>
  <c r="BH800" i="3"/>
  <c r="AB800" i="3" s="1"/>
  <c r="AW800" i="3"/>
  <c r="BC369" i="3"/>
  <c r="AV369" i="3"/>
  <c r="AU433" i="3"/>
  <c r="AV386" i="3"/>
  <c r="BC386" i="3"/>
  <c r="BC239" i="3"/>
  <c r="AV239" i="3"/>
  <c r="BH461" i="3"/>
  <c r="AD461" i="3" s="1"/>
  <c r="AV291" i="3"/>
  <c r="BC291" i="3"/>
  <c r="I61" i="3"/>
  <c r="AL62" i="3"/>
  <c r="AU61" i="3" s="1"/>
  <c r="AV214" i="3"/>
  <c r="BC214" i="3"/>
  <c r="AV20" i="3"/>
  <c r="BC20" i="3"/>
  <c r="AV165" i="3"/>
  <c r="BC165" i="3"/>
  <c r="BF351" i="3"/>
  <c r="L347" i="3"/>
  <c r="AX223" i="3"/>
  <c r="AV223" i="3" s="1"/>
  <c r="AV411" i="13"/>
  <c r="BC411" i="13"/>
  <c r="BC147" i="13"/>
  <c r="AV147" i="13"/>
  <c r="BC258" i="13"/>
  <c r="AV258" i="13"/>
  <c r="BC222" i="13"/>
  <c r="AV222" i="13"/>
  <c r="AV176" i="13"/>
  <c r="BC176" i="13"/>
  <c r="BC32" i="9"/>
  <c r="AV32" i="9"/>
  <c r="AV42" i="9"/>
  <c r="BC42" i="9"/>
  <c r="AV150" i="13"/>
  <c r="BC71" i="6"/>
  <c r="AV71" i="6"/>
  <c r="AW31" i="12"/>
  <c r="BH31" i="12"/>
  <c r="AB31" i="12" s="1"/>
  <c r="BC851" i="3"/>
  <c r="AV851" i="3"/>
  <c r="AV19" i="9"/>
  <c r="L32" i="6"/>
  <c r="L12" i="6" s="1"/>
  <c r="AL555" i="3"/>
  <c r="AU554" i="3" s="1"/>
  <c r="I554" i="3"/>
  <c r="BI628" i="3"/>
  <c r="AE628" i="3" s="1"/>
  <c r="AX628" i="3"/>
  <c r="BI800" i="3"/>
  <c r="AC800" i="3" s="1"/>
  <c r="AX800" i="3"/>
  <c r="BC477" i="3"/>
  <c r="AV477" i="3"/>
  <c r="BC202" i="3"/>
  <c r="AV202" i="3"/>
  <c r="BC576" i="3"/>
  <c r="AV576" i="3"/>
  <c r="AW337" i="3"/>
  <c r="BH337" i="3"/>
  <c r="AD337" i="3" s="1"/>
  <c r="BC407" i="3"/>
  <c r="AV407" i="3"/>
  <c r="AV273" i="3"/>
  <c r="BC273" i="3"/>
  <c r="BC67" i="3"/>
  <c r="AV67" i="3"/>
  <c r="BC824" i="13"/>
  <c r="AV824" i="13"/>
  <c r="BC741" i="13"/>
  <c r="AV741" i="13"/>
  <c r="AV373" i="13"/>
  <c r="BC373" i="13"/>
  <c r="BC500" i="13"/>
  <c r="AV500" i="13"/>
  <c r="AV29" i="9"/>
  <c r="BC29" i="9"/>
  <c r="BC25" i="9"/>
  <c r="AV25" i="9"/>
  <c r="AX148" i="6"/>
  <c r="BC148" i="6" s="1"/>
  <c r="AX35" i="9"/>
  <c r="BI35" i="9"/>
  <c r="AC35" i="9" s="1"/>
  <c r="AL37" i="6"/>
  <c r="AU32" i="6" s="1"/>
  <c r="I32" i="6"/>
  <c r="L144" i="6"/>
  <c r="BF146" i="6"/>
  <c r="BH67" i="6"/>
  <c r="AB67" i="6" s="1"/>
  <c r="AW67" i="6"/>
  <c r="BI130" i="6"/>
  <c r="AC130" i="6" s="1"/>
  <c r="AX130" i="6"/>
  <c r="AV86" i="6"/>
  <c r="BC86" i="6"/>
  <c r="BI90" i="6"/>
  <c r="AG90" i="6" s="1"/>
  <c r="AX90" i="6"/>
  <c r="AX80" i="6"/>
  <c r="BC80" i="6" s="1"/>
  <c r="BI80" i="6"/>
  <c r="AG80" i="6" s="1"/>
  <c r="AV115" i="6"/>
  <c r="BC115" i="6"/>
  <c r="AV555" i="3"/>
  <c r="BC555" i="3"/>
  <c r="BC780" i="3"/>
  <c r="AV780" i="3"/>
  <c r="AX440" i="3"/>
  <c r="BC440" i="3" s="1"/>
  <c r="BI440" i="3"/>
  <c r="AE440" i="3" s="1"/>
  <c r="BC341" i="3"/>
  <c r="AV341" i="3"/>
  <c r="BH870" i="3"/>
  <c r="AW870" i="3"/>
  <c r="AV523" i="3"/>
  <c r="BC523" i="3"/>
  <c r="AL736" i="3"/>
  <c r="AU735" i="3" s="1"/>
  <c r="I735" i="3"/>
  <c r="L192" i="3"/>
  <c r="BF193" i="3"/>
  <c r="AW191" i="3"/>
  <c r="BH191" i="3"/>
  <c r="BF407" i="3"/>
  <c r="L406" i="3"/>
  <c r="BC72" i="3"/>
  <c r="AV72" i="3"/>
  <c r="AV82" i="3"/>
  <c r="BC82" i="3"/>
  <c r="BH202" i="3"/>
  <c r="AD202" i="3" s="1"/>
  <c r="BC29" i="3"/>
  <c r="AV29" i="3"/>
  <c r="AV279" i="13"/>
  <c r="BC279" i="13"/>
  <c r="AW33" i="9"/>
  <c r="BH33" i="9"/>
  <c r="AB33" i="9" s="1"/>
  <c r="AV136" i="6"/>
  <c r="BC136" i="6"/>
  <c r="AW44" i="6"/>
  <c r="BH44" i="6"/>
  <c r="AF44" i="6" s="1"/>
  <c r="BC28" i="9"/>
  <c r="AV28" i="9"/>
  <c r="BC77" i="6"/>
  <c r="AV77" i="6"/>
  <c r="AW840" i="3"/>
  <c r="BH840" i="3"/>
  <c r="AV884" i="3"/>
  <c r="BC884" i="3"/>
  <c r="I157" i="6"/>
  <c r="AW818" i="3"/>
  <c r="BH434" i="3"/>
  <c r="AD434" i="3" s="1"/>
  <c r="AW434" i="3"/>
  <c r="AV515" i="3"/>
  <c r="BC515" i="3"/>
  <c r="AX736" i="3"/>
  <c r="BC49" i="6"/>
  <c r="AV49" i="6"/>
  <c r="BC849" i="3"/>
  <c r="AV849" i="3"/>
  <c r="AW314" i="3"/>
  <c r="BH314" i="3"/>
  <c r="AD314" i="3" s="1"/>
  <c r="AW332" i="3"/>
  <c r="BH332" i="3"/>
  <c r="AD332" i="3" s="1"/>
  <c r="BC418" i="3"/>
  <c r="AV418" i="3"/>
  <c r="BH171" i="3"/>
  <c r="AD171" i="3" s="1"/>
  <c r="C16" i="1" s="1"/>
  <c r="C16" i="15" s="1"/>
  <c r="AW171" i="3"/>
  <c r="BC295" i="3"/>
  <c r="AV295" i="3"/>
  <c r="AX504" i="3"/>
  <c r="BC504" i="3" s="1"/>
  <c r="L135" i="3"/>
  <c r="BF136" i="3"/>
  <c r="I347" i="3"/>
  <c r="BC357" i="3"/>
  <c r="AV357" i="3"/>
  <c r="BC229" i="3"/>
  <c r="AV229" i="3"/>
  <c r="AW62" i="3"/>
  <c r="BH62" i="3"/>
  <c r="AB62" i="3" s="1"/>
  <c r="C14" i="1" s="1"/>
  <c r="I164" i="3"/>
  <c r="AL165" i="3"/>
  <c r="AU164" i="3" s="1"/>
  <c r="L13" i="3"/>
  <c r="BF29" i="3"/>
  <c r="L164" i="3"/>
  <c r="BH106" i="3"/>
  <c r="AB106" i="3" s="1"/>
  <c r="BC812" i="13"/>
  <c r="AV812" i="13"/>
  <c r="BC739" i="13"/>
  <c r="AV739" i="13"/>
  <c r="BC692" i="13"/>
  <c r="AV692" i="13"/>
  <c r="AV302" i="13"/>
  <c r="BC302" i="13"/>
  <c r="BC158" i="13"/>
  <c r="AX23" i="9"/>
  <c r="BC36" i="9"/>
  <c r="AV36" i="9"/>
  <c r="AW150" i="6"/>
  <c r="AW53" i="6"/>
  <c r="BH127" i="6"/>
  <c r="AF127" i="6" s="1"/>
  <c r="AV20" i="12"/>
  <c r="BC20" i="12"/>
  <c r="AV123" i="6"/>
  <c r="BC123" i="6"/>
  <c r="BF868" i="3"/>
  <c r="L867" i="3"/>
  <c r="AW827" i="3"/>
  <c r="AL868" i="3"/>
  <c r="AU867" i="3" s="1"/>
  <c r="I867" i="3"/>
  <c r="BI105" i="6"/>
  <c r="AC105" i="6" s="1"/>
  <c r="AX105" i="6"/>
  <c r="BC105" i="6" s="1"/>
  <c r="BH423" i="3"/>
  <c r="AD423" i="3" s="1"/>
  <c r="AW423" i="3"/>
  <c r="BC712" i="3"/>
  <c r="AV712" i="3"/>
  <c r="BC425" i="3"/>
  <c r="AV425" i="3"/>
  <c r="AW706" i="3"/>
  <c r="AW481" i="3"/>
  <c r="BH481" i="3"/>
  <c r="BC446" i="3"/>
  <c r="AV446" i="3"/>
  <c r="BC843" i="3"/>
  <c r="AV843" i="3"/>
  <c r="I560" i="3"/>
  <c r="AU713" i="3"/>
  <c r="BH405" i="3"/>
  <c r="AW405" i="3"/>
  <c r="BC550" i="3"/>
  <c r="AV550" i="3"/>
  <c r="BF96" i="3"/>
  <c r="L95" i="3"/>
  <c r="BI390" i="3"/>
  <c r="AE390" i="3" s="1"/>
  <c r="AX390" i="3"/>
  <c r="BC390" i="3" s="1"/>
  <c r="BH87" i="3"/>
  <c r="AB87" i="3" s="1"/>
  <c r="AW87" i="3"/>
  <c r="BC277" i="3"/>
  <c r="AV277" i="3"/>
  <c r="AU347" i="3"/>
  <c r="AX570" i="3"/>
  <c r="BC570" i="3" s="1"/>
  <c r="AW454" i="3"/>
  <c r="BH454" i="3"/>
  <c r="AD454" i="3" s="1"/>
  <c r="AV32" i="3"/>
  <c r="BC32" i="3"/>
  <c r="BH254" i="3"/>
  <c r="AD254" i="3" s="1"/>
  <c r="AX188" i="3"/>
  <c r="AV123" i="3"/>
  <c r="BC123" i="3"/>
  <c r="AX57" i="3"/>
  <c r="BC57" i="3" s="1"/>
  <c r="BC14" i="12"/>
  <c r="AV14" i="12"/>
  <c r="AV18" i="9"/>
  <c r="BC18" i="9"/>
  <c r="BC47" i="6"/>
  <c r="AV47" i="6"/>
  <c r="AX31" i="12"/>
  <c r="BI31" i="12"/>
  <c r="AC31" i="12" s="1"/>
  <c r="AW96" i="6"/>
  <c r="BH96" i="6"/>
  <c r="AB96" i="6" s="1"/>
  <c r="BH42" i="6"/>
  <c r="AB42" i="6" s="1"/>
  <c r="AW42" i="6"/>
  <c r="L13" i="9"/>
  <c r="L12" i="9" s="1"/>
  <c r="BF14" i="9"/>
  <c r="BC866" i="3"/>
  <c r="AV866" i="3"/>
  <c r="AV23" i="6"/>
  <c r="BC23" i="6"/>
  <c r="AW787" i="3"/>
  <c r="BH787" i="3"/>
  <c r="AB787" i="3" s="1"/>
  <c r="AV50" i="6"/>
  <c r="BC50" i="6"/>
  <c r="AV621" i="3"/>
  <c r="BC621" i="3"/>
  <c r="AV409" i="3"/>
  <c r="BC409" i="3"/>
  <c r="BC411" i="3"/>
  <c r="AV411" i="3"/>
  <c r="I713" i="3"/>
  <c r="AW487" i="3"/>
  <c r="BH487" i="3"/>
  <c r="BC106" i="3"/>
  <c r="AV106" i="3"/>
  <c r="BI87" i="3"/>
  <c r="AC87" i="3" s="1"/>
  <c r="C15" i="1" s="1"/>
  <c r="C15" i="15" s="1"/>
  <c r="AX87" i="3"/>
  <c r="AL241" i="3"/>
  <c r="AU240" i="3" s="1"/>
  <c r="I240" i="3"/>
  <c r="AV188" i="3"/>
  <c r="BC188" i="3"/>
  <c r="AV232" i="3"/>
  <c r="BC232" i="3"/>
  <c r="BC78" i="3"/>
  <c r="AV78" i="3"/>
  <c r="BH15" i="9"/>
  <c r="AB15" i="9" s="1"/>
  <c r="AW15" i="9"/>
  <c r="BC74" i="6"/>
  <c r="AV74" i="6"/>
  <c r="BC25" i="6"/>
  <c r="AV25" i="6"/>
  <c r="AW75" i="6"/>
  <c r="BH75" i="6"/>
  <c r="AB75" i="6" s="1"/>
  <c r="BI787" i="3"/>
  <c r="AC787" i="3" s="1"/>
  <c r="AV790" i="3"/>
  <c r="BC790" i="3"/>
  <c r="AV89" i="6"/>
  <c r="BC89" i="6"/>
  <c r="AL772" i="3"/>
  <c r="AU771" i="3" s="1"/>
  <c r="I771" i="3"/>
  <c r="BI712" i="3"/>
  <c r="BI619" i="3"/>
  <c r="AX619" i="3"/>
  <c r="BC698" i="3"/>
  <c r="AV698" i="3"/>
  <c r="BH687" i="3"/>
  <c r="AD687" i="3" s="1"/>
  <c r="BI380" i="3"/>
  <c r="AE380" i="3" s="1"/>
  <c r="AX380" i="3"/>
  <c r="BC380" i="3"/>
  <c r="AV380" i="3"/>
  <c r="AX397" i="3"/>
  <c r="AV397" i="3" s="1"/>
  <c r="AV374" i="3"/>
  <c r="BC374" i="3"/>
  <c r="BI405" i="3"/>
  <c r="BC236" i="3"/>
  <c r="AV236" i="3"/>
  <c r="BC810" i="13"/>
  <c r="AV810" i="13"/>
  <c r="BC312" i="13"/>
  <c r="AV312" i="13"/>
  <c r="BC209" i="13"/>
  <c r="AV209" i="13"/>
  <c r="BC203" i="13"/>
  <c r="AV203" i="13"/>
  <c r="AV298" i="13"/>
  <c r="BC298" i="13"/>
  <c r="AV105" i="13"/>
  <c r="BC105" i="13"/>
  <c r="BC828" i="13"/>
  <c r="AV828" i="13"/>
  <c r="BC267" i="13"/>
  <c r="AV267" i="13"/>
  <c r="AV395" i="13"/>
  <c r="BC395" i="13"/>
  <c r="BC326" i="13"/>
  <c r="BC195" i="13"/>
  <c r="AV195" i="13"/>
  <c r="BC310" i="13"/>
  <c r="AV310" i="13"/>
  <c r="AW33" i="6"/>
  <c r="BH33" i="6"/>
  <c r="AF33" i="6" s="1"/>
  <c r="C18" i="4" s="1"/>
  <c r="BC37" i="6"/>
  <c r="AV37" i="6"/>
  <c r="BC29" i="12"/>
  <c r="AV29" i="12"/>
  <c r="AV116" i="6"/>
  <c r="BC116" i="6"/>
  <c r="BC155" i="6"/>
  <c r="AV155" i="6"/>
  <c r="AV366" i="13"/>
  <c r="BC460" i="13"/>
  <c r="AV460" i="13"/>
  <c r="AV431" i="13"/>
  <c r="BC431" i="13"/>
  <c r="BC344" i="13"/>
  <c r="AV344" i="13"/>
  <c r="L12" i="13"/>
  <c r="C14" i="10"/>
  <c r="AV18" i="12"/>
  <c r="BC18" i="12"/>
  <c r="AW152" i="6"/>
  <c r="AW70" i="6"/>
  <c r="BH70" i="6"/>
  <c r="AF70" i="6" s="1"/>
  <c r="BH14" i="9"/>
  <c r="AB14" i="9" s="1"/>
  <c r="BF866" i="3"/>
  <c r="L865" i="3"/>
  <c r="BC880" i="3"/>
  <c r="AV880" i="3"/>
  <c r="BI49" i="6"/>
  <c r="AC49" i="6" s="1"/>
  <c r="C15" i="4" s="1"/>
  <c r="BF714" i="3"/>
  <c r="L713" i="3"/>
  <c r="AV489" i="3"/>
  <c r="BC489" i="3"/>
  <c r="AV394" i="3"/>
  <c r="BC394" i="3"/>
  <c r="AX604" i="3"/>
  <c r="BI604" i="3"/>
  <c r="AE604" i="3" s="1"/>
  <c r="L483" i="3"/>
  <c r="BF484" i="3"/>
  <c r="AX875" i="3"/>
  <c r="BI875" i="3"/>
  <c r="BH482" i="3"/>
  <c r="AW482" i="3"/>
  <c r="BC262" i="3"/>
  <c r="AV262" i="3"/>
  <c r="AW507" i="3"/>
  <c r="BH507" i="3"/>
  <c r="AD507" i="3" s="1"/>
  <c r="BC429" i="3"/>
  <c r="AV429" i="3"/>
  <c r="BC287" i="3"/>
  <c r="AV287" i="3"/>
  <c r="BC348" i="3"/>
  <c r="AV348" i="3"/>
  <c r="AX354" i="3"/>
  <c r="BH150" i="3"/>
  <c r="AB150" i="3" s="1"/>
  <c r="AW150" i="3"/>
  <c r="F1" i="13"/>
  <c r="AV17" i="3"/>
  <c r="BC17" i="3"/>
  <c r="BC191" i="3" l="1"/>
  <c r="AV191" i="3"/>
  <c r="AV873" i="3"/>
  <c r="BC873" i="3"/>
  <c r="BC72" i="6"/>
  <c r="AV72" i="6"/>
  <c r="AV24" i="6"/>
  <c r="BC24" i="6"/>
  <c r="BC83" i="6"/>
  <c r="AV83" i="6"/>
  <c r="BC405" i="3"/>
  <c r="AV405" i="3"/>
  <c r="BC604" i="3"/>
  <c r="AV604" i="3"/>
  <c r="AV54" i="3"/>
  <c r="BC54" i="3"/>
  <c r="AV90" i="6"/>
  <c r="BC90" i="6"/>
  <c r="AV57" i="3"/>
  <c r="BC109" i="6"/>
  <c r="AV109" i="6"/>
  <c r="BC21" i="6"/>
  <c r="AV21" i="6"/>
  <c r="BC714" i="3"/>
  <c r="AV714" i="3"/>
  <c r="BC481" i="3"/>
  <c r="AV481" i="3"/>
  <c r="AV454" i="3"/>
  <c r="BC454" i="3"/>
  <c r="AV148" i="6"/>
  <c r="BC21" i="9"/>
  <c r="AV21" i="9"/>
  <c r="BC23" i="9"/>
  <c r="AV23" i="9"/>
  <c r="C22" i="10"/>
  <c r="BC397" i="3"/>
  <c r="AV62" i="3"/>
  <c r="BC62" i="3"/>
  <c r="BC332" i="3"/>
  <c r="AV332" i="3"/>
  <c r="BC35" i="9"/>
  <c r="AV35" i="9"/>
  <c r="BC223" i="3"/>
  <c r="BC39" i="9"/>
  <c r="AV39" i="9"/>
  <c r="BC860" i="3"/>
  <c r="AV860" i="3"/>
  <c r="AV875" i="3"/>
  <c r="BC875" i="3"/>
  <c r="AV80" i="6"/>
  <c r="BC23" i="12"/>
  <c r="AV23" i="12"/>
  <c r="BC281" i="3"/>
  <c r="AV281" i="3"/>
  <c r="AV440" i="3"/>
  <c r="BC827" i="3"/>
  <c r="AV827" i="3"/>
  <c r="BC314" i="3"/>
  <c r="AV314" i="3"/>
  <c r="BC840" i="3"/>
  <c r="AV840" i="3"/>
  <c r="AV628" i="3"/>
  <c r="BC628" i="3"/>
  <c r="BC60" i="6"/>
  <c r="AV60" i="6"/>
  <c r="C17" i="1"/>
  <c r="AV105" i="6"/>
  <c r="AV152" i="6"/>
  <c r="BC152" i="6"/>
  <c r="BC33" i="6"/>
  <c r="AV33" i="6"/>
  <c r="AV75" i="6"/>
  <c r="BC75" i="6"/>
  <c r="AV787" i="3"/>
  <c r="BC787" i="3"/>
  <c r="BC208" i="3"/>
  <c r="AV208" i="3"/>
  <c r="BC452" i="3"/>
  <c r="AV452" i="3"/>
  <c r="BC96" i="6"/>
  <c r="AV96" i="6"/>
  <c r="AV570" i="3"/>
  <c r="AV800" i="3"/>
  <c r="BC800" i="3"/>
  <c r="I12" i="12"/>
  <c r="I33" i="12"/>
  <c r="BC475" i="3"/>
  <c r="AV475" i="3"/>
  <c r="BC507" i="3"/>
  <c r="AV507" i="3"/>
  <c r="AV870" i="3"/>
  <c r="BC870" i="3"/>
  <c r="AV87" i="3"/>
  <c r="BC87" i="3"/>
  <c r="BC34" i="9"/>
  <c r="AV34" i="9"/>
  <c r="AU13" i="12"/>
  <c r="C27" i="10"/>
  <c r="BC299" i="3"/>
  <c r="AV299" i="3"/>
  <c r="BC399" i="3"/>
  <c r="AV399" i="3"/>
  <c r="AU17" i="6"/>
  <c r="C27" i="4"/>
  <c r="AV636" i="3"/>
  <c r="BC636" i="3"/>
  <c r="AV661" i="3"/>
  <c r="BC661" i="3"/>
  <c r="BC345" i="3"/>
  <c r="AV345" i="3"/>
  <c r="BC38" i="9"/>
  <c r="AV38" i="9"/>
  <c r="BC44" i="6"/>
  <c r="AV44" i="6"/>
  <c r="I886" i="3"/>
  <c r="I12" i="3"/>
  <c r="BC346" i="3"/>
  <c r="AV346" i="3"/>
  <c r="AV504" i="3"/>
  <c r="BC67" i="6"/>
  <c r="AV67" i="6"/>
  <c r="BC337" i="3"/>
  <c r="AV337" i="3"/>
  <c r="BC140" i="6"/>
  <c r="BC81" i="6"/>
  <c r="AV81" i="6"/>
  <c r="AV587" i="3"/>
  <c r="BC587" i="3"/>
  <c r="AV131" i="6"/>
  <c r="BC131" i="6"/>
  <c r="BC31" i="9"/>
  <c r="AV31" i="9"/>
  <c r="AV467" i="3"/>
  <c r="BC467" i="3"/>
  <c r="BC88" i="6"/>
  <c r="AV88" i="6"/>
  <c r="I43" i="9"/>
  <c r="I12" i="9"/>
  <c r="BC130" i="6"/>
  <c r="AV130" i="6"/>
  <c r="BC619" i="3"/>
  <c r="AV619" i="3"/>
  <c r="AV487" i="3"/>
  <c r="BC487" i="3"/>
  <c r="BC53" i="6"/>
  <c r="AV53" i="6"/>
  <c r="BC434" i="3"/>
  <c r="AV434" i="3"/>
  <c r="AV390" i="3"/>
  <c r="I26" i="7"/>
  <c r="I27" i="7" s="1"/>
  <c r="BC101" i="3"/>
  <c r="AV101" i="3"/>
  <c r="AV582" i="3"/>
  <c r="BC719" i="3"/>
  <c r="AV719" i="3"/>
  <c r="AV366" i="3"/>
  <c r="BC366" i="3"/>
  <c r="BC482" i="3"/>
  <c r="AV482" i="3"/>
  <c r="AV706" i="3"/>
  <c r="BC706" i="3"/>
  <c r="C27" i="1"/>
  <c r="C29" i="15" s="1"/>
  <c r="F29" i="15" s="1"/>
  <c r="BC150" i="3"/>
  <c r="AV150" i="3"/>
  <c r="C14" i="7"/>
  <c r="C22" i="7" s="1"/>
  <c r="BC150" i="6"/>
  <c r="AV150" i="6"/>
  <c r="L12" i="3"/>
  <c r="BC171" i="3"/>
  <c r="AV171" i="3"/>
  <c r="BC51" i="6"/>
  <c r="AV51" i="6"/>
  <c r="BC600" i="3"/>
  <c r="AV600" i="3"/>
  <c r="AV85" i="6"/>
  <c r="AV675" i="3"/>
  <c r="BC675" i="3"/>
  <c r="AV736" i="3"/>
  <c r="BC736" i="3"/>
  <c r="BC596" i="3"/>
  <c r="AV596" i="3"/>
  <c r="BC15" i="9"/>
  <c r="AV15" i="9"/>
  <c r="AV42" i="6"/>
  <c r="BC42" i="6"/>
  <c r="BC354" i="3"/>
  <c r="AV354" i="3"/>
  <c r="BC70" i="6"/>
  <c r="AV70" i="6"/>
  <c r="AV423" i="3"/>
  <c r="BC423" i="3"/>
  <c r="AV818" i="3"/>
  <c r="BC818" i="3"/>
  <c r="AV33" i="9"/>
  <c r="BC33" i="9"/>
  <c r="BC31" i="12"/>
  <c r="AV31" i="12"/>
  <c r="C14" i="15" l="1"/>
  <c r="C22" i="1"/>
  <c r="C22" i="15" s="1"/>
  <c r="C17" i="15"/>
  <c r="I28" i="15"/>
  <c r="I29" i="15" s="1"/>
  <c r="F27" i="4"/>
  <c r="I26" i="4"/>
  <c r="I27" i="4" s="1"/>
  <c r="F27" i="10"/>
  <c r="I26" i="10"/>
  <c r="F27" i="1"/>
  <c r="I26" i="1"/>
  <c r="I27" i="1" l="1"/>
  <c r="I27" i="10"/>
</calcChain>
</file>

<file path=xl/sharedStrings.xml><?xml version="1.0" encoding="utf-8"?>
<sst xmlns="http://schemas.openxmlformats.org/spreadsheetml/2006/main" count="12082" uniqueCount="1973">
  <si>
    <t>Krycí list slepého rozpočtu (D11-D14 - Rekonstrukce 4NP - STAVBA, ZTI, VZT)</t>
  </si>
  <si>
    <t>Název stavby:</t>
  </si>
  <si>
    <t>Objednatel:</t>
  </si>
  <si>
    <t>IČO/DIČ:</t>
  </si>
  <si>
    <t>70890749/CZ70890749</t>
  </si>
  <si>
    <t>Druh stavby:</t>
  </si>
  <si>
    <t>Projektant:</t>
  </si>
  <si>
    <t>70672156/CZ7908021231</t>
  </si>
  <si>
    <t>Lokalita:</t>
  </si>
  <si>
    <t>Zhotovitel:</t>
  </si>
  <si>
    <t/>
  </si>
  <si>
    <t>Začátek výstavby:</t>
  </si>
  <si>
    <t>Konec výstavby:</t>
  </si>
  <si>
    <t>Položek:</t>
  </si>
  <si>
    <t>JKSO:</t>
  </si>
  <si>
    <t>Zpracoval:</t>
  </si>
  <si>
    <t>Datum:</t>
  </si>
  <si>
    <t>Rozpočtové náklady v Kč</t>
  </si>
  <si>
    <t>A</t>
  </si>
  <si>
    <t>Základní rozpočtové náklady</t>
  </si>
  <si>
    <t>B</t>
  </si>
  <si>
    <t>Doplňkové náklady</t>
  </si>
  <si>
    <t>C</t>
  </si>
  <si>
    <t>Náklady na umístění stavby (NUS)</t>
  </si>
  <si>
    <t>HSV</t>
  </si>
  <si>
    <t>Dodávky</t>
  </si>
  <si>
    <t>Práce přesčas</t>
  </si>
  <si>
    <t>Zařízení staveniště</t>
  </si>
  <si>
    <t>Montáž</t>
  </si>
  <si>
    <t>Bez pevné podl.</t>
  </si>
  <si>
    <t>Mimostav. doprava</t>
  </si>
  <si>
    <t>PSV</t>
  </si>
  <si>
    <t>Kulturní památka</t>
  </si>
  <si>
    <t>Územní vlivy</t>
  </si>
  <si>
    <t>Provozní vlivy</t>
  </si>
  <si>
    <t>"M"</t>
  </si>
  <si>
    <t>Ostatní</t>
  </si>
  <si>
    <t>NUS z rozpočtu</t>
  </si>
  <si>
    <t>Ostatní materiál</t>
  </si>
  <si>
    <t>Přesun hmot a sutí</t>
  </si>
  <si>
    <t>ZRN celkem</t>
  </si>
  <si>
    <t>DN celkem</t>
  </si>
  <si>
    <t>NUS celkem</t>
  </si>
  <si>
    <t>VORN celkem</t>
  </si>
  <si>
    <t>Základ 0%</t>
  </si>
  <si>
    <t>Základ 12%</t>
  </si>
  <si>
    <t>DPH 12%</t>
  </si>
  <si>
    <t>Celkem bez DPH</t>
  </si>
  <si>
    <t>Základ 21%</t>
  </si>
  <si>
    <t>DPH 21%</t>
  </si>
  <si>
    <t>Celkem včetně DPH</t>
  </si>
  <si>
    <t>Projektant</t>
  </si>
  <si>
    <t>Objednatel</t>
  </si>
  <si>
    <t>Zhotovitel</t>
  </si>
  <si>
    <t>Datum, razítko a podpis</t>
  </si>
  <si>
    <t>Poznámka:</t>
  </si>
  <si>
    <t>Vedlejší a ostatní rozpočtové náklady (D11-D14 - Rekonstrukce 4NP - STAVBA, ZTI, VZT)</t>
  </si>
  <si>
    <t>Vedlejší rozpočtové náklady VRN</t>
  </si>
  <si>
    <t>Doplňkové náklady DN</t>
  </si>
  <si>
    <t>Kč</t>
  </si>
  <si>
    <t>%</t>
  </si>
  <si>
    <t>Základna</t>
  </si>
  <si>
    <t>Celkem DN</t>
  </si>
  <si>
    <t>Celkem NUS</t>
  </si>
  <si>
    <t>Celkem VRN</t>
  </si>
  <si>
    <t>Ostatní rozpočtové náklady ORN</t>
  </si>
  <si>
    <t>Ostatní rozpočtové náklady (ORN)</t>
  </si>
  <si>
    <t>Celkem ORN</t>
  </si>
  <si>
    <t>Slepý stavební rozpočet (D11-D14 - Rekonstrukce 4NP - STAVBA, ZTI, VZT)</t>
  </si>
  <si>
    <t>Doba výstavby:</t>
  </si>
  <si>
    <t>Zpracováno dne:</t>
  </si>
  <si>
    <t>Č</t>
  </si>
  <si>
    <t>Objekt</t>
  </si>
  <si>
    <t>Kód</t>
  </si>
  <si>
    <t>Zkrácený popis / Varianta</t>
  </si>
  <si>
    <t>MJ</t>
  </si>
  <si>
    <t>Množství</t>
  </si>
  <si>
    <t>Cena/MJ</t>
  </si>
  <si>
    <t>Náklady (Kč)</t>
  </si>
  <si>
    <t>Hmotnost (t)</t>
  </si>
  <si>
    <t>Cenová</t>
  </si>
  <si>
    <t>ISWORK</t>
  </si>
  <si>
    <t>GROUPCODE</t>
  </si>
  <si>
    <t>VATTAX</t>
  </si>
  <si>
    <t xml:space="preserve"> </t>
  </si>
  <si>
    <t>Rozměry</t>
  </si>
  <si>
    <t>(Kč)</t>
  </si>
  <si>
    <t>Celkem</t>
  </si>
  <si>
    <t>Celkem/MJ</t>
  </si>
  <si>
    <t>Demont.</t>
  </si>
  <si>
    <t>soustava</t>
  </si>
  <si>
    <t>Přesuny</t>
  </si>
  <si>
    <t>Typ skupiny</t>
  </si>
  <si>
    <t>HSV mat</t>
  </si>
  <si>
    <t>HSV prac</t>
  </si>
  <si>
    <t>PSV mat</t>
  </si>
  <si>
    <t>PSV prac</t>
  </si>
  <si>
    <t>Mont mat</t>
  </si>
  <si>
    <t>Mont prac</t>
  </si>
  <si>
    <t>Ostatní mat.</t>
  </si>
  <si>
    <t>MAT</t>
  </si>
  <si>
    <t>WORK</t>
  </si>
  <si>
    <t>CELK</t>
  </si>
  <si>
    <t>D11-D14</t>
  </si>
  <si>
    <t>Rekonstrukce 4NP - STAVBA, ZTI, VZT</t>
  </si>
  <si>
    <t>34</t>
  </si>
  <si>
    <t>Stěny a příčky</t>
  </si>
  <si>
    <t>1</t>
  </si>
  <si>
    <t>342254711R00</t>
  </si>
  <si>
    <t>Příčky z desek pórobetonových tl. 125 mm</t>
  </si>
  <si>
    <t>m2</t>
  </si>
  <si>
    <t>RTS II / 2024</t>
  </si>
  <si>
    <t>34_</t>
  </si>
  <si>
    <t>D11-D14_3_</t>
  </si>
  <si>
    <t>D11-D14_</t>
  </si>
  <si>
    <t>1.38990*24</t>
  </si>
  <si>
    <t>instalační přizdívky: 1,13*1,23</t>
  </si>
  <si>
    <t>-0.31920*24</t>
  </si>
  <si>
    <t>odpočet montážního systému závěsného WC: -0,42*0,76</t>
  </si>
  <si>
    <t>2</t>
  </si>
  <si>
    <t>342270040RAB</t>
  </si>
  <si>
    <t>Příčka z desek Ytong hladkých, tloušťka 5 cm</t>
  </si>
  <si>
    <t>Varianta:</t>
  </si>
  <si>
    <t>tvárnice 600 x 250 x 50 mm, P 4 - 600</t>
  </si>
  <si>
    <t>2.18290*24</t>
  </si>
  <si>
    <t>obestavba jádra: 0,83*2,63000</t>
  </si>
  <si>
    <t>3</t>
  </si>
  <si>
    <t>342270041RAA</t>
  </si>
  <si>
    <t>Příčka z desek Ytong hladkých, tloušťka 7,5 cm</t>
  </si>
  <si>
    <t>desky P 2 - 500, 599 x 249 x 75 mm</t>
  </si>
  <si>
    <t>7.28180*24</t>
  </si>
  <si>
    <t>příčka zázemí-pokoj: 3,46000*2,63000-0,90*2,02</t>
  </si>
  <si>
    <t>2.74980*24</t>
  </si>
  <si>
    <t>příčka předsíň-koupelna: 1,66*2,63000-0,80*2,02</t>
  </si>
  <si>
    <t>1.18350*24</t>
  </si>
  <si>
    <t>obestavba jádra: 0,45*2,63000</t>
  </si>
  <si>
    <t>1.16390*24</t>
  </si>
  <si>
    <t>instalační předstěny v koupelně: 1,13*1,03</t>
  </si>
  <si>
    <t>2.36700*24</t>
  </si>
  <si>
    <t xml:space="preserve"> 0,9*2,63000</t>
  </si>
  <si>
    <t>3.31380*24</t>
  </si>
  <si>
    <t xml:space="preserve"> 1,26*2,63000</t>
  </si>
  <si>
    <t>0.13000*24</t>
  </si>
  <si>
    <t>podezdívka čela sprchové vaničky: 1,04*0,125</t>
  </si>
  <si>
    <t>4</t>
  </si>
  <si>
    <t>342270042RA0</t>
  </si>
  <si>
    <t>Příčka z desek Ytong hladkých, tloušťka 10 cm</t>
  </si>
  <si>
    <t>obestavba jádra: 0,90*2,63000</t>
  </si>
  <si>
    <t>-0.24000*24</t>
  </si>
  <si>
    <t>odpočet niky ve sprše: -0,60*0,40</t>
  </si>
  <si>
    <t>5</t>
  </si>
  <si>
    <t>342941112R00</t>
  </si>
  <si>
    <t>Připojení příček ke stáv.konst.nastřelenou kotvou</t>
  </si>
  <si>
    <t>m</t>
  </si>
  <si>
    <t>125.28000</t>
  </si>
  <si>
    <t>příčka předsíň - pokoj jednotky: 2*2,61*24</t>
  </si>
  <si>
    <t>RTS komentář:</t>
  </si>
  <si>
    <t>Kotvy z nerez oceli upevněné ke stávající cihelné konstrukci nastřelenou kotvou</t>
  </si>
  <si>
    <t>62.64000</t>
  </si>
  <si>
    <t>příčka předsíň - koupelna: 1*2,61*24</t>
  </si>
  <si>
    <t>6</t>
  </si>
  <si>
    <t>342941122R00</t>
  </si>
  <si>
    <t>Připojení příček ke stropu nastřelenou kotvou</t>
  </si>
  <si>
    <t>83.04000</t>
  </si>
  <si>
    <t>příčka předsíň - pokoj jednotky: 3,46*24</t>
  </si>
  <si>
    <t>Kotvy z nerez oceli upevněné ke stropu nastřelenou kotvou (po 1 m)</t>
  </si>
  <si>
    <t>39.84000</t>
  </si>
  <si>
    <t>příčka předsíň - koupelna: 1,66*24</t>
  </si>
  <si>
    <t>7</t>
  </si>
  <si>
    <t>342266111RU9</t>
  </si>
  <si>
    <t>Obklad stěn sádrokartonem na ocelovou konstrukci</t>
  </si>
  <si>
    <t>desky standard impreg. tl. 12,5 mm, bez izolace</t>
  </si>
  <si>
    <t>2.60000</t>
  </si>
  <si>
    <t>SDK zákryt - dešťová kanalizace - chodba schodiště 400.1: 2,60</t>
  </si>
  <si>
    <t>SDK zákryt - dešťová kanalizace - předsíň ubytovací jednotky: 2,60</t>
  </si>
  <si>
    <t>SDK zákryt - dešťová kanalizace - chodba schodiště 400.3: 2,60</t>
  </si>
  <si>
    <t>2.50000</t>
  </si>
  <si>
    <t>SDK zákryt - rozvody SLP - centrální chodba 400.2: 2,50</t>
  </si>
  <si>
    <t>Položka je určena pro předsazenou stěnu ( obklad ) ze sádrokartonových desek tl. 12,5 mm na ocelovou konstrukci. V položce jsou zakalkulovány náklady na zřízení nosné konstrukce, dodávku a montáž desek tl. 12,5 mm včetně úpravy spar a rohů. V položce není zakalkulována dodávka ani montáž tepelné izolace. Tyto práce se oceňují dle sborníku 800 - 713 Izolace tepelné. V položce není zakalkulována povrchová úprava ploch. Při plochách jednotlivě do 5 m2 se použijí položky souboru 34236 - 69 Příplatky k cenám sádrokartonových obkladů tohoto sborníku. V položce není zakalkulováno pomocné lešení</t>
  </si>
  <si>
    <t>5.20000</t>
  </si>
  <si>
    <t>SDK zákryt požárního vodovodu - pozn. 1: 2,60+2,60</t>
  </si>
  <si>
    <t>8</t>
  </si>
  <si>
    <t>347015119R00</t>
  </si>
  <si>
    <t>Předstěna SDK, tl.65mm,ocel.kce CW,1x DFRIH 12,5mm</t>
  </si>
  <si>
    <t>4.33500</t>
  </si>
  <si>
    <t>D.1.1-08, skladba ST 4.2, SDK zákryt rozvaděče NN a SLP: (1,2+0,5)*2,55</t>
  </si>
  <si>
    <t>Předsazené stěny Rigips, volně stojící, systém OK11, samostatná ocelová konstrukce z profilů CW 50 a UW 50, 1x opláštěná, tl. 65 mm, s minerální izolací tl. 40 mm, vysokopevnostní desky Habito H tl. 12,5 mm. Požární odolnost EI 30. 3.22.00 HB</t>
  </si>
  <si>
    <t>9</t>
  </si>
  <si>
    <t>347051222R00</t>
  </si>
  <si>
    <t>Stěna šachty tl.75 mm,2xCW,2xopl.,deska RF 12,5 mm</t>
  </si>
  <si>
    <t>5.59000</t>
  </si>
  <si>
    <t>SDK zákryt inst. jádra v kuchyňce 403: (0,82*2+0,51)*2,60</t>
  </si>
  <si>
    <t>Stěna šachty Rigips, systém OK12 odpovídá W629, ocelová konstrukce 2 x CW 50, 2x opláštěná, tl. 75 mm, s minerální izolací tl. 50 mm, desky protipožární RF (DF) tl. 12,5 mm.  Požární odolnost EI 45. 3.80.50</t>
  </si>
  <si>
    <t>10</t>
  </si>
  <si>
    <t>713582114RT2</t>
  </si>
  <si>
    <t>Revizní dvířka do masivních stěn, typ RFS, atyp, rozměr 200 x 400 mm, tl. desky 25 mm</t>
  </si>
  <si>
    <t>kus</t>
  </si>
  <si>
    <t xml:space="preserve">požární odolnost EI45 (EW30), tlačný zámek US
Revizní dvířka  budou z hliníkových profilů, které jsou svařovány do venkovního a vnitřního rámu, rám do zdiva.
Kompletní sestava je spojena pomocí pevného pantu a umožňuje tak otevírání křídla dvířek v případě potřeby. Na venkovním rámu jsou navíc přivařené montážní úchyty.
Vnitřní křídlo je osazeno protipožárním těsněním, které se při vysoké teplotě mnohonásobně zvětší a zabrání tak průniku ohně.
Místnosti s výskytem zvýšené vlhkosti jako jsou koupelny či záchody, vyžadují použití odolnější červené protipožární SDK desky, která obsahuje impregnovanou vrstvu.
Tato dvířka budout použita i pro přilepení keramického obkladu, čímž je možné zakrýt hliníkový rám a vytvořit takzvaná neviditelná dvířka.
</t>
  </si>
  <si>
    <t>24</t>
  </si>
  <si>
    <t>ubytovací jednotky</t>
  </si>
  <si>
    <t>Protipožární revizní dvířkaPoložka obsahuje prořezání otvoru, osazení a dodávku rámu s dvířky včetně prošroubování a tmelení.</t>
  </si>
  <si>
    <t>41</t>
  </si>
  <si>
    <t>Stropy a stropní konstrukce (pro pozemní stavby)</t>
  </si>
  <si>
    <t>11</t>
  </si>
  <si>
    <t>416021121R00</t>
  </si>
  <si>
    <t>Podhledy SDK, kovová.kce CD. 1x deska RB 12,5 mm</t>
  </si>
  <si>
    <t>41_</t>
  </si>
  <si>
    <t>D11-D14_4_</t>
  </si>
  <si>
    <t>0.00000</t>
  </si>
  <si>
    <t>D.1.1-05, skladba C 4:</t>
  </si>
  <si>
    <t xml:space="preserve">Podhledy sádrokartonové Rigips, systém PK11, kovová konstrukce CD s přímým uchycením, 1x opláštěná, bez  minerální izolace, desky standard RB (A) tl. 12,5mm 4.05.23 </t>
  </si>
  <si>
    <t>2,13*24</t>
  </si>
  <si>
    <t>podhled v předsíni jednotky</t>
  </si>
  <si>
    <t>12</t>
  </si>
  <si>
    <t>416021123R00</t>
  </si>
  <si>
    <t>Podhledy SDK, kovová.kce CD. 1x deska RBI 12,5 mm</t>
  </si>
  <si>
    <t>D.1.1-05, skladba C 3:</t>
  </si>
  <si>
    <t>Podhledy sádrokartonové Rigips, systém PK11, kovová konstrukce CD s přímým uchycením, 1x opláštěná, bez  minerální izolace, desky impregnované RBI (H2) tl. 12,5mm 4.05.23</t>
  </si>
  <si>
    <t>2,57*24</t>
  </si>
  <si>
    <t>podhled v koupelně</t>
  </si>
  <si>
    <t>13</t>
  </si>
  <si>
    <t>342264098RT2</t>
  </si>
  <si>
    <t>Příplatek k podhledu sádrokart. za plochu do 10 m2</t>
  </si>
  <si>
    <t>pro plochy 2 - 5 m2</t>
  </si>
  <si>
    <t>podhled v koupelně jednotky</t>
  </si>
  <si>
    <t>Příplatek je určen k položkám podhledů sádrokartonových na dřevěnou i ocelovou konstrukci. V položce je zakalkulován rozdíl v pracnosti při provádění podhledů v malých plochách do 10 m2</t>
  </si>
  <si>
    <t>14</t>
  </si>
  <si>
    <t>416091211R00</t>
  </si>
  <si>
    <t>Úprava napojovací spáry SDK s jinou stavební konstrukcí akrylovým tmelem, šířka spáry do 2 mm</t>
  </si>
  <si>
    <t>Zatmelení koutu podhledu v návaznosti na stěnu</t>
  </si>
  <si>
    <t>5,89*24</t>
  </si>
  <si>
    <t>předsíně jednotek</t>
  </si>
  <si>
    <t>6,97*24</t>
  </si>
  <si>
    <t>koupelny jednotek</t>
  </si>
  <si>
    <t>15</t>
  </si>
  <si>
    <t>416061112R00</t>
  </si>
  <si>
    <t>Kazeta Gyptone Base 31, hrana A, bez izolace</t>
  </si>
  <si>
    <t>D.1.1-08, skladba C 2:</t>
  </si>
  <si>
    <t>Demontovatelné kazetové podhledy Rigips, systém KK11, bez minerální izolace, kazeta Gyptone Base 31, hrana A, tl. 12,5mm 4.07.50 - A</t>
  </si>
  <si>
    <t>121*0,60*0,60</t>
  </si>
  <si>
    <t>centrální chodba 400.2 - výkres D.1.1-05</t>
  </si>
  <si>
    <t>16</t>
  </si>
  <si>
    <t>416061512R00</t>
  </si>
  <si>
    <t>Kazeta Gyptone Quattro 50, hrana A, bez izolace</t>
  </si>
  <si>
    <t>Demontovatelné kazetové podhledy Rigips, systém KK11, bez minerální izolace, kazeta Gyptone Quatro 20, hrana A, tl. 12,5mm 4.07.60 - A</t>
  </si>
  <si>
    <t>132*0,60*0,60</t>
  </si>
  <si>
    <t>centrální chodba 400.2 - výkres D.1.1-05:</t>
  </si>
  <si>
    <t>17</t>
  </si>
  <si>
    <t>767585113R00</t>
  </si>
  <si>
    <t>Montáž doplňků podhledů - okrajová L lišta</t>
  </si>
  <si>
    <t>D+M, návaznost kazetového podhledu na stěnu</t>
  </si>
  <si>
    <t>39,46*2+2,26*2</t>
  </si>
  <si>
    <t>obvod chodby 400.2</t>
  </si>
  <si>
    <t>61</t>
  </si>
  <si>
    <t>Úprava povrchů vnitřní</t>
  </si>
  <si>
    <t>18</t>
  </si>
  <si>
    <t>610991111R00</t>
  </si>
  <si>
    <t>Zakrývání výplní vnitřních otvorů</t>
  </si>
  <si>
    <t>61_</t>
  </si>
  <si>
    <t>D11-D14_6_</t>
  </si>
  <si>
    <t>82.17600</t>
  </si>
  <si>
    <t>okno pokoj: 2,14*1,60*24</t>
  </si>
  <si>
    <t>44.12800</t>
  </si>
  <si>
    <t>dveře z chodeb: 0,8*1,97*(24+4)</t>
  </si>
  <si>
    <t>33.09600</t>
  </si>
  <si>
    <t>vnitřní dveře jednotek: 0,7*1,97*24</t>
  </si>
  <si>
    <t>37.82400</t>
  </si>
  <si>
    <t xml:space="preserve"> 0,8*1,97*24</t>
  </si>
  <si>
    <t>19</t>
  </si>
  <si>
    <t>611451231R00</t>
  </si>
  <si>
    <t>Oprava cem.omítek stropů,ocelí hlaz.do 10 % plochy</t>
  </si>
  <si>
    <t>D.1.1-08, skladba C 1:</t>
  </si>
  <si>
    <t xml:space="preserve"> V položce jsou zakalkulovány náklady na pomocné pracovní lešení o výšce podlahy do 1900 mm a pro zatížení do 1,5 kPa</t>
  </si>
  <si>
    <t>346.27680</t>
  </si>
  <si>
    <t>pokoj jednotky: 3,46000*4,17000*24</t>
  </si>
  <si>
    <t>20</t>
  </si>
  <si>
    <t>612451331R00</t>
  </si>
  <si>
    <t>Oprava cementových omítek stěn štukových do 30 %</t>
  </si>
  <si>
    <t>D.1.1-08, skladba ST 1.1, ST 3.1:</t>
  </si>
  <si>
    <t>93.27600</t>
  </si>
  <si>
    <t>předsíň jednotky - stěna se vstupními dveřmi, stěna 6: ((1,66+1,29)*2,55-0,90*2,02*2)*24</t>
  </si>
  <si>
    <t>837.40320</t>
  </si>
  <si>
    <t>pokoj jednotky: ((2*3,46000+2*4,17000)*2,63000-0,90*2,02-2,14*1,60</t>
  </si>
  <si>
    <t>163.11000</t>
  </si>
  <si>
    <t>centrální chodba: (2*39,46+2*2,26)*2,50-0,90*2,02*22-1,34*2,05*2</t>
  </si>
  <si>
    <t>21</t>
  </si>
  <si>
    <t>612471411RT2</t>
  </si>
  <si>
    <t>Úprava vnitřních stěn aktivovaným štukem</t>
  </si>
  <si>
    <t>s použitím suché maltové směsi</t>
  </si>
  <si>
    <t>D.1.1-08, skladba ST 1.1 - opravy a nové povrchy:</t>
  </si>
  <si>
    <t>235.03200</t>
  </si>
  <si>
    <t>předsíň jednotky - 100% plochy: ((2*1,66+2*1,29)*2,55-(2*0,90+0,80)*2,02)*24</t>
  </si>
  <si>
    <t>83.74032</t>
  </si>
  <si>
    <t>pokoj jednotky - 10% plochy: ((2*3,46000+2*4,17000)*2,63000-0,90*2,02-2,14*1,60</t>
  </si>
  <si>
    <t>D.1.1-08, skladba ST 1.2 - nové povrchy:</t>
  </si>
  <si>
    <t>174.76320</t>
  </si>
  <si>
    <t>stěna pokoj 3: (3,46000*2,63000-0,90*2,02)*24</t>
  </si>
  <si>
    <t>D.1.1-08, skladba ST 1.1 - opravy 100% plochy:</t>
  </si>
  <si>
    <t>centrální chodba: ((2*39,46+2*2,26)*2,50-0,90*2,02*22-1,34*2,05*2)*1</t>
  </si>
  <si>
    <t>-3.00000</t>
  </si>
  <si>
    <t>centrální chodba - odpočet plochy u R-NN a R-DATA: -1,20*2,50</t>
  </si>
  <si>
    <t>22</t>
  </si>
  <si>
    <t>612471473R00</t>
  </si>
  <si>
    <t>Stěrka lepidlem na stěnách vnitřních pórobetonových</t>
  </si>
  <si>
    <t>D.1.1-08, skladba ST 2.2:</t>
  </si>
  <si>
    <t>15.42600*24</t>
  </si>
  <si>
    <t>koupelny - nové stěny z porobetonu pod hydroizolační stěrku: 1,13*1,0+(0,08+0,90+1,02+0,90+0,55+1,13</t>
  </si>
  <si>
    <t>0.23730*24</t>
  </si>
  <si>
    <t>vrchní plocha přizdívek: (0,08+0,13)*1,13</t>
  </si>
  <si>
    <t>0.20800*24</t>
  </si>
  <si>
    <t>plocha niky ve sprchovém koutu: (0,62+0,42)*2*0,10</t>
  </si>
  <si>
    <t>Tloušťka vrstvy do 1,5 mm.</t>
  </si>
  <si>
    <t>23</t>
  </si>
  <si>
    <t>612481211RT2</t>
  </si>
  <si>
    <t>Montáž výztužné sítě (perlinky) do stěrky - vnitřní stěny</t>
  </si>
  <si>
    <t>včetně výztužné sítě a stěrkového tmelu Baumit</t>
  </si>
  <si>
    <t>D.1.1-08, skladba ST 1.2:</t>
  </si>
  <si>
    <t>4.23600*24</t>
  </si>
  <si>
    <t>předsíň - nové stěny: (1,66+1,29)*2,6-(0,8*2,02+0,9*2,02)</t>
  </si>
  <si>
    <t>7.17800*24</t>
  </si>
  <si>
    <t>pokoj - nová stěna 3: 3,46*2,60-0,9*2,02</t>
  </si>
  <si>
    <t>Položka obsahuje natažení stěrkového tmelu, vtlačení výztužné sítě a rozetření tmelu.</t>
  </si>
  <si>
    <t>63</t>
  </si>
  <si>
    <t>Podlahy a podlahové konstrukce</t>
  </si>
  <si>
    <t>632411110R00</t>
  </si>
  <si>
    <t>Samonivelační stěrka Cemix, ruční zpracování tl. 10 mm</t>
  </si>
  <si>
    <t>63_</t>
  </si>
  <si>
    <t>D.1.1-08, skladba P 1:</t>
  </si>
  <si>
    <t>Položka obsahuje rozmíchání suché směsi s vodou a její rozprostření</t>
  </si>
  <si>
    <t>61.68000</t>
  </si>
  <si>
    <t>koupelny: 2,57*24</t>
  </si>
  <si>
    <t>25</t>
  </si>
  <si>
    <t>632411115R00</t>
  </si>
  <si>
    <t>Potěr ze SMS Cemix, ruční zpracování, tl. 15 mm</t>
  </si>
  <si>
    <t>cementový</t>
  </si>
  <si>
    <t>D.1.1-08, skladba P 3:</t>
  </si>
  <si>
    <t>22.54000</t>
  </si>
  <si>
    <t>podlaha chodby - schodiště 400.1: 22,54</t>
  </si>
  <si>
    <t>17.23000</t>
  </si>
  <si>
    <t>podlaha chodby - schodiště 400.3: 17,23</t>
  </si>
  <si>
    <t xml:space="preserve">Položka obsahuje rozmíchání suché směsi s vodou, její rozprostření a uhlazení. </t>
  </si>
  <si>
    <t>1.51000</t>
  </si>
  <si>
    <t>podlaha úklidová místnost 402: 1,51</t>
  </si>
  <si>
    <t>64</t>
  </si>
  <si>
    <t>Výplně otvorů</t>
  </si>
  <si>
    <t>26</t>
  </si>
  <si>
    <t>642942111RT3</t>
  </si>
  <si>
    <t>Osazení zárubní dveřních ocelových, pl. do 2,5 m2</t>
  </si>
  <si>
    <t>64_</t>
  </si>
  <si>
    <t>včetně dodávky zárubně 700 x 1970 x 100 mm, zárubeň pro porobetonové zdivo š. 75 mm - typ YH 75, bez těsnění</t>
  </si>
  <si>
    <t>dle D.1.1-08:</t>
  </si>
  <si>
    <t>13.00000</t>
  </si>
  <si>
    <t>dveře D1 - levé: 13</t>
  </si>
  <si>
    <t>Položka je určena pro osazování zárubní bez dveřních křídel na jakoukoliv cementovou maltu s vybetonováním prahu v zárubni a s osazením špalíků nebo latí pro dřevěný práh. Položka je určena také pro osazování zárubní a rámů do stěn z prefa dílců, které se provádí současně nebo bezprostředně po osazení stěnových dílců; podobně je určena pro konstrukce zděné nad 150 mm tloušťky, kde se osazování provádí převážně až po jejich vyzdění. Položka kryje vybetonování nadvýšeného prahu u balkónových dveří. V položce jsou zakalkulovány náklady na kotvení rámů do zdiva a platí pro jakýkoliv způsob provádění (např. bodovým přivařením k výztuži, uklínováním, zalitím pracen apod.). V položce jsou zakalkulovány i náklady na dodávku zárubní. Volba položky se řídí plochou otvoru.  12.10.2021 Změna v tloušťce zárubně ze 110 na 100 mm</t>
  </si>
  <si>
    <t>11.00000</t>
  </si>
  <si>
    <t>dveře D1 - pravé: 11</t>
  </si>
  <si>
    <t>27</t>
  </si>
  <si>
    <t>642942111RT4</t>
  </si>
  <si>
    <t>včetně dodávky zárubně 800 x 1970 x 100 mm, zárubeň pro porobetonové zdivo š. 75 mm - typ YHt 75, s těsněním</t>
  </si>
  <si>
    <t>dveře D2 - levé: 13</t>
  </si>
  <si>
    <t>dveře D2 - pravé: 11</t>
  </si>
  <si>
    <t>711</t>
  </si>
  <si>
    <t>Izolace proti vodě</t>
  </si>
  <si>
    <t>28</t>
  </si>
  <si>
    <t>711210020RA0</t>
  </si>
  <si>
    <t>Stěrka hydroizolační těsnicí hmotou</t>
  </si>
  <si>
    <t>711_</t>
  </si>
  <si>
    <t>D11-D14_71_</t>
  </si>
  <si>
    <t>Nanesení hydroizolační stěrky ve dvou vrstvách. Vlepení těsnicí pásky do spoje podlaha-stěna, přitlačení a uhlazení, přetažení pásky další vrstvou izolační stěrky. Plochy pod sprchovým koutem a plochy podlahy koupelen.</t>
  </si>
  <si>
    <t>D.1.1-08, skladba P 1, P 4:</t>
  </si>
  <si>
    <t>22.05840</t>
  </si>
  <si>
    <t>plochy pod sprchovým koutem: 0,91*1,01*24</t>
  </si>
  <si>
    <t>plochy podlahy koupelen: 2,57*24</t>
  </si>
  <si>
    <t>plocha podlahy úklidové místnosti: 1,51</t>
  </si>
  <si>
    <t>29</t>
  </si>
  <si>
    <t>711212002RT3</t>
  </si>
  <si>
    <t>Stěrka hydroizolační</t>
  </si>
  <si>
    <t>včetně dodávky ref. typ Mapelastic (fa Mapei), tl. 2 mm, jednovrstvá, dvousložková</t>
  </si>
  <si>
    <t>D.1.1-08, skladba ST 2.1, ST 2.2:</t>
  </si>
  <si>
    <t>7.07500*24</t>
  </si>
  <si>
    <t>pod obklad s hydroizol. stěrkou - sprcha: (0,9+1,03+0,9)*2,5</t>
  </si>
  <si>
    <t>0.20000*24</t>
  </si>
  <si>
    <t>pod obklad - nika: (0,6+0,4)*2*0,10</t>
  </si>
  <si>
    <t>0.67800*24</t>
  </si>
  <si>
    <t>pod obklad - umyvadlo: 1,13*0,6</t>
  </si>
  <si>
    <t>1.26000</t>
  </si>
  <si>
    <t>úklidová místnost - čelní stěna: 0,84*1,50</t>
  </si>
  <si>
    <t>Dvousložková hydroizolační stěrka proti vlhkosti. Aplikace pomocí stěrky v jedné vrstvě  tl. 2 mm.  Velmi pružná hydroizolační stěrka, která se používá k vodotěsnému ošetření a ochraně betonových konstrukcí vystavených nebezpečí vzniku trhlin. Do sprchový koutů, koupelen, betonových nádrží. Na opěrné zdi, sádrokartonové stěny, voděvzdorné překližky atd. Pro vnitřní a venkovní použití pod obklady a dlažb</t>
  </si>
  <si>
    <t>30</t>
  </si>
  <si>
    <t>711212601RT2</t>
  </si>
  <si>
    <t>Utěsnění detailů při stěrkových hydroizolacích, těsnicí pás do spoje podlaha - stěna</t>
  </si>
  <si>
    <t>Mapeband šířka 100 mm (fa Mapei)</t>
  </si>
  <si>
    <t>6.97000*24</t>
  </si>
  <si>
    <t>koupelna - obvod podlahy: 6,97</t>
  </si>
  <si>
    <t>-0.80000*24</t>
  </si>
  <si>
    <t>odpočet dveří: -0,80</t>
  </si>
  <si>
    <t>Nastěrkování podkladu v šířce 0,16 m, položení a uhlazení těsnicího pásu, překrytí další stěrkou</t>
  </si>
  <si>
    <t>31</t>
  </si>
  <si>
    <t>711212611RT2</t>
  </si>
  <si>
    <t>Utěsnění detailů při stěrkových hydroizolacích, těsnicí pás do svislých koutů</t>
  </si>
  <si>
    <t>108.00000</t>
  </si>
  <si>
    <t>koupelna - sprcha, 24 jednotek: 2*2,25*24</t>
  </si>
  <si>
    <t>Položka je určena pro těsnicí pás umístěný ve svislém rohu</t>
  </si>
  <si>
    <t>32</t>
  </si>
  <si>
    <t>711212621R00</t>
  </si>
  <si>
    <t>Utěsnění detailů při stěrkových hydroizolacích, těsnění prostupů těsnicí manžetou</t>
  </si>
  <si>
    <t>24.00000</t>
  </si>
  <si>
    <t>sprchová armatura: 1*24</t>
  </si>
  <si>
    <t>Těsnicí manžeta pro utěsnění sprchových a vanových armatur a potrubních průchodek. Rozměr manžety 120x120 mm.  Cena obsahuje nanesení hydroizolační stěrky, dodávku a vložení manžety.  Cena neobsahuje penetraci podkladu, přetření osazené manžety další vrstvou hydroizolační stěrky</t>
  </si>
  <si>
    <t>33</t>
  </si>
  <si>
    <t>998711102R00</t>
  </si>
  <si>
    <t>Přesun hmot pro izolace proti vodě, výšky do 12 m</t>
  </si>
  <si>
    <t>t</t>
  </si>
  <si>
    <t>721</t>
  </si>
  <si>
    <t>Vnitřní kanalizace</t>
  </si>
  <si>
    <t>721176102R00</t>
  </si>
  <si>
    <t>Potrubí HT připojovací, D 40 x 1,8 mm</t>
  </si>
  <si>
    <t>721_</t>
  </si>
  <si>
    <t>D11-D14_72_</t>
  </si>
  <si>
    <t>dle výkazu potrubí kanalizace - D.1.4.a-01:</t>
  </si>
  <si>
    <t>67.20000</t>
  </si>
  <si>
    <t>PP-HT d40: 2,8*24</t>
  </si>
  <si>
    <t>35</t>
  </si>
  <si>
    <t>28615280.A</t>
  </si>
  <si>
    <t>Koleno HTB D 40 mm 15° PP</t>
  </si>
  <si>
    <t>dle výkazu tvarovky kanalizace - D.1.4.a-01:</t>
  </si>
  <si>
    <t>HTB040/1</t>
  </si>
  <si>
    <t>36</t>
  </si>
  <si>
    <t>28615284.A</t>
  </si>
  <si>
    <t>Koleno HTB D 40 mm 87° PP</t>
  </si>
  <si>
    <t>120.00000</t>
  </si>
  <si>
    <t>HTB040/8</t>
  </si>
  <si>
    <t>37</t>
  </si>
  <si>
    <t>721176103R00</t>
  </si>
  <si>
    <t>Potrubí HT připojovací, D 50 x 1,8 mm</t>
  </si>
  <si>
    <t>14.40000</t>
  </si>
  <si>
    <t>PP-HT d50: 0,6*24</t>
  </si>
  <si>
    <t>38</t>
  </si>
  <si>
    <t>28615286.A</t>
  </si>
  <si>
    <t>Koleno HTB D 50 mm 30° PP</t>
  </si>
  <si>
    <t>HTB050/3</t>
  </si>
  <si>
    <t>39</t>
  </si>
  <si>
    <t>28615287.A</t>
  </si>
  <si>
    <t>Koleno HTB D 50 mm 45° PP</t>
  </si>
  <si>
    <t>HTB050/4</t>
  </si>
  <si>
    <t>40</t>
  </si>
  <si>
    <t>28615335.A</t>
  </si>
  <si>
    <t>Odbočka HTEA D 50/ 40 mm 45° PP</t>
  </si>
  <si>
    <t>HTEA050/040/4</t>
  </si>
  <si>
    <t>286154013</t>
  </si>
  <si>
    <t>Redukce nesouosá HTR D 50/40 mm PP</t>
  </si>
  <si>
    <t>HTR050/04</t>
  </si>
  <si>
    <t>42</t>
  </si>
  <si>
    <t>721176105R00</t>
  </si>
  <si>
    <t>Potrubí HT připojovací, D 110 x 2,7 mm</t>
  </si>
  <si>
    <t>16.80000</t>
  </si>
  <si>
    <t>PP-HT d110: 0,7*24</t>
  </si>
  <si>
    <t>43</t>
  </si>
  <si>
    <t>28615297.A</t>
  </si>
  <si>
    <t>Koleno HTB D 110 mm 45° PP</t>
  </si>
  <si>
    <t>72.00000</t>
  </si>
  <si>
    <t>HTB100/4</t>
  </si>
  <si>
    <t>44</t>
  </si>
  <si>
    <t>28615360.A</t>
  </si>
  <si>
    <t>Odbočka HTEA D 110/ 50 mm 45° PP</t>
  </si>
  <si>
    <t>HTEA100/050/4</t>
  </si>
  <si>
    <t>45</t>
  </si>
  <si>
    <t>28615370.A</t>
  </si>
  <si>
    <t>Odbočka HTEA D 110/ 110 mm 45° PP</t>
  </si>
  <si>
    <t>HTEA100/100/4</t>
  </si>
  <si>
    <t>46</t>
  </si>
  <si>
    <t>721194104R00</t>
  </si>
  <si>
    <t>Vyvedení odpadních výpustek, D 40 x 1,8 mm</t>
  </si>
  <si>
    <t>dle výkazu potrubí vodovodu - D.1.4.a-01:</t>
  </si>
  <si>
    <t>pro umyvadlo: 1*24</t>
  </si>
  <si>
    <t>47</t>
  </si>
  <si>
    <t>721290111R00</t>
  </si>
  <si>
    <t>Zkouška těsnosti kanalizace vodou DN 125 mm</t>
  </si>
  <si>
    <t>48</t>
  </si>
  <si>
    <t>72101R</t>
  </si>
  <si>
    <t>Příplatek za montáž tvarovek do stávajícího svislého potrubí vnitřní kanalizace, D+M, kompletní provedení</t>
  </si>
  <si>
    <t>ks</t>
  </si>
  <si>
    <t xml:space="preserve">položka bude užita v případě nemožnosti otočení stávajících odbočných tvarovek
položka obsahuje všechen materiál potřebný pro dodatečné vysazení odbočky (přesuvky apod.)
obsahuje dodávku panelákové rohové dvojodbočky krátké levé/pravé - typ HTPEK 110/110/50-67° (variantně 87°)
</t>
  </si>
  <si>
    <t>48.00000</t>
  </si>
  <si>
    <t>2 ks/koupelna: 2*24</t>
  </si>
  <si>
    <t>49</t>
  </si>
  <si>
    <t>998721102R00</t>
  </si>
  <si>
    <t>Přesun hmot pro vnitřní kanalizaci, výšky do 12 m</t>
  </si>
  <si>
    <t>722</t>
  </si>
  <si>
    <t>Vnitřní vodovod</t>
  </si>
  <si>
    <t>50</t>
  </si>
  <si>
    <t>722172741R00</t>
  </si>
  <si>
    <t>Potrubí plastové PP-RCT Ekoplastik, bez zednických výpomocí, D 16 x 2,2 mm, S 3,2</t>
  </si>
  <si>
    <t>722_</t>
  </si>
  <si>
    <t>100.80000</t>
  </si>
  <si>
    <t>studená voda d16 mm: 4,2*24</t>
  </si>
  <si>
    <t>81.60000</t>
  </si>
  <si>
    <t>teplá voda d16 mm: 3,4*24</t>
  </si>
  <si>
    <t>51</t>
  </si>
  <si>
    <t>722172742R00</t>
  </si>
  <si>
    <t>Potrubí plastové PP-RCT Ekoplastik, bez zednických výpomocí, D 20 x 2,3 mm, S 3,2</t>
  </si>
  <si>
    <t>33.60000</t>
  </si>
  <si>
    <t>studená voda d20 mm: 1,4*24</t>
  </si>
  <si>
    <t>31.20000</t>
  </si>
  <si>
    <t>teplá voda d20 mm: 1,3*24</t>
  </si>
  <si>
    <t>52</t>
  </si>
  <si>
    <t>722175121R00</t>
  </si>
  <si>
    <t>Montáž plastových vodovodních tvarovek, polyfuzně svařovaných, dva spoje, D 16 mm</t>
  </si>
  <si>
    <t>dle výkazu tvarovky vodovodu - D.1.4.a-01:</t>
  </si>
  <si>
    <t>Měrnou jednotkou se rozumí 1 kus tvarovky. V položkách nejsou započteny náklady na tvarovky. Tyto náklady se oceňují ve specifikaci. Ztratné se nedoporučuje</t>
  </si>
  <si>
    <t>240.00000</t>
  </si>
  <si>
    <t>koleno d16: 10*24</t>
  </si>
  <si>
    <t>53</t>
  </si>
  <si>
    <t>28654000</t>
  </si>
  <si>
    <t>Koleno 90° PP-R, d 16 mm</t>
  </si>
  <si>
    <t>koleno d16:</t>
  </si>
  <si>
    <t>Wavin PP-R/PP-RCT lze použít pro rozvody v obytných domech, administrativních i kulturních budovách, pro potrubí v průmyslu i v zemědělství. Wavin PP-R/PP-RCT je určen pro dopravu studené a teplé vody, podlahové vytápění a při dodržení pravidel i pro ústřední vytápění. Wavin PP-R/PP-RCT lze použít i pro dopravu vzduchu, chladicí vody a klimatizace. Tvarovky jsou univerzální pro všechny typy trubek v různých provedeních</t>
  </si>
  <si>
    <t>54</t>
  </si>
  <si>
    <t>28654320</t>
  </si>
  <si>
    <t>Koleno nástěnné s kovovým závitem vnitřním PP-R, d 16 x 1/2"</t>
  </si>
  <si>
    <t>dle výkazu tvarovky vodovod - D.1.4.a-01:</t>
  </si>
  <si>
    <t>96.00000</t>
  </si>
  <si>
    <t>nástěnné koleno d16x1/2":</t>
  </si>
  <si>
    <t>55</t>
  </si>
  <si>
    <t>722175122R00</t>
  </si>
  <si>
    <t>Montáž plastových vodovodních tvarovek, polyfuzně svařovaných, dva spoje, D 20 mm</t>
  </si>
  <si>
    <t>nátrubek d20: 5*24</t>
  </si>
  <si>
    <t>koleno d20: 5*24</t>
  </si>
  <si>
    <t>redukce d20x16: 3*24</t>
  </si>
  <si>
    <t>56</t>
  </si>
  <si>
    <t>28654002</t>
  </si>
  <si>
    <t>Koleno 90° PP-RCT, d 20 mm</t>
  </si>
  <si>
    <t>koleno d20:</t>
  </si>
  <si>
    <t>57</t>
  </si>
  <si>
    <t>28654142</t>
  </si>
  <si>
    <t>Nátrubek PP-RCT, d 20 mm</t>
  </si>
  <si>
    <t>nátrubek d20:</t>
  </si>
  <si>
    <t>58</t>
  </si>
  <si>
    <t>28654195</t>
  </si>
  <si>
    <t>Redukce vnitřní/vnější PP-R, d 20 x 16 mm</t>
  </si>
  <si>
    <t>redukce d20x16:</t>
  </si>
  <si>
    <t>59</t>
  </si>
  <si>
    <t>722175132R00</t>
  </si>
  <si>
    <t>Montáž plastových vodovodních tvarovek, polyfuzně svařovaných, tři spoje, D 20 mm</t>
  </si>
  <si>
    <t>Tkus d20: 1*24</t>
  </si>
  <si>
    <t>Tkus redukovaný d20x16x20: 2*24</t>
  </si>
  <si>
    <t>60</t>
  </si>
  <si>
    <t>28654072</t>
  </si>
  <si>
    <t>T kus jednoznačný PP-RCT, d 20 mm</t>
  </si>
  <si>
    <t>Tkus d20:</t>
  </si>
  <si>
    <t>28654100</t>
  </si>
  <si>
    <t>T kus redukovaný PP-R, d 20 x 16 x 20 mm</t>
  </si>
  <si>
    <t>Tkus redukovaný d20x16x20:</t>
  </si>
  <si>
    <t>62</t>
  </si>
  <si>
    <t>722181211RT6</t>
  </si>
  <si>
    <t>Izolace vodovodního potrubí návleková z trubic z pěnového polyetylenu, tloušťka stěny 6 mm, d 18 mm</t>
  </si>
  <si>
    <t>V položce je kalkulována dodávka izolačn…</t>
  </si>
  <si>
    <t>722181211RZ6</t>
  </si>
  <si>
    <t>Izolace vodovodního potrubí návleková z trubic z pěnového polyetylenu, tloušťka stěny 6 mm, d 20 mm</t>
  </si>
  <si>
    <t>722181213RT6</t>
  </si>
  <si>
    <t>Izolace vodovodního potrubí návleková z trubic z pěnového polyetylenu, tloušťka stěny 13 mm, d 18 mm</t>
  </si>
  <si>
    <t>65</t>
  </si>
  <si>
    <t>722181213RZ6</t>
  </si>
  <si>
    <t>Izolace vodovodního potrubí návleková z trubic z pěnového polyetylenu, tloušťka stěny 13 mm, d 20 mm</t>
  </si>
  <si>
    <t>66</t>
  </si>
  <si>
    <t>722190401R00</t>
  </si>
  <si>
    <t>Vyvedení a upevnění výpustek DN 15 mm</t>
  </si>
  <si>
    <t>nástěnné koleno d16x1/2": 4*24</t>
  </si>
  <si>
    <t>67</t>
  </si>
  <si>
    <t>722220864R00</t>
  </si>
  <si>
    <t>Demontáž armatur s dvěma závity G 2"</t>
  </si>
  <si>
    <t>hydrantový ventil</t>
  </si>
  <si>
    <t>2.00000</t>
  </si>
  <si>
    <t>chodba u schodiště 400.1, 400.3: 1+1</t>
  </si>
  <si>
    <t>68</t>
  </si>
  <si>
    <t>722249105R00</t>
  </si>
  <si>
    <t>Montáž armatury požární - hydrant  G 2"</t>
  </si>
  <si>
    <t>Položka obsahuje montáž hydrantu. Dodávka hydrantu se oceňuje ve specifikaci</t>
  </si>
  <si>
    <t>69</t>
  </si>
  <si>
    <t>722254110R00</t>
  </si>
  <si>
    <t>Demontáž hydrantových skříní</t>
  </si>
  <si>
    <t>soubor</t>
  </si>
  <si>
    <t>70</t>
  </si>
  <si>
    <t>722254111R00</t>
  </si>
  <si>
    <t>Montáž hydrantové skříně s výzbrojí</t>
  </si>
  <si>
    <t>71</t>
  </si>
  <si>
    <t>722254116RT1</t>
  </si>
  <si>
    <t>Skříň hydrantová s výzbrojí C 52 (hadice Pyrotex)</t>
  </si>
  <si>
    <t>hydrantová skříň ocelová C52 s nátěrem, plná dvířka skříně, barva červená RAL3000
skříň bude na těsno doléhat k novému SDK zákrytu požárního vodovodu
skříň bude nově bvybavena zploštilou hadicí C52 délky 20 metrů a požární proudnicí</t>
  </si>
  <si>
    <t>Dokumentace:</t>
  </si>
  <si>
    <t>viz výkres D.1.1-03 - poznámka č.1</t>
  </si>
  <si>
    <t>72</t>
  </si>
  <si>
    <t>722254127R01</t>
  </si>
  <si>
    <t>Skříň hydrantová bez výzbroje - suché hydranty, skříň pro 2x PHP do 6kg, kovová, lakovaná</t>
  </si>
  <si>
    <t xml:space="preserve">viz výkres D.1.1-03 - poznámka č.1
v provedení dle 3.NP - plná dvířka skříně s rozbitným sklem, skříň zamykatelná s klíčem uvnitř skříně
barva červená RAL3000
skříň pro 2x PHP bude osazena pod hydrantovou skříní
</t>
  </si>
  <si>
    <t>73</t>
  </si>
  <si>
    <t>722259991R00</t>
  </si>
  <si>
    <t>Tlaková zkouška nástěnného požárního hydrantu</t>
  </si>
  <si>
    <t>74</t>
  </si>
  <si>
    <t>722259995R00</t>
  </si>
  <si>
    <t>Vystavení revizní zprávy - nástěnný požární hydrant</t>
  </si>
  <si>
    <t>Položka obsahuje vyhotovení jednoho kusu revizní zprávy</t>
  </si>
  <si>
    <t>75</t>
  </si>
  <si>
    <t>722280106R00</t>
  </si>
  <si>
    <t>Tlaková zkouška vodovodního potrubí DN 32 mm</t>
  </si>
  <si>
    <t>182.40000</t>
  </si>
  <si>
    <t>64.80000</t>
  </si>
  <si>
    <t>76</t>
  </si>
  <si>
    <t>722290234R00</t>
  </si>
  <si>
    <t>Proplach a dezinfekce vodovodního potrubí DN 80 mm</t>
  </si>
  <si>
    <t>77</t>
  </si>
  <si>
    <t>998722102R00</t>
  </si>
  <si>
    <t>Přesun hmot pro vnitřní vodovod, výšky do 12 m</t>
  </si>
  <si>
    <t>78</t>
  </si>
  <si>
    <t>722201R</t>
  </si>
  <si>
    <t>Uzavření požaárního vodovodu a jeho odvodnění, zpětné zprovoznění požárního vodovodu</t>
  </si>
  <si>
    <t>vlastní</t>
  </si>
  <si>
    <t>725</t>
  </si>
  <si>
    <t>Zařizovací předměty</t>
  </si>
  <si>
    <t>79</t>
  </si>
  <si>
    <t>72501</t>
  </si>
  <si>
    <t>Skleněná polička s hrazdou, 300x125 mm, tl. skla 8 mm, D+M</t>
  </si>
  <si>
    <t>725_</t>
  </si>
  <si>
    <t>dle specifikace</t>
  </si>
  <si>
    <t>D.1.1.A-05, pol.č. 13: 2*24</t>
  </si>
  <si>
    <t>80</t>
  </si>
  <si>
    <t>725019101R00</t>
  </si>
  <si>
    <t>Výlevka diturvitová s plastovou mřížkou, stojící</t>
  </si>
  <si>
    <t>dle specifikace, plastová mřížka je součástí dodávky výlevky</t>
  </si>
  <si>
    <t>1.00000</t>
  </si>
  <si>
    <t>D.1.1-07, pro m.č. 202 - položka č. 01: 1</t>
  </si>
  <si>
    <t>81</t>
  </si>
  <si>
    <t>72502</t>
  </si>
  <si>
    <t>Dvojitý držák na ručníky, mosaz, chrom, šířka 500 mm, D+M</t>
  </si>
  <si>
    <t>D.1.1.A-05, pol.č. 15: 1*24</t>
  </si>
  <si>
    <t>82</t>
  </si>
  <si>
    <t>72503</t>
  </si>
  <si>
    <t>Háček na ručník, leštěná nerez, 56x53x56 mm, D+M</t>
  </si>
  <si>
    <t>D.1.1.A-05, pol.č. 14: 2*24</t>
  </si>
  <si>
    <t>83</t>
  </si>
  <si>
    <t>725100001RA0</t>
  </si>
  <si>
    <t>Zařizovací předměty - dodávka a montáž umyvadla, baterie, zápachové uzávěrky,</t>
  </si>
  <si>
    <t>Osazení umyvadla, sifonu a vodovodní baterie, rohových ventilů vodovodu. S dodávkou materiálu dle specifikace. Včetně pomocného montážního materiálu. Včetně napojení na kanalizaci a vodovod.</t>
  </si>
  <si>
    <t>D.1.1.A-05, pol.č. 01, 02, 03, 04: 1*24</t>
  </si>
  <si>
    <t>84</t>
  </si>
  <si>
    <t>725100005RA0</t>
  </si>
  <si>
    <t>Zařizovací předměty - dodávka a montáž sprchové kabiny, baterie, zápachové uzávěrky,</t>
  </si>
  <si>
    <t>Osazení sprchového boxu - sprchové vanička z litého mramoru 90x100 cm výšky 3-3,5 cm včetně podezdění nebo rektifikovatelných nožiček + zástěna s posuvnými dveřmi s celk. šířkou 100 cm, osazení nízkého sprchového sifonu, vyvedení a upevnění vodovodní a kanalizační výpustky, osazení sprchové baterie - podomítkové provedení včetně  stěnového vývodu, hadice a rozety pro ruční sprchu, včetně vývodu pro pevnou hlavovou sprchu, včetně kompletace všech prvků. Včetně silikonové spáry vanička-stěna z barevného silikonového tmelu.</t>
  </si>
  <si>
    <t>D.1.1.A-05, pol.č. 05, 06, 07, 08, 09: 1*24</t>
  </si>
  <si>
    <t>85</t>
  </si>
  <si>
    <t>725119306R00</t>
  </si>
  <si>
    <t>Montáž klozetu závěsného</t>
  </si>
  <si>
    <t xml:space="preserve"> 1*24</t>
  </si>
  <si>
    <t>Položka obsahuje montáž klozetu závěsného. Dodávka klozetu a sedátka se oceňuje ve specifikaci. Univerzální montážní modul pro zavěšení klozetu se oceňuje samostatně.</t>
  </si>
  <si>
    <t>86</t>
  </si>
  <si>
    <t>551674502</t>
  </si>
  <si>
    <t>WC sedátko univerzální SOFTCLOSE A604, Duroplast, bílé, systémové k WC míse</t>
  </si>
  <si>
    <t>dle D.1.1.A-05, pol. č. 10:</t>
  </si>
  <si>
    <t>Barva: bílá  CLICK systém - lehce čistitelná keramika díky rychle odejmutelnému sedátku  Kovové panty univerzálně stavitelné ve dvou osách  Materiál: duroplast s antibakteriálními vlastnostmi (zajištěny obsahem sloučenin stříbra)  Rychloupínací systém pro rychlou a jednoduchou instalaci  SOFTCLOSE - bezpečnostní zpomalovací systém zavírán</t>
  </si>
  <si>
    <t>87</t>
  </si>
  <si>
    <t>64240062R</t>
  </si>
  <si>
    <t>Mísa klozetová závěsná hl. 490 mm bez splachovacího kruhu, dle specifikace</t>
  </si>
  <si>
    <t>D.1.1.A-05, pol.č. 10:</t>
  </si>
  <si>
    <t>88</t>
  </si>
  <si>
    <t>725290010RA0</t>
  </si>
  <si>
    <t>Demontáž zařizovacích předmětů klozetu včetně splachovací nádrže</t>
  </si>
  <si>
    <t>Svislé přemístění ze 4. NP, vodorovné vnitrostaveništní přemístění do 30 m, odvoz na skládku do 10 km. Včetně poplatku za skládku.</t>
  </si>
  <si>
    <t>D.1.1-01: 1*24</t>
  </si>
  <si>
    <t>89</t>
  </si>
  <si>
    <t>725290020RA0</t>
  </si>
  <si>
    <t>Demontáž zařizovacích předmětů umyvadla včetně baterie a konzol</t>
  </si>
  <si>
    <t>90</t>
  </si>
  <si>
    <t>725290030RA0</t>
  </si>
  <si>
    <t>Demontáž zařizovacích předmětů vany včetně baterie a obezdění</t>
  </si>
  <si>
    <t>91</t>
  </si>
  <si>
    <t>725292035R00</t>
  </si>
  <si>
    <t>Držák na toaletní papír nerezový</t>
  </si>
  <si>
    <t>D.1.1.A-05, pol.č. 16: 1*24</t>
  </si>
  <si>
    <t>92</t>
  </si>
  <si>
    <t>725330820R00</t>
  </si>
  <si>
    <t>Demontáž výlevky diturvitové</t>
  </si>
  <si>
    <t>D.1.1-01, m.č. 402: 1</t>
  </si>
  <si>
    <t>93</t>
  </si>
  <si>
    <t>725800924R00</t>
  </si>
  <si>
    <t>Zpětná montáž baterie nástěnné</t>
  </si>
  <si>
    <t>D.1.1-01, baterie úklidová místnost 202: 1</t>
  </si>
  <si>
    <t>94</t>
  </si>
  <si>
    <t>725820801R00</t>
  </si>
  <si>
    <t>Demontáž baterie nástěnné do G 3/4"</t>
  </si>
  <si>
    <t>95</t>
  </si>
  <si>
    <t>787911111R00</t>
  </si>
  <si>
    <t>Montáž zrcadla na stěnu, pl. do 2 m2</t>
  </si>
  <si>
    <t>Položka je určena pro menší plochy (např. koupelny, chodby) Položka obsahuje osazení zrcadla včetně dodání materiálu kotvení, bez dodávky zrcadla. Zrcadlo se oceňuje samostatně ve specifikaci</t>
  </si>
  <si>
    <t>96</t>
  </si>
  <si>
    <t>615290744</t>
  </si>
  <si>
    <t>Zrcadlo s LED osvětlením 50x70cm, dle specifikace</t>
  </si>
  <si>
    <t>- kompletní D+M včetně napojení -dle spe…</t>
  </si>
  <si>
    <t>D.1.1.A-05, pol.č. 12:</t>
  </si>
  <si>
    <t>97</t>
  </si>
  <si>
    <t>998725102R00</t>
  </si>
  <si>
    <t>Přesun hmot pro zařizovací předměty, výšky do 12 m</t>
  </si>
  <si>
    <t>726</t>
  </si>
  <si>
    <t>Instalační prefabrikáty</t>
  </si>
  <si>
    <t>98</t>
  </si>
  <si>
    <t>726211121R00</t>
  </si>
  <si>
    <t>Modul pro WC Kombifix, UP320, h. 1080 mm</t>
  </si>
  <si>
    <t>726_</t>
  </si>
  <si>
    <t>D.1.1-09 - pol. X3: 1*24</t>
  </si>
  <si>
    <t>110.300.00.</t>
  </si>
  <si>
    <t>99</t>
  </si>
  <si>
    <t>28696756</t>
  </si>
  <si>
    <t>Tlačítko ovládací plastové Sigma 01 alpská bílá</t>
  </si>
  <si>
    <t>D.1.1.A-05, pol.č. 11:</t>
  </si>
  <si>
    <t>pro 2 množství splachování  Tlačítko Sigma 01 pro nádržky Sigma (ovládání zepředu),  Splachování pro dvě množství vody, rozměry 246 x 164 mm</t>
  </si>
  <si>
    <t>100</t>
  </si>
  <si>
    <t>998726122R00</t>
  </si>
  <si>
    <t>Přesun hmot pro předstěnové systémy, výšky do 12 m</t>
  </si>
  <si>
    <t>728</t>
  </si>
  <si>
    <t>Vzduchotechnika</t>
  </si>
  <si>
    <t>101</t>
  </si>
  <si>
    <t>728111812R00</t>
  </si>
  <si>
    <t>Demontáž potrubí plechového čtyřhranného do 0,03 m2</t>
  </si>
  <si>
    <t>728_</t>
  </si>
  <si>
    <t>8.40000</t>
  </si>
  <si>
    <t>koupelna jednotky, v rámci vybourání umakartového jádra: 0,35*24</t>
  </si>
  <si>
    <t>102</t>
  </si>
  <si>
    <t>728112111R00</t>
  </si>
  <si>
    <t>Montáž potrubí plechového kruhového do d 100 mm</t>
  </si>
  <si>
    <t>4.80000</t>
  </si>
  <si>
    <t>D.1.4.b-01, výkaz VZT kulatého potrubí: 0,20*24</t>
  </si>
  <si>
    <t>103</t>
  </si>
  <si>
    <t>728211212R00</t>
  </si>
  <si>
    <t>Montáž přechodu plechového čtyřhranného do 0,03 m2</t>
  </si>
  <si>
    <t>atyp tvarovka s hrdlem d100 mm</t>
  </si>
  <si>
    <t>D.1.4.b-01, výkaz tvarovek VZT potrubí: 1*24</t>
  </si>
  <si>
    <t>104</t>
  </si>
  <si>
    <t>429825021R</t>
  </si>
  <si>
    <t>tvarovka do potrubí čtyřhranná; přechod osový na kruhové potrubí; 100 x 300 mm., průměr potrubí 100 mm, atyp provedení bude upřesněno na stavbě</t>
  </si>
  <si>
    <t>105</t>
  </si>
  <si>
    <t>728212111R00</t>
  </si>
  <si>
    <t>Montáž oblouku plechového kruhového do d 100 mm</t>
  </si>
  <si>
    <t>D.1.4.b-01, výkaz tvarovek VZT potrubí: 2*24</t>
  </si>
  <si>
    <t>106</t>
  </si>
  <si>
    <t>429822002</t>
  </si>
  <si>
    <t>Oblouk segmentový 90°, d 100 mm Pz plech</t>
  </si>
  <si>
    <t>Oblouk segmentový OS90° slouží ke spojování částí kruhového vzduchotechnického potrubí pod úhlem 90°.  Je vyroben z pozinkovaného plechu</t>
  </si>
  <si>
    <t>107</t>
  </si>
  <si>
    <t>728415811R00</t>
  </si>
  <si>
    <t>Demontáž mřížky větrací nebo ventilační do 0,04 m2</t>
  </si>
  <si>
    <t>koupelna jednotky, v rámci vybourání umakartového jádra: 1*24</t>
  </si>
  <si>
    <t>108</t>
  </si>
  <si>
    <t>728614212R00</t>
  </si>
  <si>
    <t>Montáž ventilátoru axiálního nízkotlakového potrubního do d 200 mm</t>
  </si>
  <si>
    <t>koupelna jednotky: 1*24</t>
  </si>
  <si>
    <t>109</t>
  </si>
  <si>
    <t>429148017</t>
  </si>
  <si>
    <t>Ventilátor axiální do koupelny 100 LDTHL, spínání ovl. tlačítkem, a aut. program. doběhem, s vestavěným hygrostatem</t>
  </si>
  <si>
    <t>- ventilátor se spínáním ovládacím tlačí…</t>
  </si>
  <si>
    <t>koupelna jednotky:</t>
  </si>
  <si>
    <t>Vents 100 SV bílý, průměr 100 mm, s tahovýn spinačem.  K odsávání  vzduchu z bytových a nebytových prostor, jako jsou kuchyně, koupelny, toalety, kanceláře, prodejny, garáže a pod.  Použití pro kratší ventilační potrubí s nízkou tlakovou ztrátou, případně k odsávání přímo přes stěnu</t>
  </si>
  <si>
    <t>110</t>
  </si>
  <si>
    <t>713300851R00</t>
  </si>
  <si>
    <t>Odstranění tepelné izolace těles z desek z lehčených hmot  s konstrukcí bez povrchové úpravy</t>
  </si>
  <si>
    <t>úprava stávajícího obložení VZT potrubí pro napojení odbočné atyp tvarovky</t>
  </si>
  <si>
    <t>9.60000</t>
  </si>
  <si>
    <t>koupelna jednotky - zkrácení potrubí: (0,1+0,3)*2*0,5*24</t>
  </si>
  <si>
    <t>111</t>
  </si>
  <si>
    <t>998728102R00</t>
  </si>
  <si>
    <t>Přesun hmot pro vzduchotechniku, výšky do 12 m</t>
  </si>
  <si>
    <t>735</t>
  </si>
  <si>
    <t>Otopná tělesa</t>
  </si>
  <si>
    <t>112</t>
  </si>
  <si>
    <t>735110911R00</t>
  </si>
  <si>
    <t>Oprava-přetěsnění radiátorové růžice</t>
  </si>
  <si>
    <t>735_</t>
  </si>
  <si>
    <t>D11-D14_73_</t>
  </si>
  <si>
    <t>Oprava článkových radiátorů ve 2NP:</t>
  </si>
  <si>
    <t>88.00000</t>
  </si>
  <si>
    <t>pokoje - vnitřní sekce, 10-13 článků v.600 mm: 4*22</t>
  </si>
  <si>
    <t>8.00000</t>
  </si>
  <si>
    <t>klubovny, 10-13 článků v.600 mm: 4*2</t>
  </si>
  <si>
    <t>16.00000</t>
  </si>
  <si>
    <t>krajní štítová sekce, 20-24 článků v.600 mm: 4*4</t>
  </si>
  <si>
    <t>chodby, 9-10 článků v.600 mm: 4*2</t>
  </si>
  <si>
    <t>113</t>
  </si>
  <si>
    <t>735110911RX</t>
  </si>
  <si>
    <t>Oprava-přetěsnění radiátorového článku</t>
  </si>
  <si>
    <t>253.00000</t>
  </si>
  <si>
    <t>pokoje - vnitřní sekce, 10-13 článků v.600 mm: (10+13)/2*22</t>
  </si>
  <si>
    <t>23.00000</t>
  </si>
  <si>
    <t>klubovny, 10-13 článků v.600 mm: (10+13)/2*2</t>
  </si>
  <si>
    <t>84.00000</t>
  </si>
  <si>
    <t>krajní štítová sekce, 20-24 článků v.600 mm: 20*3+24*1</t>
  </si>
  <si>
    <t>19.00000</t>
  </si>
  <si>
    <t>chodby, 9-10 článků v.600 mm: 9*1+10*1</t>
  </si>
  <si>
    <t>114</t>
  </si>
  <si>
    <t>735110912R00</t>
  </si>
  <si>
    <t>Oprava-rozpojení otopného tělesa teplovodního</t>
  </si>
  <si>
    <t>22.00000</t>
  </si>
  <si>
    <t>pokoje - vnitřní sekce, 10-13 článků v.600 mm: 22</t>
  </si>
  <si>
    <t>klubovny, 10-13 článků v.600 mm: 2</t>
  </si>
  <si>
    <t>4.00000</t>
  </si>
  <si>
    <t>krajní štítová sekce, 20-24 článků v.600 mm: 4</t>
  </si>
  <si>
    <t>chodby, 9-10 článků v.600 mm: 2</t>
  </si>
  <si>
    <t>115</t>
  </si>
  <si>
    <t>735110914R00</t>
  </si>
  <si>
    <t>Oprava-stažení otopného tělesa</t>
  </si>
  <si>
    <t>30.00000</t>
  </si>
  <si>
    <t>116</t>
  </si>
  <si>
    <t>735111810R00</t>
  </si>
  <si>
    <t>Demontáž těles otopných litinových článkových</t>
  </si>
  <si>
    <t>typ KALOR</t>
  </si>
  <si>
    <t>10.56000</t>
  </si>
  <si>
    <t>pokoje - vnitřní sekce, 10-13 článků v.600 mm: 0,8*0,6*22</t>
  </si>
  <si>
    <t>0.96000</t>
  </si>
  <si>
    <t>klubovny, 10-13 článků v.600 mm: 0,8*0,6*2</t>
  </si>
  <si>
    <t>3.24000</t>
  </si>
  <si>
    <t>krajní štítová sekce, 20-31 článků v.600 mm: 1,2*0,6*3+1,8*0,6*1</t>
  </si>
  <si>
    <t>0.69000</t>
  </si>
  <si>
    <t>chodby, 9-10 článků v.600 mm: 0,55*0,6*1+0,6*0,6*1</t>
  </si>
  <si>
    <t>117</t>
  </si>
  <si>
    <t>735117110R00</t>
  </si>
  <si>
    <t>Odpojení a připojení těles po nátěru</t>
  </si>
  <si>
    <t>3.06000</t>
  </si>
  <si>
    <t>krajní štítová sekce, 20-24 článků v.600 mm: 1,2*0,6*3+1,5*0,6*1</t>
  </si>
  <si>
    <t>118</t>
  </si>
  <si>
    <t>735118110R00</t>
  </si>
  <si>
    <t>Tlaková zkouška otopných těles litinových - vodou</t>
  </si>
  <si>
    <t>119</t>
  </si>
  <si>
    <t>735191902R00</t>
  </si>
  <si>
    <t>Vyzkoušení otopných těles litinových tlakem</t>
  </si>
  <si>
    <t>15.27000</t>
  </si>
  <si>
    <t>120</t>
  </si>
  <si>
    <t>735192911R00</t>
  </si>
  <si>
    <t>Zpětná montáž otopných těles článků litinových</t>
  </si>
  <si>
    <t>121</t>
  </si>
  <si>
    <t>735291801RX</t>
  </si>
  <si>
    <t>Oprava konzol otopných těles, dle potřeby přemístění konzoly</t>
  </si>
  <si>
    <t>15.00000</t>
  </si>
  <si>
    <t>celkem 30 článkových těles, v rozsahu 25%: 30*2*0,25</t>
  </si>
  <si>
    <t>122</t>
  </si>
  <si>
    <t>735494811R00</t>
  </si>
  <si>
    <t>Vypuštění vody z otopných těles</t>
  </si>
  <si>
    <t>15.45000</t>
  </si>
  <si>
    <t>123</t>
  </si>
  <si>
    <t>998735102R00</t>
  </si>
  <si>
    <t>Přesun hmot pro otopná tělesa, výšky do 12 m</t>
  </si>
  <si>
    <t>124</t>
  </si>
  <si>
    <t>Přesun hmot pro otopná tělesa, výšky do 12 m - demontáž</t>
  </si>
  <si>
    <t>7631</t>
  </si>
  <si>
    <t>Konstrukce sádrokartonové</t>
  </si>
  <si>
    <t>125</t>
  </si>
  <si>
    <t>342263513RX</t>
  </si>
  <si>
    <t>Revizní dvířka do SDK příček, 300x300 mm, požární odolnost EI 30</t>
  </si>
  <si>
    <t>7631_</t>
  </si>
  <si>
    <t>D11-D14_76_</t>
  </si>
  <si>
    <t>Protipožární revizní dvířka do lehkých stěn. Položka obsahuje prořezání otvoru, osazení dvířek, tmelení povrchu.
Součástí položky je i dodávka revizních dvířek s kovovou konstrukcí rámu s pož. odolností EI30 DP1 pro montáž do SDK konstrukce s tl. desky 12,5 mm</t>
  </si>
  <si>
    <t>Kuchyňka 403 - do SDK šachtové stěny inst. jádra: 1</t>
  </si>
  <si>
    <t>126</t>
  </si>
  <si>
    <t>998763101R00</t>
  </si>
  <si>
    <t>Přesun hmot pro dřevostavby, výšky do 12 m</t>
  </si>
  <si>
    <t>766</t>
  </si>
  <si>
    <t>Konstrukce truhlářské</t>
  </si>
  <si>
    <t>127</t>
  </si>
  <si>
    <t>766411811R00</t>
  </si>
  <si>
    <t>Demontáž obložení stěn panely velikosti do 1,5 m2</t>
  </si>
  <si>
    <t>766_</t>
  </si>
  <si>
    <t>D.1.1.-02:</t>
  </si>
  <si>
    <t>Položka není určena pro oceňování demontáže obložení stěn výšky nad 2,5 m, tyto práce se oceňují položkami souboru 766 42 Demontáž obložení podhledů</t>
  </si>
  <si>
    <t>23.49000</t>
  </si>
  <si>
    <t>demontáž stávajícího obkladu stěn centrální chodby: (4,76*5+2,3)*2*0,45</t>
  </si>
  <si>
    <t>128</t>
  </si>
  <si>
    <t>766414142R00</t>
  </si>
  <si>
    <t>Obložení stěn pl. do 5 m2, deskami do 1,5 m2</t>
  </si>
  <si>
    <t>MONTÁŽ VIDITELNÁ ŠROUBOVÁNÍM SE ZAKRYTÍM V BARVĚ DESKY</t>
  </si>
  <si>
    <t>D.1.1-02, D.1.1-04:</t>
  </si>
  <si>
    <t>26.37000</t>
  </si>
  <si>
    <t>montáž obkladu stěn centrální chodby: (4,76*5+0,64*5+2,3)*2*0,45</t>
  </si>
  <si>
    <t>-0.54000</t>
  </si>
  <si>
    <t>odpočet v části u rozvaděče NN a DATA: -1,20*0,45</t>
  </si>
  <si>
    <t>129</t>
  </si>
  <si>
    <t>60722284R</t>
  </si>
  <si>
    <t>Laminovaná dřevotřísková deska Kronospan - dekor dle vzorníku, formát 2800*2070*18 mm</t>
  </si>
  <si>
    <t>10/2</t>
  </si>
  <si>
    <t>z 1 ks desky = 2 ks dl. 4,76 m</t>
  </si>
  <si>
    <t>0,75</t>
  </si>
  <si>
    <t>dl. 0,64, 10 ks</t>
  </si>
  <si>
    <t>0,25</t>
  </si>
  <si>
    <t>zaokrouhlení na celé desky</t>
  </si>
  <si>
    <t>UNI dekor - základní odstín 0112 Stone Grey, struktura matná
dekor v bar´vě UNI bude upřesněn v rámci AD na stavbě dle vzorníku výrobce</t>
  </si>
  <si>
    <t>130</t>
  </si>
  <si>
    <t>766421811R00</t>
  </si>
  <si>
    <t>Demontáž obložení podhledů panely do 1,5 m2</t>
  </si>
  <si>
    <t>12.45600</t>
  </si>
  <si>
    <t>garnýž - okno - pokoj ubytovací jednotky: 3,46*0,15*24</t>
  </si>
  <si>
    <t>1.03800</t>
  </si>
  <si>
    <t>garnýž - okno - klubovny/kuchyňka: 3,46*0,15*2</t>
  </si>
  <si>
    <t>131</t>
  </si>
  <si>
    <t>766660012RA0</t>
  </si>
  <si>
    <t>Montáž dveří jednokřídlových šířky 70 cm</t>
  </si>
  <si>
    <t>dodávka a montáž přechodové lišty PVC/ker. dlažba s výškovým rozdílem do 5 mm</t>
  </si>
  <si>
    <t>D.1.1-08, pol. D1: 13+11</t>
  </si>
  <si>
    <t>Dodávka a montáž prahu, bez dodávky dveří</t>
  </si>
  <si>
    <t>132</t>
  </si>
  <si>
    <t>61101R</t>
  </si>
  <si>
    <t>Dveře vnitřní HPL 0,8 plné hladké polodrážkové, 1kř. 70x197 cm, výplň DTD, povrch HPL unidekor U708 ST9</t>
  </si>
  <si>
    <t>D.1.1-09, položka D1</t>
  </si>
  <si>
    <t>dle specifikace
vč. dodání kliky a WC zámku</t>
  </si>
  <si>
    <t>D.1.1-09</t>
  </si>
  <si>
    <t>133</t>
  </si>
  <si>
    <t>766660014RA0</t>
  </si>
  <si>
    <t>Montáž dveří jednokřídlových šířky 80 cm</t>
  </si>
  <si>
    <t>práh dřevěný (buk) ve vzhledu dle stávajícího, kotvení do podlahy</t>
  </si>
  <si>
    <t>D.1.1-08, pol. D2: 13+11</t>
  </si>
  <si>
    <t>134</t>
  </si>
  <si>
    <t>61102R</t>
  </si>
  <si>
    <t>Dveře vnitřní HPL 0,8 částečně prosklené 1/3, hladké polodrážkové, 1kř. 80x197 cm, výplň DTD, povrch HPL unidekor U708 ST9, sklo bezpečnostní pískovan</t>
  </si>
  <si>
    <t>D.1.1-09, položka D2:</t>
  </si>
  <si>
    <t>dle specifikace
prosklení bezpečnostním sklem typu CONNEX v mléčném provedení
vč. dodávky kliky</t>
  </si>
  <si>
    <t>135</t>
  </si>
  <si>
    <t>766661112R00</t>
  </si>
  <si>
    <t>Montáž dveří do zárubně,otevíravých 1kř.do 0,8 m</t>
  </si>
  <si>
    <t>29.00000</t>
  </si>
  <si>
    <t>zpětné osazení stávajících dveřních křídel: 22+4+3</t>
  </si>
  <si>
    <t>136</t>
  </si>
  <si>
    <t>766662811R00</t>
  </si>
  <si>
    <t>Demontáž prahů dveří 1křídlových</t>
  </si>
  <si>
    <t>demontáž stávajícího prahu kotveného do podlahy</t>
  </si>
  <si>
    <t>stávající dveře na chodbách: 22+4+3</t>
  </si>
  <si>
    <t>137</t>
  </si>
  <si>
    <t>766670021R00</t>
  </si>
  <si>
    <t>Montáž kliky a štítku</t>
  </si>
  <si>
    <t>pro nové dveře, dodávka je součástí dodávky dveřního křídla</t>
  </si>
  <si>
    <t>D.1.1-09: 2*24</t>
  </si>
  <si>
    <t>138</t>
  </si>
  <si>
    <t>766695212R00</t>
  </si>
  <si>
    <t>Montáž prahů dveří jednokřídlových š. do 10 cm</t>
  </si>
  <si>
    <t>zpětná montáž stávajících prahů dveří tvarově upravených dle požadavků nových nivelit podlahy chodby/jednotky
položka obsahuje i rezervu pro případnou dodávku nového dřevěného prahu (buk)</t>
  </si>
  <si>
    <t>zpětná montáž prahů: 22+4+3</t>
  </si>
  <si>
    <t>139</t>
  </si>
  <si>
    <t>766661821R00</t>
  </si>
  <si>
    <t>Demontáž samozavírače</t>
  </si>
  <si>
    <t>pro zpětnou montáž samozavírače</t>
  </si>
  <si>
    <t>stávající dveře do pokojů, kluboven, kuchyňky a ostatních společných prostor: 22+4+3</t>
  </si>
  <si>
    <t>140</t>
  </si>
  <si>
    <t>767649191R00</t>
  </si>
  <si>
    <t>Montáž doplňků dveří, samozavírače hydraulického</t>
  </si>
  <si>
    <t>zpětná montáž samozavírače dveří</t>
  </si>
  <si>
    <t>141</t>
  </si>
  <si>
    <t>76603R</t>
  </si>
  <si>
    <t>Úprava dřevěných prahů dveří</t>
  </si>
  <si>
    <t>všechny prahy mezi ubytovacími jednotkami
jedná se o výškovou úpravu prahu dle nivelity nových podlahch na chodbách / předíních / klubovnách / ostatních místností
předmětem je vyfrézování prahu pro jeho osazení na podlahy s různou nivelitou
v případě ubytovacích jednotek s max. výškou prahu do 20 mm</t>
  </si>
  <si>
    <t>dřevěné prahy dveří: 22+4+3</t>
  </si>
  <si>
    <t>142</t>
  </si>
  <si>
    <t>766496100R00</t>
  </si>
  <si>
    <t>Ukončení hran dýhováním š. do 20 mm</t>
  </si>
  <si>
    <t>ABS hrany tl. 2 mm lamino desek, v barevném provedení odlišném od základní barvy lamino desky</t>
  </si>
  <si>
    <t>(4,8*10*2+0,45*4*10)*1,05</t>
  </si>
  <si>
    <t>(0,7*10*2+0,45*10*2)*1,05</t>
  </si>
  <si>
    <t>(2,3*2+0,45*2)*1,05</t>
  </si>
  <si>
    <t>143</t>
  </si>
  <si>
    <t>766414142R</t>
  </si>
  <si>
    <t>Formátování lamino desek tl 18mm na požadované přířezy š.45cm - proměnlivá délka přířezů</t>
  </si>
  <si>
    <t>6*2,80*2,07</t>
  </si>
  <si>
    <t>144</t>
  </si>
  <si>
    <t>998766102R00</t>
  </si>
  <si>
    <t>Přesun hmot pro truhlářské konstr., výšky do 12 m</t>
  </si>
  <si>
    <t>145</t>
  </si>
  <si>
    <t>998766192RX</t>
  </si>
  <si>
    <t>Přesun hmot pro konstrukce truhlářské příplatek k ceně za zvětšený přesun přes vymezenou největší dopravní vzdálenost  do 100 m</t>
  </si>
  <si>
    <t>vodorovný přesun vyvěšených stávajících dveřních křídel v rámci daného podlaží nebo o jedno NP
projekt uvažuje přesun vyvěšených dveřních křídel do skladu za evakuačním výtahem</t>
  </si>
  <si>
    <t>přesun tam i zpět</t>
  </si>
  <si>
    <t>767</t>
  </si>
  <si>
    <t>Konstrukce doplňkové stavební (zámečnické)</t>
  </si>
  <si>
    <t>146</t>
  </si>
  <si>
    <t>767999801R00</t>
  </si>
  <si>
    <t>Demontáž doplňků staveb o hmotnosti do 50 kg</t>
  </si>
  <si>
    <t>kg</t>
  </si>
  <si>
    <t>767_</t>
  </si>
  <si>
    <t>plechový zákryt, základní rozměr 200x200x2600mm, plech tl. 0,6mm:</t>
  </si>
  <si>
    <t>2x chodba u schodiště: 5+6</t>
  </si>
  <si>
    <t>5.00000</t>
  </si>
  <si>
    <t>1x předsíň ubyt. jednotky: 5</t>
  </si>
  <si>
    <t>7.00000</t>
  </si>
  <si>
    <t>plechový zákryt za dveřmi centrální chodby, 500x60x2600, plech tl. 0,6mm: 7</t>
  </si>
  <si>
    <t>771</t>
  </si>
  <si>
    <t>Podlahy z dlaždic</t>
  </si>
  <si>
    <t>147</t>
  </si>
  <si>
    <t>771100012RAA</t>
  </si>
  <si>
    <t>Vyrovnání podkladu samonivelační hmotou v interiéru</t>
  </si>
  <si>
    <t>771_</t>
  </si>
  <si>
    <t>D11-D14_77_</t>
  </si>
  <si>
    <t>nivelační hmota tl. do 5 mm, s penetrací</t>
  </si>
  <si>
    <t>(1,13*1,46+0,70*0,08)*24</t>
  </si>
  <si>
    <t>D.1.1-08, skladba P 1, výměry z tabulky místností - koupelna</t>
  </si>
  <si>
    <t>D.1.1-08, skladba P 3, výměry z tabulky místností:</t>
  </si>
  <si>
    <t>88.58000</t>
  </si>
  <si>
    <t>podlaha chodby 400.2: 88,58</t>
  </si>
  <si>
    <t>Systémové řešení</t>
  </si>
  <si>
    <t>148</t>
  </si>
  <si>
    <t>771475014R00</t>
  </si>
  <si>
    <t>Montáž soklíků z dlaždic keramických výšky 100 mm, soklíků vodorovných, kladených do flexibilního tmele</t>
  </si>
  <si>
    <t>-obklad soklu na chodbách</t>
  </si>
  <si>
    <t>D.1.1-08, skladba P 3, odvozeno z tab. míst na výkrese D.1.1-02:</t>
  </si>
  <si>
    <t>60.86000</t>
  </si>
  <si>
    <t>podlaha chodby 400.2: 83,44-(22*0,9+2*1,39)</t>
  </si>
  <si>
    <t>20.19000</t>
  </si>
  <si>
    <t>podlaha chodby - schodiště 400.1: 28,44-(0,90*3+1,39+0,7)-3,46</t>
  </si>
  <si>
    <t>13.90000</t>
  </si>
  <si>
    <t>podlaha chodby - schodiště 400.3: 20,06-(0,90*3)-3,46</t>
  </si>
  <si>
    <t>149</t>
  </si>
  <si>
    <t>77101R</t>
  </si>
  <si>
    <t>Sokl 60x9,5 cm, slinutý, neglazovaný, rektifikovaný, R10, označ. SOKL 1, světele šedý s texturou</t>
  </si>
  <si>
    <t>-dle specifikace na výkrese D.1.1.A-01</t>
  </si>
  <si>
    <t>D.1.1-08, skladba P 3, odvozeno z tab. míst na výkrese D.1.1-02, označení SOKL 1:</t>
  </si>
  <si>
    <t>33.65000*1,07</t>
  </si>
  <si>
    <t>podlaha chodby - schodiště 400.1:</t>
  </si>
  <si>
    <t>23.16667*1,07</t>
  </si>
  <si>
    <t>podlaha chodby - schodiště 400.3:</t>
  </si>
  <si>
    <t>0,207</t>
  </si>
  <si>
    <t>zaokr. na celé kusy</t>
  </si>
  <si>
    <t>150</t>
  </si>
  <si>
    <t>77102R</t>
  </si>
  <si>
    <t>Sokl 60x9,5 cm, slinutý, neglazovaný, rektifikovaný, R10, označ. SOKL 2, světele šedý matný</t>
  </si>
  <si>
    <t>D.1.1-08, skladba P 3, odvozeno z tab. míst na výkrese D.1.1-02, označení SOKL 2:</t>
  </si>
  <si>
    <t>101.43333*1,075</t>
  </si>
  <si>
    <t>podlaha chodby 400.2:</t>
  </si>
  <si>
    <t>0,959</t>
  </si>
  <si>
    <t>151</t>
  </si>
  <si>
    <t>771575118R00</t>
  </si>
  <si>
    <t>Montáž podlah keram.,hladké, tmel, 60x60 cm</t>
  </si>
  <si>
    <t>40.93920</t>
  </si>
  <si>
    <t>podlaha koupelny: (1,13*1,46+0,70*0,08)*24</t>
  </si>
  <si>
    <t>spára 10/1</t>
  </si>
  <si>
    <t>152</t>
  </si>
  <si>
    <t>5976401</t>
  </si>
  <si>
    <t>Dlažba 600x600x10 mm s texturou, slinutá, neglazovaná, rektifikovaná, světle šedá, R10, součinitel smyk. tření min.  0,50</t>
  </si>
  <si>
    <t>D.1.1-A-01, označ. D1</t>
  </si>
  <si>
    <t>D.1.1.A-01, prořez 5%:</t>
  </si>
  <si>
    <t>33.26400</t>
  </si>
  <si>
    <t>podlaha chodby 400.2 - označ D1:</t>
  </si>
  <si>
    <t>153</t>
  </si>
  <si>
    <t>5976402</t>
  </si>
  <si>
    <t>Dlažba 600x600x10 mm matná, slinutá, neglazovaná, rektifikovaná, světle šedá, R10, součinitel smyk. tření min.  0,50</t>
  </si>
  <si>
    <t>D.1.1-A-01, označ. D2</t>
  </si>
  <si>
    <t>41.20200</t>
  </si>
  <si>
    <t>podlaha chodby 400.2 - označ D2:</t>
  </si>
  <si>
    <t>154</t>
  </si>
  <si>
    <t>5976403</t>
  </si>
  <si>
    <t>Dlažba 300x600x10 mm s texturou, slinutá, neglazovaná, rektifikovaná, světle šedá, R10, součinitel smyk. tření min.  0,50</t>
  </si>
  <si>
    <t>D.1.1-A-01, označ. D3</t>
  </si>
  <si>
    <t>10.39500</t>
  </si>
  <si>
    <t>podlaha chodby 400.2 - označ D3:</t>
  </si>
  <si>
    <t>23.66700</t>
  </si>
  <si>
    <t>18.09150</t>
  </si>
  <si>
    <t>1.58550</t>
  </si>
  <si>
    <t>podlaha úklidová místnost 402:</t>
  </si>
  <si>
    <t>155</t>
  </si>
  <si>
    <t>5976404</t>
  </si>
  <si>
    <t>Dlažba 300x600x10 mm matná, slinutá, neglazovaná, rektifikovaná, světle šedá, R10, součinitel smyk. tření min.  0,50</t>
  </si>
  <si>
    <t>D.1.1-A-01, označ. D4</t>
  </si>
  <si>
    <t>14.55300</t>
  </si>
  <si>
    <t>podlaha chodby 400.2 - označ D4:</t>
  </si>
  <si>
    <t>156</t>
  </si>
  <si>
    <t>5976405</t>
  </si>
  <si>
    <t>Dlažba 600x600x10 mm matná, slinutá, neglazovaná, rektifikovaná, šedá, R9-R10, neprobarvená</t>
  </si>
  <si>
    <t>D.1.1.A-03,04, označ. A</t>
  </si>
  <si>
    <t>D.1.1.A-03, prořez 5%:</t>
  </si>
  <si>
    <t>45.36000</t>
  </si>
  <si>
    <t>podlaha koupelny - označ. A, 5ks 60x60/koupelna:</t>
  </si>
  <si>
    <t>157</t>
  </si>
  <si>
    <t>998771102R00</t>
  </si>
  <si>
    <t>Přesun hmot pro podlahy z dlaždic, výšky do 12 m</t>
  </si>
  <si>
    <t>776</t>
  </si>
  <si>
    <t>Podlahy povlakové</t>
  </si>
  <si>
    <t>158</t>
  </si>
  <si>
    <t>776_</t>
  </si>
  <si>
    <t>51.12000</t>
  </si>
  <si>
    <t>D.1.1-08, skladba P 2, výměry z tabulky místností - předsíň: 2,13*24</t>
  </si>
  <si>
    <t>345.84000</t>
  </si>
  <si>
    <t>podlaha pokoje: 14,41*24</t>
  </si>
  <si>
    <t>7.96000</t>
  </si>
  <si>
    <t>sklad 401: 7,96</t>
  </si>
  <si>
    <t>40.68000</t>
  </si>
  <si>
    <t>klubovny 405, 406: 20,34*2</t>
  </si>
  <si>
    <t>20.00</t>
  </si>
  <si>
    <t>podlaha kuchyňky 403</t>
  </si>
  <si>
    <t>159</t>
  </si>
  <si>
    <t>776401800RT1</t>
  </si>
  <si>
    <t>Demontáž soklíků nebo lišt, pryžových nebo z PVC</t>
  </si>
  <si>
    <t>odstranění a uložení na hromady</t>
  </si>
  <si>
    <t>4.NP - odvozeno z tab. místností na D.1.1-03:</t>
  </si>
  <si>
    <t>10.72000</t>
  </si>
  <si>
    <t>sklad 01: 11,52-0,8</t>
  </si>
  <si>
    <t>35.76000</t>
  </si>
  <si>
    <t>klubovny 405, 406: (18,68-0,8)*2</t>
  </si>
  <si>
    <t>19.56000</t>
  </si>
  <si>
    <t>kuchyňka 403: 20,36-0,80</t>
  </si>
  <si>
    <t>88.56000</t>
  </si>
  <si>
    <t>předsíně ubytovacích jednotek: (5,89-2*0,8-0,6)*24</t>
  </si>
  <si>
    <t>346.80000</t>
  </si>
  <si>
    <t>pokoje ubytovacích jednotek: (15,25-0,8)*24</t>
  </si>
  <si>
    <t>160</t>
  </si>
  <si>
    <t>776511810RT1</t>
  </si>
  <si>
    <t>Odstranění PVC a koberců lepených bez podložky</t>
  </si>
  <si>
    <t>z ploch nad 20 m2</t>
  </si>
  <si>
    <t>dle tabulky místností D.1.1-03:</t>
  </si>
  <si>
    <t>z kluboven (mč 405,406): 20,34*2</t>
  </si>
  <si>
    <t>20.36000</t>
  </si>
  <si>
    <t>z kuchyňky 403: 20,36</t>
  </si>
  <si>
    <t>161</t>
  </si>
  <si>
    <t>776511810RT2</t>
  </si>
  <si>
    <t>z ploch 10 - 20 m2</t>
  </si>
  <si>
    <t>dle D.1.1-03:</t>
  </si>
  <si>
    <t>z pokoje/kanceláře: 14,41*24</t>
  </si>
  <si>
    <t>162</t>
  </si>
  <si>
    <t>776511810RT3</t>
  </si>
  <si>
    <t>z ploch do 10 m2</t>
  </si>
  <si>
    <t>ze skladu (mč 401): 7,96</t>
  </si>
  <si>
    <t>z předsíně jednotky: 2,13*24</t>
  </si>
  <si>
    <t>72.32400</t>
  </si>
  <si>
    <t>z koupelny jednotky: (1,23*1,65+0,8*1,23)*24</t>
  </si>
  <si>
    <t>163</t>
  </si>
  <si>
    <t>776520110RAE</t>
  </si>
  <si>
    <t>Podlaha povlaková z PVC pásů, soklík, stěrka</t>
  </si>
  <si>
    <t>podlahovina zátěžová, oblast použítí 34-42, typ dle specifika, dekor bude upřesněn dle vzorníku výrobce na stavbě</t>
  </si>
  <si>
    <t>D.1.1-08, skladba P 2:</t>
  </si>
  <si>
    <t>podlaha skladu 401: 7,96</t>
  </si>
  <si>
    <t>podlaha kluboven 405, 406: 20,34*2</t>
  </si>
  <si>
    <t>20.00000</t>
  </si>
  <si>
    <t>podlaha kuchyňky 403: 20,00</t>
  </si>
  <si>
    <t>podlaha pokoje ubytovací jednotky: 14,41*24</t>
  </si>
  <si>
    <t>oblast použítí 34 - komerční výstavba, velmi vysoká zátěž oblast použítí 42 - lehký průmysl, střední zátě</t>
  </si>
  <si>
    <t>podlaha předsíně ubytovací jednotky: 2,13*24</t>
  </si>
  <si>
    <t>164</t>
  </si>
  <si>
    <t>28412285</t>
  </si>
  <si>
    <t>Podlahovina vinylová  tl. 2,0 mm, š. role 1,5 m, kalakulace prořezu základního materiálu</t>
  </si>
  <si>
    <t>specifikace viz D.1.1.A-06</t>
  </si>
  <si>
    <t>465,6*0,15</t>
  </si>
  <si>
    <t>ztratné 15%:</t>
  </si>
  <si>
    <t>-(((465,6*1,15)/40)-14)*40</t>
  </si>
  <si>
    <t>zaokrouhlení na celé role á40m2:</t>
  </si>
  <si>
    <t xml:space="preserve">Heterogenní PVC podlahová krytina v rolích s PUR ochrannou vrstvou.  Pro podlahy v interiéru s nároky na vyšší zátěž. Vhodné do mateřských školek a školních jídelen. Pokládka celoplošným lepením disperzními lepidly doporučenými výrobcem.  Rozměr: role 1,5 x 12 </t>
  </si>
  <si>
    <t>165</t>
  </si>
  <si>
    <t>28342458R</t>
  </si>
  <si>
    <t>Lišta soklová PVC - prořez</t>
  </si>
  <si>
    <t>10.72000*0,02</t>
  </si>
  <si>
    <t>sklad 401:</t>
  </si>
  <si>
    <t>35.76000*0,02</t>
  </si>
  <si>
    <t>klubovny 405, 406:</t>
  </si>
  <si>
    <t>19.56000*0,02</t>
  </si>
  <si>
    <t>kuchyňka 403:</t>
  </si>
  <si>
    <t>86.16000*0,02</t>
  </si>
  <si>
    <t>předsíně ubytovacích jednotek:</t>
  </si>
  <si>
    <t>346.80000*0,02</t>
  </si>
  <si>
    <t>pokoje ubytovacích jednotek:</t>
  </si>
  <si>
    <t>41,071</t>
  </si>
  <si>
    <t>zaokrouhlení na celé 50m:</t>
  </si>
  <si>
    <t>- PVC lišta s pevným jádrem pro vinylové podlahy s výškou profilu 58mm - určená pro vlepení proužku podlahové krytiny - odolná proti vlhkosti a tvarově velmi stabilní - s měkkým horním nosem - montáž s použitím lepicí pásky (není součástí), montážního lepidla nebo hřebíčků - vhodné pro vinylové a designové podlahy i klasické PVC - možnost použití raznice pro rohy a kouty beze spár  58 mm x 11,8 mm x 2,5 m  25669  bílá, stříbrná, béžová, šampaň, šedá, bronzová, hnědá mocca, černá, zlat</t>
  </si>
  <si>
    <t>166</t>
  </si>
  <si>
    <t>998776102R00</t>
  </si>
  <si>
    <t>Přesun hmot pro podlahy povlakové, výšky do 12 m</t>
  </si>
  <si>
    <t>781</t>
  </si>
  <si>
    <t>Obklady (keramické)</t>
  </si>
  <si>
    <t>167</t>
  </si>
  <si>
    <t>781101111R00</t>
  </si>
  <si>
    <t>Vyrovnání podkladu maltou ze SMS tl. do 7 mm</t>
  </si>
  <si>
    <t>781_</t>
  </si>
  <si>
    <t>D11-D14_78_</t>
  </si>
  <si>
    <t>7.35800*24</t>
  </si>
  <si>
    <t>pod obklad s hydroizol. stěrkou - sprcha: (0,9+1,03+0,9)*2,6</t>
  </si>
  <si>
    <t xml:space="preserve"> (0,6+0,4)*2*0,10</t>
  </si>
  <si>
    <t>Položka obsahuje očištění podkladu od nepřídržných částic, rozmíchání suché směsi s vodou, nanesení na stěnu a vyhlazení, uklizení odpadu. Položka neobsahuje žádný materiál.</t>
  </si>
  <si>
    <t>168</t>
  </si>
  <si>
    <t>58591543.A</t>
  </si>
  <si>
    <t>Omítka jednovrstvá vápenocementová Cemix 4260, bal. 25 kg</t>
  </si>
  <si>
    <t>198,924*12,5*0,001</t>
  </si>
  <si>
    <t>JEDNOVRSTVÁ OMÍTKA 4260 (dříve Jednovrstvá omítka strojní a ruční 073)  Pro omítání zdiva z pórobetonových tvarovek a dalšího rozměrově přesného zdiva. Použití jako podklad pod interiérové nátěry, finální tenkovrstvou omítku nebo keramickým obkladem.  Doporučená tl.: 10 mm (5 - 25 mm) Spotřeba: cca 12,5 kg/m2 Balení: 25 k</t>
  </si>
  <si>
    <t>169</t>
  </si>
  <si>
    <t>781475115RA0</t>
  </si>
  <si>
    <t>Obklad vnitřní keram., tmel Mapei, nad 30 x 30 cm</t>
  </si>
  <si>
    <t>včetně dodávky obkladu dle specifikace</t>
  </si>
  <si>
    <t>obklad stěn koupelny, výška obkladu do stropu (min. v.2,55 m):</t>
  </si>
  <si>
    <t>2.38700*24</t>
  </si>
  <si>
    <t>stěna 1: 1,66*2,55-0,125*1,20-0,08*1-0,8*2,02</t>
  </si>
  <si>
    <t>5.39090*24</t>
  </si>
  <si>
    <t>stěna 2: 1,13*2,55+1,13*0,08+1,55*0,08+0,9*2,55</t>
  </si>
  <si>
    <t>3.90450*24</t>
  </si>
  <si>
    <t>stěna 3: 1,04*2,55+0,55*2,55-0,125*1,20</t>
  </si>
  <si>
    <t>5.31775*24</t>
  </si>
  <si>
    <t>stěna 4: 0,9*2,55+1,13*2,55+1,13*0,125</t>
  </si>
  <si>
    <t>nika - ostění: (0,6+0,4)*2*0,10</t>
  </si>
  <si>
    <t>6.87000</t>
  </si>
  <si>
    <t>obklad stěny úklidové komory: (2*1,80+2*0,84-0,70)*1,5</t>
  </si>
  <si>
    <t>Obkladačky na lepící tmel Adesilex P22, plocha spárována hmotou Ultracolor,  Pro suché prostředí a na sádrokarton.</t>
  </si>
  <si>
    <t>170</t>
  </si>
  <si>
    <t>5976101R</t>
  </si>
  <si>
    <t>Keram obklad - příplatek za prořez materiálu</t>
  </si>
  <si>
    <t>419,674*0,15</t>
  </si>
  <si>
    <t>prořez 15%:</t>
  </si>
  <si>
    <t>171</t>
  </si>
  <si>
    <t>781111121R00</t>
  </si>
  <si>
    <t>Montáž lišt rohových, vanových a dilatačních</t>
  </si>
  <si>
    <t>dodávka lišty dle specifikace - broušený nerez</t>
  </si>
  <si>
    <t>dle D.1.1.A-03 a 04, provedení z jednoho kusu bez napojování:</t>
  </si>
  <si>
    <t>2.26000*24</t>
  </si>
  <si>
    <t>vodorovné hrany přizdívek: 1,13*2</t>
  </si>
  <si>
    <t>4.00000*24</t>
  </si>
  <si>
    <t>svislé hrany přizdívek: 1,5+2,5</t>
  </si>
  <si>
    <t>2.00000*24</t>
  </si>
  <si>
    <t>nika: (0,6+0,4)*2</t>
  </si>
  <si>
    <t>172</t>
  </si>
  <si>
    <t>78101RX</t>
  </si>
  <si>
    <t>Lišta ukončovací nerez, L profil, pro obklad 10 mm, dl. 2,5 m</t>
  </si>
  <si>
    <t>mb</t>
  </si>
  <si>
    <t>(3,5*2,5*24)-198,24</t>
  </si>
  <si>
    <t>dopočet na celé lišty dl. 2,5 metru</t>
  </si>
  <si>
    <t>173</t>
  </si>
  <si>
    <t>998781102R00</t>
  </si>
  <si>
    <t>Přesun hmot pro obklady keramické, výšky do 12 m</t>
  </si>
  <si>
    <t>783</t>
  </si>
  <si>
    <t>Nátěry</t>
  </si>
  <si>
    <t>174</t>
  </si>
  <si>
    <t>783222100R00</t>
  </si>
  <si>
    <t>Nátěr syntetický kovových konstrukcí dvojnásobný</t>
  </si>
  <si>
    <t>783_</t>
  </si>
  <si>
    <t>včetně pomocného lešení, včetně přípravných prací - zakrývání okolních ploch
barva světle šedá - okenní šedá RAL 7040</t>
  </si>
  <si>
    <t>nátěr nových kovových zárubní:</t>
  </si>
  <si>
    <t>22.18320</t>
  </si>
  <si>
    <t>dveře D1: (0,70+2,02*2)*(0,05*2+0,095)*24</t>
  </si>
  <si>
    <t>22.65120</t>
  </si>
  <si>
    <t>dveře D2: (0,80+2,02*2)*(0,05*2+0,095)*24</t>
  </si>
  <si>
    <t>175</t>
  </si>
  <si>
    <t>783322220R00</t>
  </si>
  <si>
    <t>Nátěr syntetický ocel. radiát. článků 2x +1x email</t>
  </si>
  <si>
    <t>pro litinová nebo kovová článková topná tělesa
1x syntetický základní nátěr např. S 2000
2x email na radiátory speciální např. S 2119 - lesklý bílý, spotřeba 1 litr/16 m2, 1m2=4 články 20x60 cm, aplikace 2. vrstvy min. po 24 hodinách</t>
  </si>
  <si>
    <t>Oprava článkových radiátorů ve 2NP, 1 m2= 4 články 200x600:</t>
  </si>
  <si>
    <t>63.25000</t>
  </si>
  <si>
    <t>pokoje - vnitřní sekce, 10-13 článků v.600 mm: (10+13)/2*22*0,25</t>
  </si>
  <si>
    <t>5.75000</t>
  </si>
  <si>
    <t>klubovny, 10-13 článků v.600 mm: (10+13)/2*2*0,25</t>
  </si>
  <si>
    <t>21.00000</t>
  </si>
  <si>
    <t>krajní štítová sekce, 20-24 článků v.600 mm: 20*3*0,25+24*1*0,25</t>
  </si>
  <si>
    <t>4.75000</t>
  </si>
  <si>
    <t>chodby, 9-10 článků v.600 mm: 9*1*0,25+10*1*0,25</t>
  </si>
  <si>
    <t>176</t>
  </si>
  <si>
    <t>783424140R00</t>
  </si>
  <si>
    <t>Nátěr syntetický potrubí do DN 50 mm  Z + 2x</t>
  </si>
  <si>
    <t>62.40000</t>
  </si>
  <si>
    <t>pokoje - připojení radiátor DN15: 1,3*2*24</t>
  </si>
  <si>
    <t>klubovny - připojení radiátor DN15: 1,3*2*2</t>
  </si>
  <si>
    <t>sklad - připojení radiátor DN15: 1*2</t>
  </si>
  <si>
    <t>chodby - připojení radiátor DN15: 1,3*2*2</t>
  </si>
  <si>
    <t>stoupací potrubí DN40:</t>
  </si>
  <si>
    <t>41.60000</t>
  </si>
  <si>
    <t>strana schodiště: 2,6*2*8</t>
  </si>
  <si>
    <t>46.80000</t>
  </si>
  <si>
    <t>strana proti schodišti: 2,6*2*9</t>
  </si>
  <si>
    <t>10.40000</t>
  </si>
  <si>
    <t>štíty - chodby: 2,6*2*2</t>
  </si>
  <si>
    <t>784</t>
  </si>
  <si>
    <t>Malby</t>
  </si>
  <si>
    <t>177</t>
  </si>
  <si>
    <t>784402801R00</t>
  </si>
  <si>
    <t>Odstranění malby oškrábáním v místnosti H do 3,8 m</t>
  </si>
  <si>
    <t>784_</t>
  </si>
  <si>
    <t>stěny ubytovací jednotky / kanceláře::</t>
  </si>
  <si>
    <t>10.26500*24</t>
  </si>
  <si>
    <t>předsíň: (1,66*2+1,29*2)*2,63000-0,8*2,02-0,9*2,02*2</t>
  </si>
  <si>
    <t>34.89180*24</t>
  </si>
  <si>
    <t>pokoj: (2*3,46000+2*4,17000)*2,63000-0,9*2,02-2,14*1,60</t>
  </si>
  <si>
    <t>0.80100*24</t>
  </si>
  <si>
    <t>ostění okna: (2,14+2*1,60)*0,15</t>
  </si>
  <si>
    <t>stropy ubytovací jednotky / kanceláře::</t>
  </si>
  <si>
    <t>14.42820*24</t>
  </si>
  <si>
    <t>pokoj: 3,46000*4,17000</t>
  </si>
  <si>
    <t>162.90500</t>
  </si>
  <si>
    <t>centrální chodba: (2*39,46+2*2,26)*2,50-(0,9*2,02*22+1,39*2,05*2)</t>
  </si>
  <si>
    <t>50.27800</t>
  </si>
  <si>
    <t>kuchyňka 403: (2*5,9+2*3,46)*2,60-(0,90*2,02-2,14*1,60)</t>
  </si>
  <si>
    <t>0.80100</t>
  </si>
  <si>
    <t xml:space="preserve"> (2,14+2*1,60)*0,15</t>
  </si>
  <si>
    <t>Položka je určena pro jakýkoliv počet současně oškrábaných vrstev maleb</t>
  </si>
  <si>
    <t>178</t>
  </si>
  <si>
    <t>784450075RA0</t>
  </si>
  <si>
    <t>Malba disperzní, penetrace 1x, malba bílá 2x</t>
  </si>
  <si>
    <t>výmalba celého prostoru ubytovací jednotky:</t>
  </si>
  <si>
    <t>stěny::</t>
  </si>
  <si>
    <t>stropy::</t>
  </si>
  <si>
    <t>2.14140*24</t>
  </si>
  <si>
    <t>předsíň: 1,66*1,29</t>
  </si>
  <si>
    <t>2.80000*24</t>
  </si>
  <si>
    <t>koupelna: 2,8</t>
  </si>
  <si>
    <t>chodba - m.č. 400.2: (2*39,46+2*2,26)*2,50-(0,9*2,02*22+1,39*2,05*2)</t>
  </si>
  <si>
    <t>85.80000</t>
  </si>
  <si>
    <t>chodba - m.č. 400.1: (7,06+5,86+1,52+4,11+1,80+7,2-1,75+7,2)*2,6</t>
  </si>
  <si>
    <t>-11.50500</t>
  </si>
  <si>
    <t xml:space="preserve"> -(1,34*2,05+0,9*2,02*3+0,7*2,02+0,9*2,1)</t>
  </si>
  <si>
    <t>66.11800</t>
  </si>
  <si>
    <t>chodba - m.č. 400.3: (7,06+2,26+3,46+7,2+7,2-1,75)*2,60</t>
  </si>
  <si>
    <t>-4.77700</t>
  </si>
  <si>
    <t xml:space="preserve"> -(1,34*2,05+0,9*2,02*3-2,14*1,60)</t>
  </si>
  <si>
    <t>86.65200</t>
  </si>
  <si>
    <t>klubovna 405, 406: ((5,88+3,46)*2*2,60-0,90*2,02-2,14*1,60)*2</t>
  </si>
  <si>
    <t>1.60200</t>
  </si>
  <si>
    <t xml:space="preserve"> (2,14+2*1,60)*0,15*2</t>
  </si>
  <si>
    <t>strop: 20,34*2</t>
  </si>
  <si>
    <t>47.69400</t>
  </si>
  <si>
    <t>kuchyňka 403: (5,9+3,46+0,82)*2*2,60-0,90*2,02-2,14*1,60</t>
  </si>
  <si>
    <t>strop: 20</t>
  </si>
  <si>
    <t>179</t>
  </si>
  <si>
    <t>78401RX</t>
  </si>
  <si>
    <t>Lokální vyspravení děr v omítce sádrovou stěrkou - po demontážích úchytů garnyže oken</t>
  </si>
  <si>
    <t>pokoje ubytovacích jednotek: 4*24</t>
  </si>
  <si>
    <t>klubovny: 4*2</t>
  </si>
  <si>
    <t>785</t>
  </si>
  <si>
    <t>Tapetování</t>
  </si>
  <si>
    <t>180</t>
  </si>
  <si>
    <t>785411122R00</t>
  </si>
  <si>
    <t>Lepení tapet vliesov.se vzorem na stěnu do v. 3,8m</t>
  </si>
  <si>
    <t>785_</t>
  </si>
  <si>
    <t>D.1.1.-08, skladba 3.1, skladba 4.2:</t>
  </si>
  <si>
    <t>70.00000</t>
  </si>
  <si>
    <t>centrální chodba: (2,65*2,5*5)*2+1,50*2,50</t>
  </si>
  <si>
    <t>99.60000</t>
  </si>
  <si>
    <t>předsíň jednotky - stěna 6: 1,66*2,50*24</t>
  </si>
  <si>
    <t>181</t>
  </si>
  <si>
    <t>67390130</t>
  </si>
  <si>
    <t>Tapeta vliesová š. role 0,53 m</t>
  </si>
  <si>
    <t>(70+99,6)</t>
  </si>
  <si>
    <t>39*5,33-(70+99,6)</t>
  </si>
  <si>
    <t>prořez dle spotřeby materiálu (celkem 39 rolí)</t>
  </si>
  <si>
    <t>Vliesová tapeta na zeď - dekor bude upřesněn na stavbě.  Dekor: dle vzorníku výrobce (možné jiné varianty) Návin: 0,53 x 10,05 m (5,33 m2</t>
  </si>
  <si>
    <t>182</t>
  </si>
  <si>
    <t>785419100R00</t>
  </si>
  <si>
    <t>Ukončení tapet z nařezaných pásků v. do 3,8 m</t>
  </si>
  <si>
    <t>2,5*24</t>
  </si>
  <si>
    <t>předsíně ubyt. jednotek, jednostranný dořez</t>
  </si>
  <si>
    <t>Různé dokončovací konstrukce a práce na pozemních stavbách</t>
  </si>
  <si>
    <t>183</t>
  </si>
  <si>
    <t>952901111R00</t>
  </si>
  <si>
    <t>Vyčištění budov o výšce podlaží do 4 m</t>
  </si>
  <si>
    <t>95_</t>
  </si>
  <si>
    <t>D11-D14_9_</t>
  </si>
  <si>
    <t>692,75</t>
  </si>
  <si>
    <t>dle tab. místností 4NP - celková plocha podlaží</t>
  </si>
  <si>
    <t xml:space="preserve">Položka je určena pro vyčištění budov bytové nebo občanské výstavby - zametení a umytí podlah, dlažeb, obkladů, schodů v místnostech, chodbách a schodištích, vyčištění a umytí oken, dveří s rámy, zárubněmi, umytí a vyčistění jiných zasklených a natíraných ploch a zařizovacích předmětů před předáním do užívání. </t>
  </si>
  <si>
    <t>Bourání konstrukcí</t>
  </si>
  <si>
    <t>184</t>
  </si>
  <si>
    <t>968061125R00</t>
  </si>
  <si>
    <t>Vyvěšení dřevěných a plastových dveřních křídel pl. do 2 m2</t>
  </si>
  <si>
    <t>96_</t>
  </si>
  <si>
    <t>Položka obsahuje náklady na vyvěšení křídel, jejich uložení a zpětné zavěšení po provedených stavebních úpravách. Položka se používá i pro vyvěšení křídel určených k likvidaci</t>
  </si>
  <si>
    <t>185</t>
  </si>
  <si>
    <t>965048515R00</t>
  </si>
  <si>
    <t>Broušení betonových povrchů do tl. 5 mm</t>
  </si>
  <si>
    <t>Skladba P 2 - broušení stávajícího bet. povrchu pro novou PVC krytinu:</t>
  </si>
  <si>
    <t>předsíně ubytovacích jednotek - 100% plochy: 2,13*24</t>
  </si>
  <si>
    <t>77.30400</t>
  </si>
  <si>
    <t>pokoje ubytovacích jednotek, klubovny - lokálně, do 20% plochy místnosti: (14,41*24+20,34*2)*0,20</t>
  </si>
  <si>
    <t>20*0,20</t>
  </si>
  <si>
    <t>kuchyňka - lokálně do 20% plochy</t>
  </si>
  <si>
    <t>Skladba P 3 - broušení stáv. betonového povrchu pro novou dlažbu:</t>
  </si>
  <si>
    <t>4.52000</t>
  </si>
  <si>
    <t>centrální chodba - návaznost na stávající AL protipožární dveře: 2,26*1,0*2</t>
  </si>
  <si>
    <t>11.27000</t>
  </si>
  <si>
    <t>chodba 400.1, odhad v ploše 50%: 22,54*0,50</t>
  </si>
  <si>
    <t>8.61500</t>
  </si>
  <si>
    <t>chodba 400.3, odhad v ploše 50%: 17,23*0,50</t>
  </si>
  <si>
    <t>Položka je určena pro broušení lokálních nerovností nebo zbroušení celistvých ploch. V položce není kalkulována manipulace se sutí, která se oceňuje samostatně položkami souboru 979.</t>
  </si>
  <si>
    <t>186</t>
  </si>
  <si>
    <t>965048516R00</t>
  </si>
  <si>
    <t>Příplatek za každý další 1 mm broušení bet.povrchu</t>
  </si>
  <si>
    <t>celkem broušení navíc 2-5 mm</t>
  </si>
  <si>
    <t>2,13*24*0,50*2</t>
  </si>
  <si>
    <t>předsíně ubytovacích jednotek - 50% plochy, o 2 mm navíc</t>
  </si>
  <si>
    <t>(14,41*24+20,34*2)*0,20*2</t>
  </si>
  <si>
    <t>pokoje ubytovacích jednotek, klubovny - lokálně, do 20% plochy místnosti, o 2 mm navíc</t>
  </si>
  <si>
    <t>20*0,20*2</t>
  </si>
  <si>
    <t>kuchyňka - lokálně do 20%, o 2 mm navíc</t>
  </si>
  <si>
    <t>2,26*1,0*2*5</t>
  </si>
  <si>
    <t>centrální chodba - návaznost na stávající AL protipožární dveře, o 5 mm navíc</t>
  </si>
  <si>
    <t>22,4*0,50*5</t>
  </si>
  <si>
    <t>chodba 400.1, odhad v ploše 50%, o 5 mm navíc</t>
  </si>
  <si>
    <t>17,1*0,50*5</t>
  </si>
  <si>
    <t>chodba 400.3, odhad v ploše 50%, o 5 mm navíc</t>
  </si>
  <si>
    <t>187</t>
  </si>
  <si>
    <t>965081702R00</t>
  </si>
  <si>
    <t>Bourání soklíků z dlažeb keramických</t>
  </si>
  <si>
    <t>D.1.1-01:</t>
  </si>
  <si>
    <t>podlaha centrální chodby 400.2: 83,44-(22*0,9+2*1,39)</t>
  </si>
  <si>
    <t>V položce není kalkulována manipulace se sutí, která se oceňuje samostatně položkami souboru 979.  Položka je určena pro soklíky rovné i šikmé z keramické dlažby do tl. 15 mm a výšky do 100 mm</t>
  </si>
  <si>
    <t>188</t>
  </si>
  <si>
    <t>965081713RT2</t>
  </si>
  <si>
    <t>Bourání dlažeb keramických tl.10 mm, nad 1 m2</t>
  </si>
  <si>
    <t>sbíječka, dlaždice keramické</t>
  </si>
  <si>
    <t>podlaha centrální chodby 400.2: 88,58</t>
  </si>
  <si>
    <t>V položce není kalkulována manipulace se sutí, která se oceňuje samostatně položkami souboru 979.  V položce nejsou zakalkulovány náklady na bourání podkladního lože pod dlažbou</t>
  </si>
  <si>
    <t>189</t>
  </si>
  <si>
    <t>766900040RAA</t>
  </si>
  <si>
    <t>Demontáž dřevěných stěn</t>
  </si>
  <si>
    <t>Vybourání stáívajících konstrukcí instalačních jader (umakartových s kovovou konstrukcí)
včetně svislého přemístění vybouraných hmot ze 4. NP</t>
  </si>
  <si>
    <t>9.09980</t>
  </si>
  <si>
    <t>dělící příčka pokoje vč. dveří: 3,46000*2,63000</t>
  </si>
  <si>
    <t>7.59000</t>
  </si>
  <si>
    <t>koupelnové jádro - stěny vč. dveří: 1,65*2,30*2</t>
  </si>
  <si>
    <t>9.89000</t>
  </si>
  <si>
    <t xml:space="preserve"> 2,15*2,30*2</t>
  </si>
  <si>
    <t>4.04800</t>
  </si>
  <si>
    <t xml:space="preserve"> (0,80+0,96)*2,30</t>
  </si>
  <si>
    <t>2.94000</t>
  </si>
  <si>
    <t>strop: 2,94</t>
  </si>
  <si>
    <t>33.56780</t>
  </si>
  <si>
    <t>Provozní mezisoučet:</t>
  </si>
  <si>
    <t>805.62720</t>
  </si>
  <si>
    <t>celkem (24 jednotek): 33,5678*24</t>
  </si>
  <si>
    <t>V položce není kalkulován poplatek za skládku pro vybouranou suť. Tyto náklady se oceňují individuálně podle místních podmínek. Orientační hmotnost vybouraných konstrukcí je 0,017 t/m2 konstrukce.</t>
  </si>
  <si>
    <t>5.46000</t>
  </si>
  <si>
    <t>opláštění jádra v kuchyňce 403: (2*0,80+0,50)*2,60</t>
  </si>
  <si>
    <t>190</t>
  </si>
  <si>
    <t>979013112R00</t>
  </si>
  <si>
    <t>Svislá doprava vybouraných hmot na H do 3,5 m</t>
  </si>
  <si>
    <t>191</t>
  </si>
  <si>
    <t>979012119R00</t>
  </si>
  <si>
    <t>Příplatek k suti za každých dalších 3,5 m výšky</t>
  </si>
  <si>
    <t>15,672*2</t>
  </si>
  <si>
    <t>Prorážení otvorů a ostatní bourací práce</t>
  </si>
  <si>
    <t>192</t>
  </si>
  <si>
    <t>974051413R00</t>
  </si>
  <si>
    <t>Frézování drážky do 30x30 mm, zdivo, pórobeton</t>
  </si>
  <si>
    <t>97_</t>
  </si>
  <si>
    <t>54.60000</t>
  </si>
  <si>
    <t>pokoj - svislá drážka pro vedení EL a data: 2,6*21</t>
  </si>
  <si>
    <t>pokoj 404 a 462 - svislá drážka navíc: 2,6*2</t>
  </si>
  <si>
    <t xml:space="preserve">V položce není kalkulována manipulace se sutí, která se oceňuje samostatně položkami souboru 979. Položka obsahuje zaměření, frézování, vysekání a vyčištění drážky. </t>
  </si>
  <si>
    <t>pokoj/předsíň - drážka pro vedení stávajícího SLP: 2,6*2</t>
  </si>
  <si>
    <t>193</t>
  </si>
  <si>
    <t>974051513R00</t>
  </si>
  <si>
    <t>Frézování drážky do 30x30 mm, zdivo, beton</t>
  </si>
  <si>
    <t xml:space="preserve">V položce není kalkulována manipulace se sutí, která se oceňuje samostatně položkami souboru 979. Položka obsahuje zaměření, frézování, vysekání a vyčištění drážky. Položka je určena pro betonové a železobetonové zdivo. </t>
  </si>
  <si>
    <t>194</t>
  </si>
  <si>
    <t>974051515R00</t>
  </si>
  <si>
    <t>Frézování drážky do 50x50 mm, zdivo, beton</t>
  </si>
  <si>
    <t>V položce není kalkulována manipulace se sutí, která se oceňuje samostatně položkami souboru 979. Položka obsahuje zaměření, frézování, vysekání a vyčištění drážky. Položka je určena pro betonové a železobetonové zdivo.</t>
  </si>
  <si>
    <t>195</t>
  </si>
  <si>
    <t>974053515R00</t>
  </si>
  <si>
    <t>Frézování drážky do 50x50 mm, podlaha, beton</t>
  </si>
  <si>
    <t>122.64000</t>
  </si>
  <si>
    <t>D.1.1-01, poznámka č. 2: (3,46+1,65)*24</t>
  </si>
  <si>
    <t>167.60000</t>
  </si>
  <si>
    <t>pro EL a datové rozvody v podlaze - pokoj: (3,8+3,5)*22+3,5*2</t>
  </si>
  <si>
    <t>12.50000</t>
  </si>
  <si>
    <t>pro EL a datové rozvody v podlaze - klubovny: 3,5+3,5+5,5</t>
  </si>
  <si>
    <t>V položce není kalkulována manipulace se sutí, která se oceňuje samostatně položkami souboru 979. Položka obsahuje zaměření, frézování, vysekání a vyčištění drážky. Položka je určena pro betonové a železobetonové podlahy.</t>
  </si>
  <si>
    <t>9.40000</t>
  </si>
  <si>
    <t>pro EL a datové rozvody v podlaze - kuchyňka: 3,5+5,9</t>
  </si>
  <si>
    <t>196</t>
  </si>
  <si>
    <t>974054508R00</t>
  </si>
  <si>
    <t>Vyvrtání kapsy pro krabici do pr.80 mm,beton.zdivo</t>
  </si>
  <si>
    <t>V položce není kalkulována manipulace se sutí, která se oceňuje samostatně položkami souboru 979. Položka obsahuje zaměření, vyvrtání, vysekání a vyčištění kapsy. Položka je určena pro betonové a železobetonové zdivo.</t>
  </si>
  <si>
    <t>197</t>
  </si>
  <si>
    <t>979011311RT1</t>
  </si>
  <si>
    <t>Svislá doprava suti a vybouraných hmot shozem</t>
  </si>
  <si>
    <t>s naložením do shozu</t>
  </si>
  <si>
    <t xml:space="preserve">Ruční přemístění suti z dopravního prostředku (kolečka) do násypky (násypka nad úrovní dopravního prostředku). </t>
  </si>
  <si>
    <t>Staveništní přesun hmot</t>
  </si>
  <si>
    <t>198</t>
  </si>
  <si>
    <t>998011002R00</t>
  </si>
  <si>
    <t>Přesun hmot pro budovy zděné výšky do 12 m</t>
  </si>
  <si>
    <t>99_</t>
  </si>
  <si>
    <t>S</t>
  </si>
  <si>
    <t>Přesuny sutí</t>
  </si>
  <si>
    <t>199</t>
  </si>
  <si>
    <t>979081111RT2</t>
  </si>
  <si>
    <t>Odvoz suti a vybour. hmot na skládku do 1 km</t>
  </si>
  <si>
    <t>S_</t>
  </si>
  <si>
    <t>kontejnerem 4 t
včetně naložení na dopravní prostředek</t>
  </si>
  <si>
    <t>200</t>
  </si>
  <si>
    <t>979081121RT2</t>
  </si>
  <si>
    <t>Příplatek k odvozu za každý další 1 km</t>
  </si>
  <si>
    <t>kontejnerem 4 t</t>
  </si>
  <si>
    <t>25,975*(25-1)</t>
  </si>
  <si>
    <t>skladka Jihlava - Henčov, vzdálenost skládky 25 km:</t>
  </si>
  <si>
    <t>201</t>
  </si>
  <si>
    <t>979990107R00</t>
  </si>
  <si>
    <t>Poplatek za uložení suti - směs betonu, cihel, dřeva, skupina odpadu 170904</t>
  </si>
  <si>
    <t>FCC Česká republika, s.r.o., provozovna Žabčice  Líšeňská 35, 636 00  Brno Tel: +420 518 311 499, Fax: +420 518 311 499 Mobil: +420 602 240 639 e-mail: Jaroslav.Konecny@fcc-group.cz, www.fcc-group.e</t>
  </si>
  <si>
    <t>202</t>
  </si>
  <si>
    <t>979990181R00</t>
  </si>
  <si>
    <t>Poplatek za uložení suti - PVC podlahová krytina, skupina odpadu 200307</t>
  </si>
  <si>
    <t>203</t>
  </si>
  <si>
    <t>979990161R00</t>
  </si>
  <si>
    <t>Poplatek za uložení - dřevo, skupina odpadu 170201</t>
  </si>
  <si>
    <t>Thermoservis - transport s.r.o. Roviny 4 643 00 Brno – Chrlice, ČR IČ: 269 12 643 DIČ: CZ 269 12 64</t>
  </si>
  <si>
    <t>Ostatní položky práce</t>
  </si>
  <si>
    <t>204</t>
  </si>
  <si>
    <t>79901</t>
  </si>
  <si>
    <t>Kompletní vystěhování ubytovací jednotky včetně přesunu v rámci areálu školy, skříň, 2x postel, stůl+židle, zavěšené police</t>
  </si>
  <si>
    <t>Z88888_</t>
  </si>
  <si>
    <t>D11-D14_Z_</t>
  </si>
  <si>
    <t>místo složení v areálu školy upřesní provozovatel, předpoklad je přesun na výšku max. 2 podlaží, vodorovný přesun do vzdálenosti 250 metrů</t>
  </si>
  <si>
    <t>205</t>
  </si>
  <si>
    <t>79902</t>
  </si>
  <si>
    <t>Značení únikových cest v celém podlaží, demontáž stávajících tabulek, zpětná montáž do shodné pozice</t>
  </si>
  <si>
    <t>demontáž stávajícího značení - kompletní
zpětná montáž značení po provedení nových povrchů stěn a stropů - kompletní provedení</t>
  </si>
  <si>
    <t>206</t>
  </si>
  <si>
    <t>79903</t>
  </si>
  <si>
    <t>Realizace přípravných prací pro provádění bouracích prací a pro realizací stavebních prací</t>
  </si>
  <si>
    <t>popis viz výkres č. D.1..1-01 - BOURACÍ PRÁCE</t>
  </si>
  <si>
    <t>Krycí list slepého rozpočtu (D14c - Silnoproudá elektrotechnika)</t>
  </si>
  <si>
    <t>Vedlejší a ostatní rozpočtové náklady (D14c - Silnoproudá elektrotechnika)</t>
  </si>
  <si>
    <t>Slepý stavební rozpočet (D14c - Silnoproudá elektrotechnika)</t>
  </si>
  <si>
    <t>D14c</t>
  </si>
  <si>
    <t>Silnoproudá elektrotechnika</t>
  </si>
  <si>
    <t>713</t>
  </si>
  <si>
    <t>Izolace tepelné</t>
  </si>
  <si>
    <t>713551312RX</t>
  </si>
  <si>
    <t>Protipožární kabelový prostup pěnový/tmelový, požární odolnost EI 90, průřez kabelu do 20 mm</t>
  </si>
  <si>
    <t>713_</t>
  </si>
  <si>
    <t>D14c_71_</t>
  </si>
  <si>
    <t>D14c_</t>
  </si>
  <si>
    <t>jednotlivý prostup kabelu požárně dělící betonovou stěnou</t>
  </si>
  <si>
    <t>včetně označení prostupu</t>
  </si>
  <si>
    <t>HZS</t>
  </si>
  <si>
    <t>Práce mimo ceník</t>
  </si>
  <si>
    <t>001</t>
  </si>
  <si>
    <t>Výchozí revize</t>
  </si>
  <si>
    <t>hod</t>
  </si>
  <si>
    <t>HZS_</t>
  </si>
  <si>
    <t>D14c_9_</t>
  </si>
  <si>
    <t>002</t>
  </si>
  <si>
    <t>Úprava PD dle potřeb realizace</t>
  </si>
  <si>
    <t>003</t>
  </si>
  <si>
    <t>Dokumentace skutečného provedení</t>
  </si>
  <si>
    <t>004</t>
  </si>
  <si>
    <t>Měření intenzity osvětlení</t>
  </si>
  <si>
    <t>005</t>
  </si>
  <si>
    <t>Zrušení stávajícího patrového rozvaděče R4P a R4L, vč. stavebního zapravení</t>
  </si>
  <si>
    <t>006</t>
  </si>
  <si>
    <t>Ekologická likvidace odpadu</t>
  </si>
  <si>
    <t>blok</t>
  </si>
  <si>
    <t>007</t>
  </si>
  <si>
    <t>Koordinace s dodavateli</t>
  </si>
  <si>
    <t>009</t>
  </si>
  <si>
    <t>Koordinace přípravy kabelových tras vč. mat.</t>
  </si>
  <si>
    <t>včetně potřebné demontáže stávající elektroinstalace a koncových prvků</t>
  </si>
  <si>
    <t>koordinace - příprava</t>
  </si>
  <si>
    <t>koordinace - ostatní práce a demontáže stáv. elektroinstalace a koncových prvků</t>
  </si>
  <si>
    <t>012</t>
  </si>
  <si>
    <t>Koordinace rozvodů termokamerou</t>
  </si>
  <si>
    <t>014</t>
  </si>
  <si>
    <t>Kontrola rozvodů orgánem státní správy</t>
  </si>
  <si>
    <t>020</t>
  </si>
  <si>
    <t>Kontrola rozvodů orgánem státní správy - TIČR</t>
  </si>
  <si>
    <t>M21</t>
  </si>
  <si>
    <t>Elektromontáže</t>
  </si>
  <si>
    <t>210201521R00</t>
  </si>
  <si>
    <t>Svítidlo LED technické stropní přisazené</t>
  </si>
  <si>
    <t>M21_</t>
  </si>
  <si>
    <t>částečné zapuštění do podhledu</t>
  </si>
  <si>
    <t>D.1.1.A-06, pol.č. SV4:</t>
  </si>
  <si>
    <t>světlo NO - chodba: 4</t>
  </si>
  <si>
    <t>M21SV4</t>
  </si>
  <si>
    <t>Nouzové LED svítidlo vestavné do podhledu, 3 W, 24 VDC, pro centrální baterii, vč. piktogramu</t>
  </si>
  <si>
    <t>-specifikace dle D.1.1.A-06, pol.č. SV4</t>
  </si>
  <si>
    <t>D.1.1.A-05, pol.č. SV4:</t>
  </si>
  <si>
    <t>specifikace dle D.1.1.A-06, pol.č. SV4</t>
  </si>
  <si>
    <t>210010003R00</t>
  </si>
  <si>
    <t>Trubka ohebná pod omítku, vnější průměr 25 mm</t>
  </si>
  <si>
    <t>3457115963R</t>
  </si>
  <si>
    <t>Trubka elektroinstalační ohebná Monoflex 1416E</t>
  </si>
  <si>
    <t>Elektroinstalační trubky a příslušenství Monoflex - nízká mechanická odolnost 320 N, PVC  Ohebné elektroinstalační trubky z PVC, světle šedé barvy RAL 7035 pro nízkou mechanickou odolnost. Pro instalaci na povrch, do omítky nebo pod omítku. Vhodné pro montáž do dutých zdí, příček a stropů.  Klasifilace podle EN 2221. Mechanická odolnost (mezní hodnota zatížení) 320 N/5 cm. Trubky jsou samozhášivé (A1-F)</t>
  </si>
  <si>
    <t>210201531R00</t>
  </si>
  <si>
    <t>Zapojení LED podsvícení zrcadla</t>
  </si>
  <si>
    <t>dodávka a montáž zrcadla je v rozpočtu stavební části</t>
  </si>
  <si>
    <t>zapojení osvětleného zrcadla v koupelně: 1*24</t>
  </si>
  <si>
    <t>210010105R00</t>
  </si>
  <si>
    <t>Lišta elektroinstalační PVC š.do 40 mm,šroubováním</t>
  </si>
  <si>
    <t>Montáž lišt vkládacích, hranatých, zaklapávacích atd. a příslušenství k lištám (rohy, odbočky, zakončení atd.)</t>
  </si>
  <si>
    <t>34572172</t>
  </si>
  <si>
    <t>Lišta hranatá LHD 20 x 20 mm, délka 2 m</t>
  </si>
  <si>
    <t>34572176</t>
  </si>
  <si>
    <t>Lišta hranatá LHD 40 x 20 mm, délka 2 m</t>
  </si>
  <si>
    <t>210010320R00</t>
  </si>
  <si>
    <t>Krabice přístrojová KP, se zapojením, kruhová</t>
  </si>
  <si>
    <t>do zdiva</t>
  </si>
  <si>
    <t>345715165</t>
  </si>
  <si>
    <t>Krabice přístrojová hluboká KPR 68</t>
  </si>
  <si>
    <t>Elektroinstalační krabice - pod omítku  Přístrojová krabice hluboká</t>
  </si>
  <si>
    <t>210010321R00</t>
  </si>
  <si>
    <t>Krabice univerzální KU a odbočná KO se zapoj.,kruh</t>
  </si>
  <si>
    <t>Kruhová</t>
  </si>
  <si>
    <t>345704420000</t>
  </si>
  <si>
    <t>Krabice rozvodná kruhová KR 97/5</t>
  </si>
  <si>
    <t>krabice odbočná s víčkem a svorkovnicí velké množství vstupů pro vytvoření rozsáhlejších instalac</t>
  </si>
  <si>
    <t>34571523</t>
  </si>
  <si>
    <t>Krabice přístrojová odbočná kruhová z PH KO 97/5</t>
  </si>
  <si>
    <t>Elektroinstalační krabice - pod omítku  Krabice odbočná Dodává se společně s víčkem KO 97V Nahrazuje původní KO 97  pr.103 x 50 vstupní otvory 6 x pr. 20  3 x  pr. 25  3 x pr. 29  zkouška žhavou smyčkou 850°</t>
  </si>
  <si>
    <t>210010323R00</t>
  </si>
  <si>
    <t>Krabice odbočná KO, se zapojením, čtvercová</t>
  </si>
  <si>
    <t>34571512</t>
  </si>
  <si>
    <t>Krabice přístrojová čtvercová KP 67 x 67 mm</t>
  </si>
  <si>
    <t>Elektromontážní krabice - pod omítku  Přístrojová krabice Pro kompletaci přístrojů s roztečí upevnění 71mm. Krabice je  možné spojit ve svislém i vodorovném směru v souvislou řadu. Pro zvětšení osové vzdálenosti 80 mm je určený dilatační rámeček DR 42.  vstupní otvory 6 x pr. 20  zkouška žhavou smyčkou 850°</t>
  </si>
  <si>
    <t>210110055R00</t>
  </si>
  <si>
    <t>Ovladač zapuštěný, řazení 1/0</t>
  </si>
  <si>
    <t>34535440</t>
  </si>
  <si>
    <t>Přístroj spínače jednopólového, řazení 1, 1So 3559-A01345</t>
  </si>
  <si>
    <t xml:space="preserve">Přístroj spínače jednopólového  10 AX, 250 V AC  Upevnění šrouby, bezšroubové svorky (pro vodiče 1-2,5 mm2) Spínač osazený orientační doutnavkou nelze použít pro spínání svítidel s elektronickými předřadníky. Doutnavka není součástí spínače.  Řazení: 1, 1So  Pro montáž do podkladů o stupni hořlavosti B, C1, C2.  Upevnění šrouby. Bezšroubové svorky (pro vodiče 1-2,5 mm2). Je-li ve spínači osazena orientační doutnavka nebo LED tak, že je zapojena v sérii s úsporným světelným zdrojem (např. kompaktní zářivka nebo LED), může docházet k jeho blikání. Doutnavka ani LED není součástí spínače.  Řazení: 1, 1So Pro montáž do podkladů třídy reakce na oheň B, C, D, E, </t>
  </si>
  <si>
    <t>210100001R00</t>
  </si>
  <si>
    <t>Ukončení vodičů v rozvaděči + zapojení do 2,5 mm2</t>
  </si>
  <si>
    <t>210100002R00</t>
  </si>
  <si>
    <t>Ukončení vodičů v rozvaděči + zapojení do 6 mm2</t>
  </si>
  <si>
    <t>210110043R00</t>
  </si>
  <si>
    <t>Spínač zapuštěný seriový, řazení 5</t>
  </si>
  <si>
    <t>34535454</t>
  </si>
  <si>
    <t>Přístroj přepínače střídavého dvojitého, řazení 6+6 3559-A52345</t>
  </si>
  <si>
    <t xml:space="preserve">3559-A52345 Přístroj přepínače střídavého dvojitého  Vestavná hloubka: 25 mm  10 AX, 250 V AC  Upevnění šrouby. Bezšroubové svorky (pro vodiče 1-2,5 mm2). Doutnavku nelze použít.  Řazení: 6+6 (6+1)  </t>
  </si>
  <si>
    <t>210110041R00</t>
  </si>
  <si>
    <t>Spínač zapuštěný jednopólový, řazení 1</t>
  </si>
  <si>
    <t>34535400</t>
  </si>
  <si>
    <t>Přístroj spínače jednopólového, řazení 1, 1So 3558-A01340</t>
  </si>
  <si>
    <t>3558-A01340 Přístroj spínače 1P řaz.1, 1So 10AX 250VAC  10 AX, 250 V AC  Upevnění šrouby. Šroubové svorky (pro vodiče 1-2,5 mm2). Je-li ve spínači osazena orientační doutnavka nebo LED tak, že je zapojena v sérii s úsporným světelným zdrojem (např. kompaktní zářivka nebo LED), může docházet k jeho blikání. Doutnavka ani LED není součástí spínače.  Řazení: 1, 1So</t>
  </si>
  <si>
    <t>210111012R00</t>
  </si>
  <si>
    <t>Zásuvka domovní zapuštěná - 2P+PE, průběž.zapojení</t>
  </si>
  <si>
    <t>34551610</t>
  </si>
  <si>
    <t>Zásuvka jednonásobná s ochranným kolíkem 5518A-A2349</t>
  </si>
  <si>
    <t>5518A-A2349 B - Zásuvka jednonásobná s ochranným kolíkem, bílá  16 A, 250 V AC  Upevnění šrouby. Šroubové svorky (pro vodiče 1,5-2,5 mm2).  Design: Tango® Řazení: 2P+P</t>
  </si>
  <si>
    <t>210111013R00</t>
  </si>
  <si>
    <t>Zásuvka s přepěťovou ochranou - provedení 2P+PE</t>
  </si>
  <si>
    <t>34551620</t>
  </si>
  <si>
    <t>Zásuvka dvojnásobná s ochrannými kolíky, s clonkami 5512A-2359</t>
  </si>
  <si>
    <t>5512A-2359 B - Zásuvka dvojnásobná s ochrannými kolíky, s clonkami, bílá  16 A, 250 V AC  Upevnění šrouby. Šroubové svorky (pro vodiče 1,5-2,5 mm2). Přístroj je určen pro montáž do elektroinstalačních krabic o vnitřním průměru 68 mm. Při montáži do sádrokartonu použijte krabice KU68 LA, KI 68 L, KPM 64 s montážním kroužkem MKU 64 (dodává Kopos Kolín).  Design: Tango® Řazení: 2x(2P+PE</t>
  </si>
  <si>
    <t>34551633</t>
  </si>
  <si>
    <t>Zásuvka jednonásobná s clonkami, s ochranou před přepětím, bezšroubové svorky 5599A-A02357</t>
  </si>
  <si>
    <t>5599A-A02357 B - Zásuvka jednonásobná s ochranným kolíkem, s clonkami, s ochranou před přepětím, bílá  Optická signalizace poruchy. IP 40 16 A, 230 V AC  Upevnění šrouby. Bezšroubové svorky (pro vodiče 1,5-2,5 mm2).  Design: Tango® Řazení: 2P+P</t>
  </si>
  <si>
    <t>210111014R00</t>
  </si>
  <si>
    <t>Zásuvka domovní zapuštěná - provedení 2x (2P+PE)</t>
  </si>
  <si>
    <t>34551365</t>
  </si>
  <si>
    <t>Zásuvka dvojnásobná chráněná, 81x81 mm, 5512-2249</t>
  </si>
  <si>
    <t>5512-2249 B1 - Zásuvka dvojnásobná s ochrannými kolíky,  bílá  Ekvivalentní náhrada typů 5514-2235, 5517-2235 16 A, 250 V AC  Upevnění šrouby. Šroubové svorky (pro vodiče 1,5-2,5 mm2). Přístroj je určen pro montáž do elektroinstalačních krabic o vnitřním průměru 68 mm. Při montáži do sádrokartonu použijte krabice KU68 LA, KI 68 L, KPM 64 s montážním kroužkem MKU 64 (dodává Kopos Kolín).  Design: Classic Řazení: 2x(2P+PE</t>
  </si>
  <si>
    <t>210190051R00</t>
  </si>
  <si>
    <t>Montáž rozvaděče skříň.,1 pole dělených do 200 kg</t>
  </si>
  <si>
    <t>35714 PC</t>
  </si>
  <si>
    <t>Rozvaděč R40P</t>
  </si>
  <si>
    <t>210190001R00</t>
  </si>
  <si>
    <t>Montáž celoplechových rozvodnic do váhy 20 kg</t>
  </si>
  <si>
    <t>35713 PC</t>
  </si>
  <si>
    <t>Rozvodnice RJ, Rkuch, rozvodnice nástěnná, neprůhledné dveře, 1 řada, šířka 14 modulárních jednotek</t>
  </si>
  <si>
    <t>ubytovací jednotky:</t>
  </si>
  <si>
    <t>210201526R00</t>
  </si>
  <si>
    <t>Svítidlo LED technické stropní vestavné</t>
  </si>
  <si>
    <t>centrální chodba</t>
  </si>
  <si>
    <t>M21SV3</t>
  </si>
  <si>
    <t>Svítidlo LED podhledový panel 50 W, 600x600 mm, IP40, zapuštěná montáž do kazetového podhledu</t>
  </si>
  <si>
    <t>-specifikace dle D.1.1.A-06, pol.č. SV3</t>
  </si>
  <si>
    <t>D.1.1.A-05, pol.č. SV3:</t>
  </si>
  <si>
    <t>210201511R00</t>
  </si>
  <si>
    <t>Svítidlo LED bytové stropní přisazené</t>
  </si>
  <si>
    <t>kuchyňka</t>
  </si>
  <si>
    <t>úklidová komora</t>
  </si>
  <si>
    <t>sklad za úklidovou komorou</t>
  </si>
  <si>
    <t>1+1</t>
  </si>
  <si>
    <t>klubovny</t>
  </si>
  <si>
    <t>34814160R</t>
  </si>
  <si>
    <t>Svítidlo stropní interiérové přisazené, kruhové, LED</t>
  </si>
  <si>
    <t>dle specifikace - pol. č. SV2, D.1.1.A-06</t>
  </si>
  <si>
    <t>650101711R00</t>
  </si>
  <si>
    <t>Montáž bodového svítidla stropního vestavného</t>
  </si>
  <si>
    <t>348360101R</t>
  </si>
  <si>
    <t>Svítidlo LED, interiérové koupelnové, IP23, zapuštěné do podhledu, dle návrhu interiáru - standard 6,8 W, průměr 84 mm</t>
  </si>
  <si>
    <t>specifikace dle D.1.1.A-06, pol.č. SV1</t>
  </si>
  <si>
    <t>D.1.1.A-06, pol.č. SV1, podhledové: 4*24</t>
  </si>
  <si>
    <t>210810017R00</t>
  </si>
  <si>
    <t>Kabel CYKY-m 750 V 5 žil,4 až 25 mm2,volně uložený</t>
  </si>
  <si>
    <t>210810045R00</t>
  </si>
  <si>
    <t>Kabel CYKY-m 750 V 3 x 1,5 mm2 pevně uložený</t>
  </si>
  <si>
    <t>210810046R00</t>
  </si>
  <si>
    <t>Kabel CYKY-m 750 V 3 x 2,5 mm2 pevně uložený</t>
  </si>
  <si>
    <t>210810056R00</t>
  </si>
  <si>
    <t>Kabel CYKY-m 750 V 5 x 2,5 mm2 pevně uložený</t>
  </si>
  <si>
    <t>210810057R00</t>
  </si>
  <si>
    <t>Kabel CYKY-m 750 V 5 žil 4 až 16 mm pevně uložený</t>
  </si>
  <si>
    <t>34111030</t>
  </si>
  <si>
    <t>Kabel silový s Cu jádrem 750 V CYKY 3 x 1,5 mm2</t>
  </si>
  <si>
    <t>CYKY Instalační kabely  Použití: pro pevné uložení ve vnitřních a venkovních prostorách, v zemi, v betonu. Kabely jsou odolné proti UV záření a proti šíření plamene.  Konstrukce: 1. Měděné plné holé jádro 2. PVC izolace 3. Výplňový obal 4. PVC pláš</t>
  </si>
  <si>
    <t>34111036</t>
  </si>
  <si>
    <t>Kabel silový s Cu jádrem 750 V CYKY 3 x 2,5 mm2</t>
  </si>
  <si>
    <t>34111094</t>
  </si>
  <si>
    <t>Kabel silový s Cu jádrem 750 V CYKY 5 x 2,5 mm2</t>
  </si>
  <si>
    <t>34111098</t>
  </si>
  <si>
    <t>Kabel silový s Cu jádrem 750 V CYKY 5 x 4 mm2</t>
  </si>
  <si>
    <t>341116250</t>
  </si>
  <si>
    <t>Kabel silový s Cu jádrem 1 kV 1-CYKY 5 x 25 mm2</t>
  </si>
  <si>
    <t>1-CYKY Silové kabely s Cu jádrem do 1 kV  Použití: pro pevné uložení ve vnitřních a venkovních prostorách, v zemi, v betonu. Kabely jsou odolné proti UV záření a proti šíření plamene.  Konstrukce: 1. Měděné jádro 2. PVC izolace 3. Výplňový obal 4. PVC plášť</t>
  </si>
  <si>
    <t>220264112R00</t>
  </si>
  <si>
    <t>Žlab drátěný přímý, včetně uchycení na stěnu, výšky 60 mm, šířky 100 mm, pr. drátu 3,9 mm, s integrovanou spojkou</t>
  </si>
  <si>
    <t>5531300002</t>
  </si>
  <si>
    <t>Žlab kabelový drátěný DZI 60 x 100 BZNCR l = 3 m, s integrovanou spojkou</t>
  </si>
  <si>
    <t>EAN kód: 8595568927866 Celní kód: 73262000 Hmotnost: 0.81 kg/m Povrchová úprava: galvanicky pozinkováno (zinkochromát) Šířka: 100 mm Výška: 60 mm Délka: 3000 mm Funkčnost při požáru: P90-R, E90, PS90 Odpovídá normám: ČSN EN 61537 Normy požární odolnosti: ČSN 73 0895, DIN 4102-12, STN 92 0205 Průměr drátu: 3,9 mm Mřížkování dna: 50x100 Max. zatížení pro požární odolnost: 5 - 10 k</t>
  </si>
  <si>
    <t>31179121</t>
  </si>
  <si>
    <t>Tyč závitová M3, DIN 975 pozinkovaná</t>
  </si>
  <si>
    <t>35441935</t>
  </si>
  <si>
    <t>Svorka na potrubí ST 01 G 1/2"</t>
  </si>
  <si>
    <t>M21X1R</t>
  </si>
  <si>
    <t>Hodiny interiérové digitální, oboustranné, s výškou číslic 100 mm, 4 segmentový displej, stropní závěs</t>
  </si>
  <si>
    <t>-specifikace D.1.1-10 - pol.č. X1</t>
  </si>
  <si>
    <t>D.1.1-09 - pol.č. X1:</t>
  </si>
  <si>
    <t>Položka obsahuje: Dodávka hodin, montáž, zapojení a nastavení</t>
  </si>
  <si>
    <t>650801113R00</t>
  </si>
  <si>
    <t>Demontáž svítidla stropního přisazeného</t>
  </si>
  <si>
    <t>stávající světla na chodbách u schodiště</t>
  </si>
  <si>
    <t>chodba 400.1</t>
  </si>
  <si>
    <t>chodba 400.3</t>
  </si>
  <si>
    <t>M21SV5</t>
  </si>
  <si>
    <t>Svítidlo chodba u schodiště - výměna, LES34S/840 PSU, W20L120, vč. montáže a zapojení</t>
  </si>
  <si>
    <t>- nové svítidlo - výměna na chodbě u schodiště
- kompletní dodávka nového svítidla a jeho montáže na stávající rozvody</t>
  </si>
  <si>
    <t>M65</t>
  </si>
  <si>
    <t>Elektroinstalace</t>
  </si>
  <si>
    <t>650072621R00</t>
  </si>
  <si>
    <t>Montáž čidla pohybu stropního přisazeného</t>
  </si>
  <si>
    <t>M65_</t>
  </si>
  <si>
    <t>34531510R</t>
  </si>
  <si>
    <t>Čidlo pohybu IR28B PROFI krytí IP20 stropní</t>
  </si>
  <si>
    <t xml:space="preserve">Slouží k automatickému spínání osvětlení po narušení detekčního pole v horizontální i vertikální rovině (uvnitř jsou 3 sensory). Vnitřní zapojení s ochranou proudových nárazů při spínání kapacitních zátěží zvyšuje odolnost kontaktů použitého relé. Je vhodný do míst, kde hlavním požadavkem je větší počet spínání osvětlení (schodiště, chodby, průmyslové objekty).  TECHNICKÉ PARAMETRY  Napájení 230 V/ 50 Hz  Zátěž 3680 W (max.16A)  Detekční úhel 360°  Detekční vzdálenost max. 12 m  Nastavitelný čas 5 s až 10 min.  Citlivost na světlo &lt; 3 Lux až 1000 Lux  Stupeň krytí IP 20  Instalační výška &gt; 2,2 m  Pracovní teplota 0°C až +40°C  Výrobce: Elektrobock  057752Kód produktu: 8594012220935EAN:  </t>
  </si>
  <si>
    <t>650111261R00</t>
  </si>
  <si>
    <t>Montáž vodiče ochranného pospojování volně</t>
  </si>
  <si>
    <t>34142186</t>
  </si>
  <si>
    <t>Vodič pro pevné uložení CYA 4,00 mm2 zelený</t>
  </si>
  <si>
    <t>34142187</t>
  </si>
  <si>
    <t>Vodič pro pevné uložení CYA 6,00 mm2 zelený</t>
  </si>
  <si>
    <t>H07V-</t>
  </si>
  <si>
    <t>34142219</t>
  </si>
  <si>
    <t>Vodič pro pevné uložení CYA 16,0 mm2 zelený</t>
  </si>
  <si>
    <t>650142113R00</t>
  </si>
  <si>
    <t>Ukončení kabelu smršťovací koncovkou 3 x 1,5 mm2</t>
  </si>
  <si>
    <t>650142117R00</t>
  </si>
  <si>
    <t>Ukončení kabelu smršťovací koncovkou 5 x 1,5 mm2</t>
  </si>
  <si>
    <t>650142519R00</t>
  </si>
  <si>
    <t>Ukončení kabelu smršť. koncovkou 5 x 25 mm2</t>
  </si>
  <si>
    <t>Krycí list slepého rozpočtu (D14d - Datové rozvody, WIFI AP, IP kamery)</t>
  </si>
  <si>
    <t>Vedlejší a ostatní rozpočtové náklady (D14d - Datové rozvody, WIFI AP, IP kamery)</t>
  </si>
  <si>
    <t>Slepý stavební rozpočet (D14d - Datové rozvody, WIFI AP, IP kamery)</t>
  </si>
  <si>
    <t>D14d</t>
  </si>
  <si>
    <t>Datové rozvody, WIFI AP, IP kamery</t>
  </si>
  <si>
    <t>M22</t>
  </si>
  <si>
    <t>Montáž sdělovací a zabezpečovací techniky</t>
  </si>
  <si>
    <t>M2201R</t>
  </si>
  <si>
    <t>RACK 19” 18U hl. 500 mm, nástěnný, skleněné dveře, odnímací boky, uzamykatelný</t>
  </si>
  <si>
    <t>M22_</t>
  </si>
  <si>
    <t>D14d_9_</t>
  </si>
  <si>
    <t>D14d_</t>
  </si>
  <si>
    <t>M2202R</t>
  </si>
  <si>
    <t>Patch panel 19” 1U 24x RJ45 CAT 6 STP</t>
  </si>
  <si>
    <t>M2203R</t>
  </si>
  <si>
    <t>Patch panel 19” 1U 24x RJ45 CAT 6 UTP</t>
  </si>
  <si>
    <t>M2204R</t>
  </si>
  <si>
    <t>Vyvazovací panel 19” 1U</t>
  </si>
  <si>
    <t>M2205R</t>
  </si>
  <si>
    <t>Napájecí panel s přepěťovou ochranou 19” 1U</t>
  </si>
  <si>
    <t>M2206R</t>
  </si>
  <si>
    <t>Keystone 1x RJ45 dle typu společného rámečku se zásuvkami a vypínačem</t>
  </si>
  <si>
    <t>M22061R</t>
  </si>
  <si>
    <t>Krytka datové zásuvky ABB Tango bílá + nosná maska jednoduchá</t>
  </si>
  <si>
    <t>M2207R</t>
  </si>
  <si>
    <t>Trubka ohebná 750N 20 mm</t>
  </si>
  <si>
    <t>M2208R</t>
  </si>
  <si>
    <t>Koleno tuhé 20 mm</t>
  </si>
  <si>
    <t>M2209R</t>
  </si>
  <si>
    <t>Lišta vkládací 40 x 20 mm, bezhalogenová</t>
  </si>
  <si>
    <t>M2210R</t>
  </si>
  <si>
    <t>Drátěný žlab 100 x 50 mm</t>
  </si>
  <si>
    <t>M2211R</t>
  </si>
  <si>
    <t>Spojka žlabu</t>
  </si>
  <si>
    <t>M2212R</t>
  </si>
  <si>
    <t>Nosník žlabu</t>
  </si>
  <si>
    <t>M2213R</t>
  </si>
  <si>
    <t>Kabel UTP CAT 6 LSOH</t>
  </si>
  <si>
    <t>M2214R</t>
  </si>
  <si>
    <t>Kabel STP CAT 6 LSOH</t>
  </si>
  <si>
    <t>M2215R</t>
  </si>
  <si>
    <t>Patch kabel CAT 6 UTP 0,5 m</t>
  </si>
  <si>
    <t>M2216R</t>
  </si>
  <si>
    <t>Patch kabel CAT 6 UTP 1 m</t>
  </si>
  <si>
    <t>M2217R</t>
  </si>
  <si>
    <t>Switch Aruba 2530 24 PoE+</t>
  </si>
  <si>
    <t>M2218R</t>
  </si>
  <si>
    <t>Switch Aruba 2530 48</t>
  </si>
  <si>
    <t>M2219R</t>
  </si>
  <si>
    <t>Kabel 10G SFP+ DAC, 1 m</t>
  </si>
  <si>
    <t>M2220R</t>
  </si>
  <si>
    <t>IP kamera 4Mp, 3,6 mm, WDR 120 dB, IR 30 m, H.265</t>
  </si>
  <si>
    <t>M2221R</t>
  </si>
  <si>
    <t>WIFI AP Unifi</t>
  </si>
  <si>
    <t>M2222R</t>
  </si>
  <si>
    <t>Controler, UBNT Unifi Cloud Key</t>
  </si>
  <si>
    <t>M2223R</t>
  </si>
  <si>
    <t>Konektor FTP RJ45</t>
  </si>
  <si>
    <t>M2224R</t>
  </si>
  <si>
    <t>Drobný montážní materiál - sada</t>
  </si>
  <si>
    <t>22025R</t>
  </si>
  <si>
    <t>Montážní práce - komplet včetně dopravy a koordinace na stavbě</t>
  </si>
  <si>
    <t>M2227R</t>
  </si>
  <si>
    <t>Instalace stávajícího stoupacího vedení SLP pod omítku, ve 2 místnostech, na výšku 2,60m</t>
  </si>
  <si>
    <t xml:space="preserve">obsahuje ochrannu stávajících kabelů po dobu stavebních prací
nová drážka v novém zdivu z porobetonu pro vedení svislé SLP kabeláže
úrava stávající trasy vedení do nové pozice
stavební zapravení drážky
</t>
  </si>
  <si>
    <t>22026R</t>
  </si>
  <si>
    <t>Konfigurace aktivních prvků a oživení systému</t>
  </si>
  <si>
    <t>Krycí list slepého rozpočtu (VORN - VN a ON)</t>
  </si>
  <si>
    <t>Vedlejší a ostatní rozpočtové náklady (VORN - VN a ON)</t>
  </si>
  <si>
    <t>Slepý stavební rozpočet (VORN - VN a ON)</t>
  </si>
  <si>
    <t>VORN</t>
  </si>
  <si>
    <t>VN a ON</t>
  </si>
  <si>
    <t>ON</t>
  </si>
  <si>
    <t>Ostatní náklady</t>
  </si>
  <si>
    <t>005122 R</t>
  </si>
  <si>
    <t>Soubor</t>
  </si>
  <si>
    <t>ON_</t>
  </si>
  <si>
    <t>VORN_9_</t>
  </si>
  <si>
    <t>VORN_</t>
  </si>
  <si>
    <t>Náklady na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
viz výkres D.1.1-01 - poznámky přípravné práce, bod 1, 2 a 3</t>
  </si>
  <si>
    <t>005211080R</t>
  </si>
  <si>
    <t>Bezpečnostní a hygienická opatření na staveništi</t>
  </si>
  <si>
    <t>Náklady na ochranu staveniště před vstup…</t>
  </si>
  <si>
    <t>00523  R</t>
  </si>
  <si>
    <t>Zkoušky a revize</t>
  </si>
  <si>
    <t>Náklady zhotovitele, související s prová…</t>
  </si>
  <si>
    <t>005241010R</t>
  </si>
  <si>
    <t>Náklady na vyhotovení dokumentace skuteč…</t>
  </si>
  <si>
    <t>VN</t>
  </si>
  <si>
    <t>Vedlejší náklady</t>
  </si>
  <si>
    <t>005121010R</t>
  </si>
  <si>
    <t>Vybudování zařízení staveniště</t>
  </si>
  <si>
    <t>VN_</t>
  </si>
  <si>
    <t>Náklady spojené se zřízením přípojek ene…</t>
  </si>
  <si>
    <t>005121020R</t>
  </si>
  <si>
    <t>Provoz zařízení staveniště</t>
  </si>
  <si>
    <t>Náklady na vybavení objektů zařízení sta…</t>
  </si>
  <si>
    <t>005121030R</t>
  </si>
  <si>
    <t>Odstranění zařízení staveniště</t>
  </si>
  <si>
    <t>Odstranění objektů zařízení staveniště v…</t>
  </si>
  <si>
    <t>005122010R</t>
  </si>
  <si>
    <t>Provoz objednatele</t>
  </si>
  <si>
    <t>Náklady na ztížené provádění stavebních prací v důsledku nepřerušeného provozu na staveništi nebo v případech nepřerušeného provozu v objektech v nichž se stavební práce provádí.</t>
  </si>
  <si>
    <t>005124010R</t>
  </si>
  <si>
    <t>Koordinační činnost</t>
  </si>
  <si>
    <t>Koordinace stavebních a technologických …</t>
  </si>
  <si>
    <t>Slepý stavební rozpočet</t>
  </si>
  <si>
    <t>SOŠ,SOU Třešť - Rekonstrukce 4NP DM</t>
  </si>
  <si>
    <t>Kraj Vysočina</t>
  </si>
  <si>
    <t>22.01.2025</t>
  </si>
  <si>
    <t>Ing. Miroslav Korecký</t>
  </si>
  <si>
    <t>Domov mládeže - Rekonstrukce 4NP</t>
  </si>
  <si>
    <t> </t>
  </si>
  <si>
    <t>801753</t>
  </si>
  <si>
    <t>Zkrácený popis</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</si>
  <si>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</si>
  <si>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</si>
  <si>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</si>
  <si>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</si>
  <si>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</si>
  <si>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</si>
  <si>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</si>
  <si>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</si>
  <si>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</si>
  <si>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</si>
  <si>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</si>
  <si>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</si>
  <si>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</si>
  <si>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</si>
  <si>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</si>
  <si>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</si>
  <si>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</si>
  <si>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</si>
  <si>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</si>
  <si>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</si>
  <si>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</si>
  <si>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</si>
  <si>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</si>
  <si>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</si>
  <si>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</si>
  <si>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</si>
  <si>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</si>
  <si>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</si>
  <si>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</si>
  <si>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</si>
  <si>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</si>
  <si>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</si>
  <si>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</si>
  <si>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</si>
  <si>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</si>
  <si>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</si>
  <si>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</si>
  <si>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</si>
  <si>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</si>
  <si>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</si>
  <si>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</si>
  <si>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</si>
  <si>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</si>
  <si>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</si>
  <si>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</si>
  <si>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</si>
  <si>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</si>
  <si>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</si>
  <si>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</si>
  <si>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</si>
  <si>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</si>
  <si>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</si>
  <si>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</si>
  <si>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</si>
  <si>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</si>
  <si>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</si>
  <si>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</si>
  <si>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</si>
  <si>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</si>
  <si>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</si>
  <si>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</si>
  <si>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</si>
  <si>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</si>
  <si>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</si>
  <si>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</si>
  <si>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</si>
  <si>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</si>
  <si>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</si>
  <si>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</si>
  <si>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</si>
  <si>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</si>
  <si>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</si>
  <si>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</si>
  <si>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</si>
  <si>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</si>
  <si>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</si>
  <si>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</si>
  <si>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</si>
  <si>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</si>
  <si>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</si>
  <si>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</si>
  <si>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</si>
  <si>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</si>
  <si>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</si>
  <si>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</si>
  <si>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</si>
  <si>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</si>
  <si>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</si>
  <si>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</si>
  <si>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</si>
  <si>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</si>
  <si>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</si>
  <si>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</si>
  <si>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</si>
  <si>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</si>
  <si>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</si>
  <si>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</si>
  <si>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</si>
  <si>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</si>
  <si>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</si>
  <si>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</si>
  <si>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</si>
  <si>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</si>
  <si>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</si>
  <si>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</si>
  <si>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</si>
  <si>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</si>
  <si>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</si>
  <si>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</si>
  <si>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</si>
  <si>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</si>
  <si>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</si>
  <si>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</si>
  <si>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</si>
  <si>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</si>
  <si>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DN celkem z obj.</t>
  </si>
  <si>
    <t>NUS celkem z obj.</t>
  </si>
  <si>
    <t>VORN celkem z obj.</t>
  </si>
  <si>
    <t>Krycí list rozpočtu - CELKOVÝ</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</si>
</sst>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name val="Calibri"/>
      <charset val="1"/>
    </font>
    <font>
      <sz val="18"/>
      <color rgb="FF000000"/>
      <name val="Arial"/>
      <charset val="238"/>
    </font>
    <font>
      <sz val="10"/>
      <color rgb="FF000000"/>
      <name val="Arial"/>
      <charset val="238"/>
    </font>
    <font>
      <b/>
      <sz val="10"/>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
      <i/>
      <sz val="8"/>
      <color rgb="FF000000"/>
      <name val="Arial"/>
      <charset val="238"/>
    </font>
    <font>
      <sz val="10"/>
      <color rgb="FF800000"/>
      <name val="Arial"/>
      <charset val="238"/>
    </font>
    <font>
      <b/>
      <sz val="10"/>
      <color rgb="FF800000"/>
      <name val="Arial"/>
      <charset val="238"/>
    </font>
    <font>
      <i/>
      <sz val="10"/>
      <color rgb="FF000080"/>
      <name val="Arial"/>
      <charset val="238"/>
    </font>
    <font>
      <i/>
      <sz val="10"/>
      <color rgb="FF800080"/>
      <name val="Arial"/>
      <charset val="238"/>
    </font>
    <font>
      <i/>
      <sz val="10"/>
      <color rgb="FF808080"/>
      <name val="Arial"/>
      <charset val="238"/>
    </font>
    <font>
      <i/>
      <sz val="10"/>
      <color rgb="FF000000"/>
      <name val="Arial"/>
      <charset val="238"/>
    </font>
    <font>
      <sz val="10"/>
      <color rgb="FF0078D7"/>
      <name val="Arial"/>
      <charset val="238"/>
    </font>
    <font>
      <i/>
      <sz val="10"/>
      <color rgb="FF0078D7"/>
      <name val="Arial"/>
      <charset val="238"/>
    </font>
    <font>
      <sz val="11"/>
      <name val="Calibri"/>
      <charset val="1"/>
    </font>
  </fonts>
  <fills count="8">
    <fill>
      <patternFill patternType="none"/>
    </fill>
    <fill>
      <patternFill patternType="gray125"/>
    </fill>
    <fill>
      <patternFill patternType="solid">
        <fgColor rgb="FFC0C0C0"/>
        <bgColor rgb="FFC0C0C0"/>
      </patternFill>
    </fill>
    <fill>
      <patternFill patternType="solid">
        <fgColor rgb="FFF0F0F0"/>
        <bgColor rgb="FFF0F0F0"/>
      </patternFill>
    </fill>
    <fill>
      <patternFill patternType="solid">
        <fgColor rgb="FFC8C8C8"/>
        <bgColor rgb="FFC8C8C8"/>
      </patternFill>
    </fill>
    <fill>
      <patternFill patternType="solid">
        <fgColor rgb="FFCCFFFF"/>
        <bgColor rgb="FFCCFFFF"/>
      </patternFill>
    </fill>
    <fill>
      <patternFill patternType="solid">
        <fgColor rgb="FFCCFFFF"/>
        <bgColor rgb="FFCCFFFF"/>
      </patternFill>
    </fill>
    <fill>
      <patternFill patternType="solid">
        <fgColor theme="8" tint="0.79998168889431442"/>
        <bgColor indexed="64"/>
      </patternFill>
    </fill>
  </fills>
  <borders count="80">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bottom/>
      <diagonal/>
    </border>
  </borders>
  <cellStyleXfs count="2">
    <xf numFmtId="0" fontId="0" fillId="0" borderId="0"/>
    <xf numFmtId="0" fontId="18" fillId="0" borderId="79"/>
  </cellStyleXfs>
  <cellXfs count="236">
    <xf numFmtId="0" fontId="0" fillId="0" borderId="0" xfId="0"/>
    <xf numFmtId="0" fontId="2" fillId="0" borderId="5"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left" vertical="center"/>
    </xf>
    <xf numFmtId="0" fontId="5" fillId="2" borderId="11" xfId="0" applyNumberFormat="1" applyFont="1" applyFill="1" applyBorder="1" applyAlignment="1" applyProtection="1">
      <alignment horizontal="center" vertical="center"/>
    </xf>
    <xf numFmtId="0" fontId="5" fillId="2"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left" vertical="center"/>
    </xf>
    <xf numFmtId="0" fontId="8" fillId="0" borderId="16" xfId="0" applyNumberFormat="1" applyFont="1" applyFill="1" applyBorder="1" applyAlignment="1" applyProtection="1">
      <alignment horizontal="left" vertical="center"/>
    </xf>
    <xf numFmtId="4" fontId="8" fillId="0" borderId="16" xfId="0" applyNumberFormat="1" applyFont="1" applyFill="1" applyBorder="1" applyAlignment="1" applyProtection="1">
      <alignment horizontal="right" vertical="center"/>
    </xf>
    <xf numFmtId="0" fontId="8" fillId="0" borderId="16" xfId="0" applyNumberFormat="1" applyFont="1" applyFill="1" applyBorder="1" applyAlignment="1" applyProtection="1">
      <alignment horizontal="right" vertical="center"/>
    </xf>
    <xf numFmtId="0" fontId="7" fillId="0" borderId="19" xfId="0" applyNumberFormat="1" applyFont="1" applyFill="1" applyBorder="1" applyAlignment="1" applyProtection="1">
      <alignment horizontal="left" vertical="center"/>
    </xf>
    <xf numFmtId="4" fontId="8" fillId="0" borderId="23" xfId="0" applyNumberFormat="1" applyFont="1" applyFill="1" applyBorder="1" applyAlignment="1" applyProtection="1">
      <alignment horizontal="right" vertical="center"/>
    </xf>
    <xf numFmtId="0" fontId="8" fillId="0" borderId="23" xfId="0" applyNumberFormat="1" applyFont="1" applyFill="1" applyBorder="1" applyAlignment="1" applyProtection="1">
      <alignment horizontal="right" vertical="center"/>
    </xf>
    <xf numFmtId="4" fontId="8" fillId="0" borderId="14" xfId="0" applyNumberFormat="1" applyFont="1" applyFill="1" applyBorder="1" applyAlignment="1" applyProtection="1">
      <alignment horizontal="right" vertical="center"/>
    </xf>
    <xf numFmtId="4" fontId="7" fillId="2" borderId="13" xfId="0" applyNumberFormat="1" applyFont="1" applyFill="1" applyBorder="1" applyAlignment="1" applyProtection="1">
      <alignment horizontal="right" vertical="center"/>
    </xf>
    <xf numFmtId="4" fontId="7" fillId="2" borderId="18" xfId="0" applyNumberFormat="1" applyFont="1" applyFill="1" applyBorder="1" applyAlignment="1" applyProtection="1">
      <alignment horizontal="right" vertical="center"/>
    </xf>
    <xf numFmtId="0" fontId="9" fillId="0" borderId="39" xfId="0" applyNumberFormat="1" applyFont="1" applyFill="1" applyBorder="1" applyAlignment="1" applyProtection="1">
      <alignment horizontal="left" vertical="center"/>
    </xf>
    <xf numFmtId="0" fontId="3" fillId="0" borderId="44" xfId="0" applyNumberFormat="1" applyFont="1" applyFill="1" applyBorder="1" applyAlignment="1" applyProtection="1">
      <alignment horizontal="right" vertical="center"/>
    </xf>
    <xf numFmtId="4" fontId="2" fillId="0" borderId="16" xfId="0" applyNumberFormat="1" applyFont="1" applyFill="1" applyBorder="1" applyAlignment="1" applyProtection="1">
      <alignment horizontal="right" vertical="center"/>
    </xf>
    <xf numFmtId="0" fontId="2" fillId="0" borderId="16" xfId="0" applyNumberFormat="1" applyFont="1" applyFill="1" applyBorder="1" applyAlignment="1" applyProtection="1">
      <alignment horizontal="left" vertical="center"/>
    </xf>
    <xf numFmtId="4" fontId="2" fillId="0" borderId="48" xfId="0" applyNumberFormat="1" applyFont="1" applyFill="1" applyBorder="1" applyAlignment="1" applyProtection="1">
      <alignment horizontal="right" vertical="center"/>
    </xf>
    <xf numFmtId="0" fontId="2" fillId="0" borderId="48" xfId="0" applyNumberFormat="1" applyFont="1" applyFill="1" applyBorder="1" applyAlignment="1" applyProtection="1">
      <alignment horizontal="left" vertical="center"/>
    </xf>
    <xf numFmtId="0" fontId="3" fillId="0" borderId="52" xfId="0" applyNumberFormat="1" applyFont="1" applyFill="1" applyBorder="1" applyAlignment="1" applyProtection="1">
      <alignment horizontal="left" vertical="center"/>
    </xf>
    <xf numFmtId="0" fontId="3" fillId="0" borderId="52" xfId="0" applyNumberFormat="1" applyFont="1" applyFill="1" applyBorder="1" applyAlignment="1" applyProtection="1">
      <alignment horizontal="right" vertical="center"/>
    </xf>
    <xf numFmtId="4" fontId="3" fillId="0" borderId="52" xfId="0" applyNumberFormat="1" applyFont="1" applyFill="1" applyBorder="1" applyAlignment="1" applyProtection="1">
      <alignment horizontal="right" vertical="center"/>
    </xf>
    <xf numFmtId="4" fontId="3" fillId="3" borderId="0" xfId="0" applyNumberFormat="1" applyFont="1" applyFill="1" applyBorder="1" applyAlignment="1" applyProtection="1">
      <alignment horizontal="right" vertical="center"/>
    </xf>
    <xf numFmtId="0" fontId="3" fillId="0" borderId="56" xfId="0" applyNumberFormat="1" applyFont="1" applyFill="1" applyBorder="1" applyAlignment="1" applyProtection="1">
      <alignment horizontal="left" vertical="center"/>
    </xf>
    <xf numFmtId="0" fontId="3" fillId="0" borderId="57" xfId="0" applyNumberFormat="1" applyFont="1" applyFill="1" applyBorder="1" applyAlignment="1" applyProtection="1">
      <alignment horizontal="left" vertical="center"/>
    </xf>
    <xf numFmtId="0" fontId="3" fillId="0" borderId="57" xfId="0" applyNumberFormat="1" applyFont="1" applyFill="1" applyBorder="1" applyAlignment="1" applyProtection="1">
      <alignment horizontal="center" vertical="center"/>
    </xf>
    <xf numFmtId="0" fontId="3" fillId="0" borderId="60" xfId="0" applyNumberFormat="1" applyFont="1" applyFill="1" applyBorder="1" applyAlignment="1" applyProtection="1">
      <alignment horizontal="center" vertical="center"/>
    </xf>
    <xf numFmtId="0" fontId="3" fillId="0" borderId="61" xfId="0" applyNumberFormat="1" applyFont="1" applyFill="1" applyBorder="1" applyAlignment="1" applyProtection="1">
      <alignment horizontal="center" vertical="center"/>
    </xf>
    <xf numFmtId="0" fontId="3" fillId="0" borderId="64" xfId="0" applyNumberFormat="1" applyFont="1" applyFill="1" applyBorder="1" applyAlignment="1" applyProtection="1">
      <alignment horizontal="center" vertical="center"/>
    </xf>
    <xf numFmtId="0" fontId="3" fillId="3"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2" fillId="0" borderId="65" xfId="0" applyNumberFormat="1" applyFont="1" applyFill="1" applyBorder="1" applyAlignment="1" applyProtection="1">
      <alignment horizontal="left" vertical="center"/>
    </xf>
    <xf numFmtId="0" fontId="2" fillId="0" borderId="66" xfId="0" applyNumberFormat="1" applyFont="1" applyFill="1" applyBorder="1" applyAlignment="1" applyProtection="1">
      <alignment horizontal="left" vertical="center"/>
    </xf>
    <xf numFmtId="0" fontId="3" fillId="0" borderId="66" xfId="0" applyNumberFormat="1" applyFont="1" applyFill="1" applyBorder="1" applyAlignment="1" applyProtection="1">
      <alignment horizontal="center" vertical="center"/>
    </xf>
    <xf numFmtId="0" fontId="3" fillId="0" borderId="69" xfId="0" applyNumberFormat="1" applyFont="1" applyFill="1" applyBorder="1" applyAlignment="1" applyProtection="1">
      <alignment horizontal="center" vertical="center"/>
    </xf>
    <xf numFmtId="0" fontId="3" fillId="0" borderId="70" xfId="0" applyNumberFormat="1" applyFont="1" applyFill="1" applyBorder="1" applyAlignment="1" applyProtection="1">
      <alignment horizontal="center" vertical="center"/>
    </xf>
    <xf numFmtId="0" fontId="3" fillId="0" borderId="71" xfId="0" applyNumberFormat="1" applyFont="1" applyFill="1" applyBorder="1" applyAlignment="1" applyProtection="1">
      <alignment horizontal="center" vertical="center"/>
    </xf>
    <xf numFmtId="0" fontId="3" fillId="0" borderId="72" xfId="0" applyNumberFormat="1" applyFont="1" applyFill="1" applyBorder="1" applyAlignment="1" applyProtection="1">
      <alignment horizontal="center" vertical="center"/>
    </xf>
    <xf numFmtId="0" fontId="3" fillId="0" borderId="73" xfId="0" applyNumberFormat="1" applyFont="1" applyFill="1" applyBorder="1" applyAlignment="1" applyProtection="1">
      <alignment horizontal="center" vertical="center"/>
    </xf>
    <xf numFmtId="0" fontId="10" fillId="4" borderId="74" xfId="0" applyNumberFormat="1" applyFont="1" applyFill="1" applyBorder="1" applyAlignment="1" applyProtection="1">
      <alignment horizontal="left" vertical="center"/>
    </xf>
    <xf numFmtId="0" fontId="11" fillId="4" borderId="39" xfId="0" applyNumberFormat="1" applyFont="1" applyFill="1" applyBorder="1" applyAlignment="1" applyProtection="1">
      <alignment horizontal="left" vertical="center"/>
    </xf>
    <xf numFmtId="0" fontId="10" fillId="4" borderId="39" xfId="0" applyNumberFormat="1" applyFont="1" applyFill="1" applyBorder="1" applyAlignment="1" applyProtection="1">
      <alignment horizontal="left" vertical="center"/>
    </xf>
    <xf numFmtId="4" fontId="11" fillId="4" borderId="39" xfId="0" applyNumberFormat="1" applyFont="1" applyFill="1" applyBorder="1" applyAlignment="1" applyProtection="1">
      <alignment horizontal="right" vertical="center"/>
    </xf>
    <xf numFmtId="0" fontId="11" fillId="4" borderId="39" xfId="0" applyNumberFormat="1" applyFont="1" applyFill="1" applyBorder="1" applyAlignment="1" applyProtection="1">
      <alignment horizontal="right" vertical="center"/>
    </xf>
    <xf numFmtId="0" fontId="11" fillId="4" borderId="75" xfId="0" applyNumberFormat="1" applyFont="1" applyFill="1" applyBorder="1" applyAlignment="1" applyProtection="1">
      <alignment horizontal="right" vertical="center"/>
    </xf>
    <xf numFmtId="0" fontId="2" fillId="3" borderId="5" xfId="0" applyNumberFormat="1" applyFont="1" applyFill="1" applyBorder="1" applyAlignment="1" applyProtection="1">
      <alignment horizontal="left" vertical="center"/>
    </xf>
    <xf numFmtId="0" fontId="3" fillId="3" borderId="0" xfId="0" applyNumberFormat="1" applyFont="1" applyFill="1" applyBorder="1" applyAlignment="1" applyProtection="1">
      <alignment horizontal="left" vertical="center"/>
    </xf>
    <xf numFmtId="0" fontId="2" fillId="3" borderId="0" xfId="0" applyNumberFormat="1" applyFont="1" applyFill="1" applyBorder="1" applyAlignment="1" applyProtection="1">
      <alignment horizontal="left" vertical="center"/>
    </xf>
    <xf numFmtId="0" fontId="3" fillId="3" borderId="6"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right" vertical="center"/>
    </xf>
    <xf numFmtId="0" fontId="2" fillId="0" borderId="6"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0" fillId="0" borderId="5" xfId="0" applyNumberFormat="1" applyFont="1" applyFill="1" applyBorder="1" applyAlignment="1" applyProtection="1"/>
    <xf numFmtId="0" fontId="1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4" fontId="12" fillId="0" borderId="0" xfId="0" applyNumberFormat="1" applyFont="1" applyFill="1" applyBorder="1" applyAlignment="1" applyProtection="1">
      <alignment horizontal="right" vertical="center"/>
    </xf>
    <xf numFmtId="0" fontId="0" fillId="0" borderId="6" xfId="0" applyNumberFormat="1" applyFont="1" applyFill="1" applyBorder="1" applyAlignment="1" applyProtection="1"/>
    <xf numFmtId="0" fontId="14" fillId="0" borderId="0" xfId="0"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left" vertical="center" wrapText="1"/>
    </xf>
    <xf numFmtId="0" fontId="16" fillId="0" borderId="5"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left" vertical="center" wrapText="1"/>
    </xf>
    <xf numFmtId="4" fontId="16" fillId="0" borderId="0" xfId="0" applyNumberFormat="1" applyFont="1" applyFill="1" applyBorder="1" applyAlignment="1" applyProtection="1">
      <alignment horizontal="right" vertical="center"/>
    </xf>
    <xf numFmtId="0" fontId="16" fillId="0" borderId="6" xfId="0" applyNumberFormat="1" applyFont="1" applyFill="1" applyBorder="1" applyAlignment="1" applyProtection="1">
      <alignment horizontal="right" vertical="center"/>
    </xf>
    <xf numFmtId="0" fontId="16" fillId="0" borderId="0" xfId="0" applyNumberFormat="1" applyFont="1" applyFill="1" applyBorder="1" applyAlignment="1" applyProtection="1">
      <alignment horizontal="right" vertical="center"/>
    </xf>
    <xf numFmtId="0" fontId="17" fillId="0" borderId="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right" vertical="center"/>
    </xf>
    <xf numFmtId="0" fontId="0" fillId="0" borderId="7" xfId="0" applyNumberFormat="1" applyFont="1" applyFill="1" applyBorder="1" applyAlignment="1" applyProtection="1"/>
    <xf numFmtId="0" fontId="0" fillId="0" borderId="8" xfId="0" applyNumberFormat="1" applyFont="1" applyFill="1" applyBorder="1" applyAlignment="1" applyProtection="1"/>
    <xf numFmtId="0" fontId="14" fillId="0" borderId="8" xfId="0" applyNumberFormat="1" applyFont="1" applyFill="1" applyBorder="1" applyAlignment="1" applyProtection="1">
      <alignment horizontal="right" vertical="center"/>
    </xf>
    <xf numFmtId="4" fontId="3" fillId="0" borderId="76" xfId="0" applyNumberFormat="1" applyFont="1" applyFill="1" applyBorder="1" applyAlignment="1" applyProtection="1">
      <alignment horizontal="right" vertical="center"/>
    </xf>
    <xf numFmtId="0" fontId="9" fillId="0" borderId="0" xfId="0" applyNumberFormat="1" applyFont="1" applyFill="1" applyBorder="1" applyAlignment="1" applyProtection="1">
      <alignment horizontal="left" vertical="center"/>
    </xf>
    <xf numFmtId="4" fontId="2" fillId="0" borderId="8" xfId="0" applyNumberFormat="1" applyFont="1" applyFill="1" applyBorder="1" applyAlignment="1" applyProtection="1">
      <alignment horizontal="right" vertical="center"/>
    </xf>
    <xf numFmtId="0" fontId="2" fillId="0" borderId="9" xfId="0" applyNumberFormat="1" applyFont="1" applyFill="1" applyBorder="1" applyAlignment="1" applyProtection="1">
      <alignment horizontal="right" vertical="center"/>
    </xf>
    <xf numFmtId="0" fontId="3" fillId="5" borderId="60" xfId="0" applyNumberFormat="1" applyFont="1" applyFill="1" applyBorder="1" applyAlignment="1" applyProtection="1">
      <alignment horizontal="center" vertical="center"/>
      <protection locked="0"/>
    </xf>
    <xf numFmtId="0" fontId="3" fillId="5" borderId="66" xfId="0" applyNumberFormat="1" applyFont="1" applyFill="1" applyBorder="1" applyAlignment="1" applyProtection="1">
      <alignment horizontal="center" vertical="center"/>
      <protection locked="0"/>
    </xf>
    <xf numFmtId="0" fontId="10" fillId="6" borderId="39" xfId="0" applyNumberFormat="1" applyFont="1" applyFill="1" applyBorder="1" applyAlignment="1" applyProtection="1">
      <alignment horizontal="left" vertical="center"/>
      <protection locked="0"/>
    </xf>
    <xf numFmtId="0" fontId="2" fillId="6" borderId="0" xfId="0" applyNumberFormat="1" applyFont="1" applyFill="1" applyBorder="1" applyAlignment="1" applyProtection="1">
      <alignment horizontal="left" vertical="center"/>
      <protection locked="0"/>
    </xf>
    <xf numFmtId="4" fontId="2" fillId="5" borderId="0" xfId="0" applyNumberFormat="1" applyFont="1" applyFill="1" applyBorder="1" applyAlignment="1" applyProtection="1">
      <alignment horizontal="right" vertical="center"/>
      <protection locked="0"/>
    </xf>
    <xf numFmtId="4" fontId="16" fillId="5" borderId="0" xfId="0" applyNumberFormat="1" applyFont="1" applyFill="1" applyBorder="1" applyAlignment="1" applyProtection="1">
      <alignment horizontal="right" vertical="center"/>
      <protection locked="0"/>
    </xf>
    <xf numFmtId="0" fontId="10" fillId="4" borderId="5" xfId="0" applyNumberFormat="1" applyFont="1" applyFill="1" applyBorder="1" applyAlignment="1" applyProtection="1">
      <alignment horizontal="left" vertical="center"/>
    </xf>
    <xf numFmtId="0" fontId="11" fillId="4" borderId="0" xfId="0" applyNumberFormat="1" applyFont="1" applyFill="1" applyBorder="1" applyAlignment="1" applyProtection="1">
      <alignment horizontal="left" vertical="center"/>
    </xf>
    <xf numFmtId="0" fontId="10" fillId="4" borderId="0" xfId="0" applyNumberFormat="1" applyFont="1" applyFill="1" applyBorder="1" applyAlignment="1" applyProtection="1">
      <alignment horizontal="left" vertical="center"/>
    </xf>
    <xf numFmtId="0" fontId="10" fillId="6" borderId="0" xfId="0" applyNumberFormat="1" applyFont="1" applyFill="1" applyBorder="1" applyAlignment="1" applyProtection="1">
      <alignment horizontal="left" vertical="center"/>
      <protection locked="0"/>
    </xf>
    <xf numFmtId="4" fontId="11" fillId="4" borderId="0" xfId="0" applyNumberFormat="1" applyFont="1" applyFill="1" applyBorder="1" applyAlignment="1" applyProtection="1">
      <alignment horizontal="right" vertical="center"/>
    </xf>
    <xf numFmtId="0" fontId="11" fillId="4" borderId="0" xfId="0" applyNumberFormat="1" applyFont="1" applyFill="1" applyBorder="1" applyAlignment="1" applyProtection="1">
      <alignment horizontal="right" vertical="center"/>
    </xf>
    <xf numFmtId="0" fontId="11" fillId="4" borderId="6" xfId="0" applyNumberFormat="1" applyFont="1" applyFill="1" applyBorder="1" applyAlignment="1" applyProtection="1">
      <alignment horizontal="right" vertical="center"/>
    </xf>
    <xf numFmtId="4" fontId="2" fillId="5" borderId="8" xfId="0" applyNumberFormat="1" applyFont="1" applyFill="1" applyBorder="1" applyAlignment="1" applyProtection="1">
      <alignment horizontal="right" vertical="center"/>
      <protection locked="0"/>
    </xf>
    <xf numFmtId="4" fontId="2" fillId="7" borderId="0" xfId="0" applyNumberFormat="1" applyFont="1" applyFill="1" applyBorder="1" applyAlignment="1" applyProtection="1">
      <alignment horizontal="right" vertical="center"/>
      <protection locked="0"/>
    </xf>
    <xf numFmtId="4" fontId="16" fillId="7" borderId="0" xfId="0" applyNumberFormat="1" applyFont="1" applyFill="1" applyBorder="1" applyAlignment="1" applyProtection="1">
      <alignment horizontal="right" vertical="center"/>
      <protection locked="0"/>
    </xf>
    <xf numFmtId="4" fontId="2" fillId="7" borderId="8" xfId="0" applyNumberFormat="1" applyFont="1" applyFill="1" applyBorder="1" applyAlignment="1" applyProtection="1">
      <alignment horizontal="right" vertical="center"/>
      <protection locked="0"/>
    </xf>
    <xf numFmtId="0" fontId="8" fillId="0" borderId="18" xfId="0" applyNumberFormat="1" applyFont="1" applyFill="1" applyBorder="1" applyAlignment="1" applyProtection="1">
      <alignment horizontal="left" vertical="center"/>
    </xf>
    <xf numFmtId="4" fontId="8" fillId="0" borderId="18" xfId="0" applyNumberFormat="1" applyFont="1" applyFill="1" applyBorder="1" applyAlignment="1" applyProtection="1">
      <alignment horizontal="right" vertical="center"/>
    </xf>
    <xf numFmtId="0" fontId="8" fillId="0" borderId="18" xfId="0" applyNumberFormat="1" applyFont="1" applyFill="1" applyBorder="1" applyAlignment="1" applyProtection="1">
      <alignment horizontal="right" vertical="center"/>
    </xf>
    <xf numFmtId="4" fontId="8" fillId="0" borderId="75" xfId="0" applyNumberFormat="1" applyFont="1" applyFill="1" applyBorder="1" applyAlignment="1" applyProtection="1">
      <alignment horizontal="right" vertical="center"/>
    </xf>
    <xf numFmtId="0" fontId="8" fillId="0" borderId="75" xfId="0" applyNumberFormat="1" applyFont="1" applyFill="1" applyBorder="1" applyAlignment="1" applyProtection="1">
      <alignment horizontal="right" vertical="center"/>
    </xf>
    <xf numFmtId="4" fontId="7" fillId="2" borderId="14" xfId="0" applyNumberFormat="1" applyFont="1" applyFill="1" applyBorder="1" applyAlignment="1" applyProtection="1">
      <alignment horizontal="right" vertical="center"/>
    </xf>
    <xf numFmtId="0" fontId="9" fillId="0" borderId="79" xfId="0" applyNumberFormat="1" applyFont="1" applyFill="1" applyBorder="1" applyAlignment="1" applyProtection="1">
      <alignment horizontal="left" vertical="center"/>
    </xf>
    <xf numFmtId="0" fontId="1" fillId="0" borderId="79" xfId="0" applyNumberFormat="1" applyFont="1" applyFill="1" applyBorder="1" applyAlignment="1" applyProtection="1">
      <alignment horizontal="center" vertical="center" wrapText="1"/>
    </xf>
    <xf numFmtId="0" fontId="1" fillId="0" borderId="79"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 fillId="0" borderId="74" xfId="0" applyNumberFormat="1" applyFont="1" applyFill="1" applyBorder="1" applyAlignment="1" applyProtection="1">
      <alignment horizontal="left" vertical="center"/>
    </xf>
    <xf numFmtId="0" fontId="2" fillId="0" borderId="79"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xf>
    <xf numFmtId="0" fontId="3" fillId="0" borderId="3" xfId="0" applyNumberFormat="1" applyFont="1" applyFill="1" applyBorder="1" applyAlignment="1" applyProtection="1">
      <alignment horizontal="left" vertical="center"/>
    </xf>
    <xf numFmtId="0" fontId="3" fillId="0" borderId="79" xfId="0" applyNumberFormat="1" applyFont="1" applyFill="1" applyBorder="1" applyAlignment="1" applyProtection="1">
      <alignment horizontal="left" vertical="center"/>
    </xf>
    <xf numFmtId="0" fontId="2" fillId="0" borderId="3"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left" vertical="center"/>
    </xf>
    <xf numFmtId="0" fontId="2" fillId="0" borderId="75" xfId="0" applyNumberFormat="1" applyFont="1" applyFill="1" applyBorder="1" applyAlignment="1" applyProtection="1">
      <alignment horizontal="left" vertical="center"/>
    </xf>
    <xf numFmtId="0" fontId="2" fillId="0" borderId="74" xfId="0" applyNumberFormat="1" applyFont="1" applyFill="1" applyBorder="1" applyAlignment="1" applyProtection="1">
      <alignment horizontal="left" vertical="center" wrapText="1"/>
    </xf>
    <xf numFmtId="0" fontId="2" fillId="0" borderId="79" xfId="0" applyNumberFormat="1" applyFont="1" applyFill="1" applyBorder="1" applyAlignment="1" applyProtection="1">
      <alignment horizontal="left" vertical="center" wrapText="1"/>
    </xf>
    <xf numFmtId="0" fontId="2" fillId="0" borderId="75" xfId="0" applyNumberFormat="1" applyFont="1" applyFill="1" applyBorder="1" applyAlignment="1" applyProtection="1">
      <alignment horizontal="left" vertical="center" wrapText="1"/>
    </xf>
    <xf numFmtId="0" fontId="2" fillId="0" borderId="18" xfId="0" applyNumberFormat="1" applyFont="1" applyFill="1" applyBorder="1" applyAlignment="1" applyProtection="1">
      <alignment horizontal="left" vertical="center"/>
    </xf>
    <xf numFmtId="1" fontId="2" fillId="0" borderId="75" xfId="0" applyNumberFormat="1" applyFont="1" applyFill="1" applyBorder="1" applyAlignment="1" applyProtection="1">
      <alignment horizontal="left" vertical="center"/>
    </xf>
    <xf numFmtId="0" fontId="2" fillId="0" borderId="20" xfId="0" applyNumberFormat="1" applyFont="1" applyFill="1" applyBorder="1" applyAlignment="1" applyProtection="1">
      <alignment horizontal="left" vertical="center"/>
    </xf>
    <xf numFmtId="0" fontId="2" fillId="0" borderId="27" xfId="0" applyNumberFormat="1" applyFont="1" applyFill="1" applyBorder="1" applyAlignment="1" applyProtection="1">
      <alignment horizontal="left" vertical="center"/>
    </xf>
    <xf numFmtId="0" fontId="4" fillId="0" borderId="79" xfId="0" applyNumberFormat="1" applyFont="1" applyFill="1" applyBorder="1" applyAlignment="1" applyProtection="1">
      <alignment horizontal="center" vertical="center"/>
    </xf>
    <xf numFmtId="0" fontId="6" fillId="0" borderId="26"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xf>
    <xf numFmtId="0" fontId="8" fillId="0" borderId="27" xfId="0" applyNumberFormat="1" applyFont="1" applyFill="1" applyBorder="1" applyAlignment="1" applyProtection="1">
      <alignment horizontal="left" vertical="center"/>
    </xf>
    <xf numFmtId="0" fontId="8" fillId="0" borderId="18" xfId="0" applyNumberFormat="1" applyFont="1" applyFill="1" applyBorder="1" applyAlignment="1" applyProtection="1">
      <alignment horizontal="left" vertical="center"/>
    </xf>
    <xf numFmtId="0" fontId="7" fillId="0" borderId="20" xfId="0" applyNumberFormat="1" applyFont="1" applyFill="1" applyBorder="1" applyAlignment="1" applyProtection="1">
      <alignment horizontal="left" vertical="center"/>
    </xf>
    <xf numFmtId="0" fontId="7" fillId="0" borderId="18" xfId="0" applyNumberFormat="1" applyFont="1" applyFill="1" applyBorder="1" applyAlignment="1" applyProtection="1">
      <alignment horizontal="left" vertical="center"/>
    </xf>
    <xf numFmtId="0" fontId="7" fillId="2" borderId="20" xfId="0" applyNumberFormat="1" applyFont="1" applyFill="1" applyBorder="1" applyAlignment="1" applyProtection="1">
      <alignment horizontal="left" vertical="center"/>
    </xf>
    <xf numFmtId="0" fontId="7" fillId="2" borderId="27" xfId="0" applyNumberFormat="1" applyFont="1" applyFill="1" applyBorder="1" applyAlignment="1" applyProtection="1">
      <alignment horizontal="left" vertical="center"/>
    </xf>
    <xf numFmtId="0" fontId="7" fillId="2" borderId="26" xfId="0" applyNumberFormat="1" applyFont="1" applyFill="1" applyBorder="1" applyAlignment="1" applyProtection="1">
      <alignment horizontal="left" vertical="center"/>
    </xf>
    <xf numFmtId="0" fontId="7" fillId="0" borderId="74" xfId="0" applyNumberFormat="1" applyFont="1" applyFill="1" applyBorder="1" applyAlignment="1" applyProtection="1">
      <alignment horizontal="left" vertical="center"/>
    </xf>
    <xf numFmtId="0" fontId="7" fillId="0" borderId="75" xfId="0" applyNumberFormat="1" applyFont="1" applyFill="1" applyBorder="1" applyAlignment="1" applyProtection="1">
      <alignment horizontal="left" vertical="center"/>
    </xf>
    <xf numFmtId="0" fontId="8" fillId="0" borderId="79" xfId="0" applyNumberFormat="1" applyFont="1" applyFill="1" applyBorder="1" applyAlignment="1" applyProtection="1">
      <alignment horizontal="left" vertical="center"/>
    </xf>
    <xf numFmtId="0" fontId="8" fillId="0" borderId="75" xfId="0" applyNumberFormat="1" applyFont="1" applyFill="1" applyBorder="1" applyAlignment="1" applyProtection="1">
      <alignment horizontal="left" vertical="center"/>
    </xf>
    <xf numFmtId="0" fontId="7" fillId="0" borderId="25"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7" fillId="0" borderId="26" xfId="0" applyNumberFormat="1" applyFont="1" applyFill="1" applyBorder="1" applyAlignment="1" applyProtection="1">
      <alignment horizontal="left" vertical="center"/>
    </xf>
    <xf numFmtId="0" fontId="7" fillId="0" borderId="27" xfId="0" applyNumberFormat="1" applyFont="1" applyFill="1" applyBorder="1" applyAlignment="1" applyProtection="1">
      <alignment horizontal="left" vertical="center"/>
    </xf>
    <xf numFmtId="0" fontId="7" fillId="2" borderId="25" xfId="0" applyNumberFormat="1" applyFont="1" applyFill="1" applyBorder="1" applyAlignment="1" applyProtection="1">
      <alignment horizontal="left" vertical="center"/>
    </xf>
    <xf numFmtId="0" fontId="8" fillId="0" borderId="28" xfId="0" applyNumberFormat="1" applyFont="1" applyFill="1" applyBorder="1" applyAlignment="1" applyProtection="1">
      <alignment horizontal="left" vertical="center"/>
    </xf>
    <xf numFmtId="0" fontId="8" fillId="0" borderId="60" xfId="0" applyNumberFormat="1" applyFont="1" applyFill="1" applyBorder="1" applyAlignment="1" applyProtection="1">
      <alignment horizontal="left" vertical="center"/>
    </xf>
    <xf numFmtId="0" fontId="8" fillId="0" borderId="30" xfId="0" applyNumberFormat="1" applyFont="1" applyFill="1" applyBorder="1" applyAlignment="1" applyProtection="1">
      <alignment horizontal="left" vertical="center"/>
    </xf>
    <xf numFmtId="0" fontId="8" fillId="0" borderId="32" xfId="0" applyNumberFormat="1" applyFont="1" applyFill="1" applyBorder="1" applyAlignment="1" applyProtection="1">
      <alignment horizontal="left" vertical="center"/>
    </xf>
    <xf numFmtId="0" fontId="8" fillId="0" borderId="33" xfId="0" applyNumberFormat="1" applyFont="1" applyFill="1" applyBorder="1" applyAlignment="1" applyProtection="1">
      <alignment horizontal="left" vertical="center"/>
    </xf>
    <xf numFmtId="0" fontId="8" fillId="0" borderId="35" xfId="0" applyNumberFormat="1" applyFont="1" applyFill="1" applyBorder="1" applyAlignment="1" applyProtection="1">
      <alignment horizontal="left" vertical="center"/>
    </xf>
    <xf numFmtId="0" fontId="8" fillId="0" borderId="72" xfId="0" applyNumberFormat="1" applyFont="1" applyFill="1" applyBorder="1" applyAlignment="1" applyProtection="1">
      <alignment horizontal="left" vertical="center"/>
    </xf>
    <xf numFmtId="0" fontId="8" fillId="0" borderId="37"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2"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xf>
    <xf numFmtId="1" fontId="2" fillId="0" borderId="6"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left" vertical="center"/>
    </xf>
    <xf numFmtId="0" fontId="2" fillId="0" borderId="6"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left" vertical="center"/>
    </xf>
    <xf numFmtId="0" fontId="4" fillId="0" borderId="10"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left" vertical="center"/>
    </xf>
    <xf numFmtId="0" fontId="6" fillId="0" borderId="13" xfId="0" applyNumberFormat="1" applyFont="1" applyFill="1" applyBorder="1" applyAlignment="1" applyProtection="1">
      <alignment horizontal="left" vertical="center"/>
    </xf>
    <xf numFmtId="0" fontId="2" fillId="0" borderId="7" xfId="0" applyNumberFormat="1" applyFont="1" applyFill="1" applyBorder="1" applyAlignment="1" applyProtection="1">
      <alignment horizontal="left" vertical="center"/>
    </xf>
    <xf numFmtId="0" fontId="7" fillId="0" borderId="21" xfId="0" applyNumberFormat="1" applyFont="1" applyFill="1" applyBorder="1" applyAlignment="1" applyProtection="1">
      <alignment horizontal="left" vertical="center"/>
    </xf>
    <xf numFmtId="0" fontId="7" fillId="0" borderId="22" xfId="0" applyNumberFormat="1" applyFont="1" applyFill="1" applyBorder="1" applyAlignment="1" applyProtection="1">
      <alignment horizontal="left" vertical="center"/>
    </xf>
    <xf numFmtId="0" fontId="7" fillId="0" borderId="13" xfId="0" applyNumberFormat="1" applyFont="1" applyFill="1" applyBorder="1" applyAlignment="1" applyProtection="1">
      <alignment horizontal="left" vertical="center"/>
    </xf>
    <xf numFmtId="0" fontId="8" fillId="0" borderId="17" xfId="0" applyNumberFormat="1" applyFont="1" applyFill="1" applyBorder="1" applyAlignment="1" applyProtection="1">
      <alignment horizontal="left" vertical="center"/>
    </xf>
    <xf numFmtId="0" fontId="8" fillId="0" borderId="24" xfId="0" applyNumberFormat="1" applyFont="1" applyFill="1" applyBorder="1" applyAlignment="1" applyProtection="1">
      <alignment horizontal="left" vertical="center"/>
    </xf>
    <xf numFmtId="0" fontId="8" fillId="0" borderId="22"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7" fillId="2" borderId="12" xfId="0" applyNumberFormat="1" applyFont="1" applyFill="1" applyBorder="1" applyAlignment="1" applyProtection="1">
      <alignment horizontal="left" vertical="center"/>
    </xf>
    <xf numFmtId="0" fontId="7" fillId="2" borderId="17" xfId="0" applyNumberFormat="1" applyFont="1" applyFill="1" applyBorder="1" applyAlignment="1" applyProtection="1">
      <alignment horizontal="left" vertical="center"/>
    </xf>
    <xf numFmtId="0" fontId="8" fillId="0" borderId="29"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8" fillId="0" borderId="31" xfId="0" applyNumberFormat="1" applyFont="1" applyFill="1" applyBorder="1" applyAlignment="1" applyProtection="1">
      <alignment horizontal="left" vertical="center"/>
    </xf>
    <xf numFmtId="0" fontId="8" fillId="0" borderId="34" xfId="0" applyNumberFormat="1" applyFont="1" applyFill="1" applyBorder="1" applyAlignment="1" applyProtection="1">
      <alignment horizontal="left" vertical="center"/>
    </xf>
    <xf numFmtId="0" fontId="8" fillId="0" borderId="38" xfId="0" applyNumberFormat="1" applyFont="1" applyFill="1" applyBorder="1" applyAlignment="1" applyProtection="1">
      <alignment horizontal="left" vertical="center"/>
    </xf>
    <xf numFmtId="0" fontId="8" fillId="0" borderId="36" xfId="0" applyNumberFormat="1" applyFont="1" applyFill="1" applyBorder="1" applyAlignment="1" applyProtection="1">
      <alignment horizontal="left" vertical="center"/>
    </xf>
    <xf numFmtId="0" fontId="7" fillId="0" borderId="40" xfId="0" applyNumberFormat="1" applyFont="1" applyFill="1" applyBorder="1" applyAlignment="1" applyProtection="1">
      <alignment horizontal="left" vertical="center"/>
    </xf>
    <xf numFmtId="0" fontId="3" fillId="0" borderId="41" xfId="0" applyNumberFormat="1" applyFont="1" applyFill="1" applyBorder="1" applyAlignment="1" applyProtection="1">
      <alignment horizontal="left" vertical="center"/>
    </xf>
    <xf numFmtId="0" fontId="3" fillId="0" borderId="42" xfId="0" applyNumberFormat="1" applyFont="1" applyFill="1" applyBorder="1" applyAlignment="1" applyProtection="1">
      <alignment horizontal="left" vertical="center"/>
    </xf>
    <xf numFmtId="0" fontId="3" fillId="0" borderId="43" xfId="0" applyNumberFormat="1" applyFont="1" applyFill="1" applyBorder="1" applyAlignment="1" applyProtection="1">
      <alignment horizontal="left" vertical="center"/>
    </xf>
    <xf numFmtId="0" fontId="2" fillId="0" borderId="45" xfId="0" applyNumberFormat="1" applyFont="1" applyFill="1" applyBorder="1" applyAlignment="1" applyProtection="1">
      <alignment horizontal="left" vertical="center"/>
    </xf>
    <xf numFmtId="0" fontId="2" fillId="0" borderId="46" xfId="0" applyNumberFormat="1" applyFont="1" applyFill="1" applyBorder="1" applyAlignment="1" applyProtection="1">
      <alignment horizontal="left" vertical="center"/>
    </xf>
    <xf numFmtId="0" fontId="2" fillId="0" borderId="47" xfId="0" applyNumberFormat="1" applyFont="1" applyFill="1" applyBorder="1" applyAlignment="1" applyProtection="1">
      <alignment horizontal="left" vertical="center"/>
    </xf>
    <xf numFmtId="0" fontId="3" fillId="0" borderId="49" xfId="0" applyNumberFormat="1" applyFont="1" applyFill="1" applyBorder="1" applyAlignment="1" applyProtection="1">
      <alignment horizontal="left" vertical="center"/>
    </xf>
    <xf numFmtId="0" fontId="3" fillId="0" borderId="50" xfId="0" applyNumberFormat="1" applyFont="1" applyFill="1" applyBorder="1" applyAlignment="1" applyProtection="1">
      <alignment horizontal="left" vertical="center"/>
    </xf>
    <xf numFmtId="0" fontId="3" fillId="0" borderId="51" xfId="0" applyNumberFormat="1" applyFont="1" applyFill="1" applyBorder="1" applyAlignment="1" applyProtection="1">
      <alignment horizontal="left" vertical="center"/>
    </xf>
    <xf numFmtId="0" fontId="7" fillId="0" borderId="49" xfId="0" applyNumberFormat="1" applyFont="1" applyFill="1" applyBorder="1" applyAlignment="1" applyProtection="1">
      <alignment horizontal="left" vertical="center"/>
    </xf>
    <xf numFmtId="0" fontId="7" fillId="0" borderId="50" xfId="0" applyNumberFormat="1" applyFont="1" applyFill="1" applyBorder="1" applyAlignment="1" applyProtection="1">
      <alignment horizontal="left" vertical="center"/>
    </xf>
    <xf numFmtId="0" fontId="7" fillId="0" borderId="51" xfId="0" applyNumberFormat="1" applyFont="1" applyFill="1" applyBorder="1" applyAlignment="1" applyProtection="1">
      <alignment horizontal="left" vertical="center"/>
    </xf>
    <xf numFmtId="4" fontId="7" fillId="0" borderId="53" xfId="0" applyNumberFormat="1" applyFont="1" applyFill="1" applyBorder="1" applyAlignment="1" applyProtection="1">
      <alignment horizontal="right" vertical="center"/>
    </xf>
    <xf numFmtId="0" fontId="7" fillId="0" borderId="50" xfId="0" applyNumberFormat="1" applyFont="1" applyFill="1" applyBorder="1" applyAlignment="1" applyProtection="1">
      <alignment horizontal="right" vertical="center"/>
    </xf>
    <xf numFmtId="0" fontId="7" fillId="0" borderId="51" xfId="0" applyNumberFormat="1" applyFont="1" applyFill="1" applyBorder="1" applyAlignment="1" applyProtection="1">
      <alignment horizontal="right" vertical="center"/>
    </xf>
    <xf numFmtId="0" fontId="2" fillId="0" borderId="54" xfId="0" applyNumberFormat="1" applyFont="1" applyFill="1" applyBorder="1" applyAlignment="1" applyProtection="1">
      <alignment horizontal="left" vertical="center"/>
    </xf>
    <xf numFmtId="0" fontId="2" fillId="0" borderId="40" xfId="0" applyNumberFormat="1" applyFont="1" applyFill="1" applyBorder="1" applyAlignment="1" applyProtection="1">
      <alignment horizontal="left" vertical="center"/>
    </xf>
    <xf numFmtId="0" fontId="3" fillId="0" borderId="67" xfId="0" applyNumberFormat="1" applyFont="1" applyFill="1" applyBorder="1" applyAlignment="1" applyProtection="1">
      <alignment horizontal="left" vertical="center"/>
    </xf>
    <xf numFmtId="0" fontId="3" fillId="0" borderId="68" xfId="0" applyNumberFormat="1" applyFont="1" applyFill="1" applyBorder="1" applyAlignment="1" applyProtection="1">
      <alignment horizontal="left" vertical="center"/>
    </xf>
    <xf numFmtId="0" fontId="3" fillId="0" borderId="62" xfId="0" applyNumberFormat="1" applyFont="1" applyFill="1" applyBorder="1" applyAlignment="1" applyProtection="1">
      <alignment horizontal="center" vertical="center"/>
    </xf>
    <xf numFmtId="0" fontId="3" fillId="0" borderId="42" xfId="0" applyNumberFormat="1" applyFont="1" applyFill="1" applyBorder="1" applyAlignment="1" applyProtection="1">
      <alignment horizontal="center" vertical="center"/>
    </xf>
    <xf numFmtId="0" fontId="3" fillId="0" borderId="63" xfId="0" applyNumberFormat="1" applyFont="1" applyFill="1" applyBorder="1" applyAlignment="1" applyProtection="1">
      <alignment horizontal="center" vertical="center"/>
    </xf>
    <xf numFmtId="0" fontId="11" fillId="4" borderId="39" xfId="0" applyNumberFormat="1" applyFont="1" applyFill="1" applyBorder="1" applyAlignment="1" applyProtection="1">
      <alignment horizontal="left" vertical="center" wrapText="1"/>
    </xf>
    <xf numFmtId="0" fontId="11" fillId="4" borderId="39" xfId="0" applyNumberFormat="1" applyFont="1" applyFill="1" applyBorder="1" applyAlignment="1" applyProtection="1">
      <alignment horizontal="left" vertical="center"/>
    </xf>
    <xf numFmtId="0" fontId="3" fillId="3" borderId="0" xfId="0" applyNumberFormat="1" applyFont="1" applyFill="1" applyBorder="1" applyAlignment="1" applyProtection="1">
      <alignment horizontal="left" vertical="center" wrapText="1"/>
    </xf>
    <xf numFmtId="0" fontId="3" fillId="3" borderId="0" xfId="0" applyNumberFormat="1" applyFont="1" applyFill="1" applyBorder="1" applyAlignment="1" applyProtection="1">
      <alignment horizontal="left" vertical="center"/>
    </xf>
    <xf numFmtId="0" fontId="2" fillId="0" borderId="55" xfId="0" applyNumberFormat="1" applyFont="1" applyFill="1" applyBorder="1" applyAlignment="1" applyProtection="1">
      <alignment horizontal="left" vertical="center"/>
    </xf>
    <xf numFmtId="0" fontId="3" fillId="0" borderId="58" xfId="0" applyNumberFormat="1" applyFont="1" applyFill="1" applyBorder="1" applyAlignment="1" applyProtection="1">
      <alignment horizontal="left" vertical="center"/>
    </xf>
    <xf numFmtId="0" fontId="3" fillId="0" borderId="59"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horizontal="left" vertical="center"/>
    </xf>
    <xf numFmtId="0" fontId="12" fillId="0" borderId="6" xfId="0" applyNumberFormat="1" applyFont="1" applyFill="1" applyBorder="1" applyAlignment="1" applyProtection="1">
      <alignment horizontal="left" vertical="center"/>
    </xf>
    <xf numFmtId="0" fontId="15" fillId="0" borderId="8" xfId="0" applyNumberFormat="1" applyFont="1" applyFill="1" applyBorder="1" applyAlignment="1" applyProtection="1">
      <alignment horizontal="left" vertical="center" wrapText="1"/>
    </xf>
    <xf numFmtId="0" fontId="15" fillId="0" borderId="8" xfId="0" applyNumberFormat="1" applyFont="1" applyFill="1" applyBorder="1" applyAlignment="1" applyProtection="1">
      <alignment horizontal="left" vertical="center"/>
    </xf>
    <xf numFmtId="0" fontId="15" fillId="0" borderId="9"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left" vertical="center" wrapText="1"/>
    </xf>
    <xf numFmtId="0" fontId="2" fillId="5" borderId="0" xfId="0" applyNumberFormat="1" applyFont="1" applyFill="1" applyBorder="1" applyAlignment="1" applyProtection="1">
      <alignment horizontal="left" vertical="center"/>
      <protection locked="0"/>
    </xf>
    <xf numFmtId="0" fontId="2" fillId="5" borderId="6" xfId="0" applyNumberFormat="1" applyFont="1" applyFill="1" applyBorder="1" applyAlignment="1" applyProtection="1">
      <alignment horizontal="left" vertical="center"/>
      <protection locked="0"/>
    </xf>
    <xf numFmtId="0" fontId="2" fillId="5" borderId="0" xfId="0" applyNumberFormat="1" applyFont="1" applyFill="1" applyBorder="1" applyAlignment="1" applyProtection="1">
      <alignment horizontal="left" vertical="center" wrapText="1"/>
      <protection locked="0"/>
    </xf>
    <xf numFmtId="0" fontId="2" fillId="5" borderId="40" xfId="0" applyNumberFormat="1" applyFont="1" applyFill="1" applyBorder="1" applyAlignment="1" applyProtection="1">
      <alignment horizontal="left" vertical="center"/>
      <protection locked="0"/>
    </xf>
    <xf numFmtId="0" fontId="2" fillId="5" borderId="55" xfId="0" applyNumberFormat="1" applyFont="1" applyFill="1" applyBorder="1" applyAlignment="1" applyProtection="1">
      <alignment horizontal="left" vertical="center"/>
      <protection locked="0"/>
    </xf>
    <xf numFmtId="0" fontId="2" fillId="5" borderId="3" xfId="0" applyNumberFormat="1" applyFont="1" applyFill="1" applyBorder="1" applyAlignment="1" applyProtection="1">
      <alignment horizontal="left" vertical="center"/>
      <protection locked="0"/>
    </xf>
    <xf numFmtId="0" fontId="1" fillId="0" borderId="77" xfId="0" applyNumberFormat="1" applyFont="1" applyFill="1" applyBorder="1" applyAlignment="1" applyProtection="1">
      <alignment horizontal="center" vertical="center"/>
    </xf>
    <xf numFmtId="4" fontId="8" fillId="0" borderId="78" xfId="0" applyNumberFormat="1" applyFont="1" applyFill="1" applyBorder="1" applyAlignment="1" applyProtection="1">
      <alignment horizontal="right" vertical="center"/>
    </xf>
    <xf numFmtId="0" fontId="11" fillId="4" borderId="0" xfId="0" applyNumberFormat="1" applyFont="1" applyFill="1" applyBorder="1" applyAlignment="1" applyProtection="1">
      <alignment horizontal="left" vertical="center" wrapText="1"/>
    </xf>
    <xf numFmtId="0" fontId="11" fillId="4" borderId="0" xfId="0" applyNumberFormat="1" applyFont="1" applyFill="1" applyBorder="1" applyAlignment="1" applyProtection="1">
      <alignment horizontal="left" vertical="center"/>
    </xf>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638175" cy="666750"/>
    <xdr:pic>
      <xdr:nvPicPr>
        <xdr:cNvPr id="2" name="Obrázek 1"/>
        <xdr:cNvPicPr>
          <a:picLocks noChangeAspect="1"/>
        </xdr:cNvPicPr>
      </xdr:nvPicPr>
      <xdr:blipFill>
        <a:blip xmlns:r="http://schemas.openxmlformats.org/officeDocument/2006/relationships" r:embed="rId1"/>
        <a:stretch>
          <a:fillRect/>
        </a:stretch>
      </xdr:blipFill>
      <xdr:spPr>
        <a:xfrm>
          <a:off x="0" y="0"/>
          <a:ext cx="638175" cy="666750"/>
        </a:xfrm>
        <a:prstGeom prst="rect">
          <a:avLst/>
        </a:prstGeom>
        <a:noFill/>
        <a:ln w="9525">
          <a:noFill/>
        </a:ln>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U%20Trest_DM_4NP%20-%20SLEP&#221;%20rozpo&#269;et%20-%20ZAD&#193;VAC&#205;_R01_kryc&#237;%20list%20stavb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vební rozpočet"/>
      <sheetName val="Krycí list rozpočtu"/>
      <sheetName val="VORN"/>
      <sheetName val="Krycí list rozpočtu (D11-D14)"/>
      <sheetName val="VORN objektu (D11-D14)"/>
      <sheetName val="Krycí list rozpočtu (D14c)"/>
      <sheetName val="VORN objektu (D14c)"/>
      <sheetName val="Krycí list rozpočtu (D14d)"/>
      <sheetName val="VORN objektu (D14d)"/>
      <sheetName val="Krycí list rozpočtu (VORN)"/>
      <sheetName val="VORN objektu (VORN)"/>
    </sheetNames>
    <sheetDataSet>
      <sheetData sheetId="0">
        <row r="2">
          <cell r="C2" t="str">
            <v>SOŠ,SOU Třešť - Rekonstrukce 4NP DM</v>
          </cell>
        </row>
      </sheetData>
      <sheetData sheetId="1"/>
      <sheetData sheetId="2">
        <row r="15">
          <cell r="I15">
            <v>0</v>
          </cell>
        </row>
        <row r="36">
          <cell r="I36">
            <v>0</v>
          </cell>
        </row>
      </sheetData>
      <sheetData sheetId="3">
        <row r="22">
          <cell r="F22">
            <v>0</v>
          </cell>
        </row>
      </sheetData>
      <sheetData sheetId="4"/>
      <sheetData sheetId="5">
        <row r="22">
          <cell r="F22">
            <v>0</v>
          </cell>
        </row>
      </sheetData>
      <sheetData sheetId="6"/>
      <sheetData sheetId="7">
        <row r="22">
          <cell r="F22">
            <v>0</v>
          </cell>
        </row>
      </sheetData>
      <sheetData sheetId="8"/>
      <sheetData sheetId="9">
        <row r="22">
          <cell r="F22">
            <v>0</v>
          </cell>
        </row>
      </sheetData>
      <sheetData sheetId="10"/>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abSelected="1" workbookViewId="0">
      <selection activeCell="C2" sqref="C2:D3"/>
    </sheetView>
  </sheetViews>
  <sheetFormatPr defaultRowHeight="14.5" x14ac:dyDescent="0.35"/>
  <cols>
    <col min="1" max="1" width="9.1796875" customWidth="1"/>
    <col min="2" max="2" width="12.81640625" customWidth="1"/>
    <col min="3" max="3" width="27.1796875" customWidth="1"/>
    <col min="4" max="4" width="10" customWidth="1"/>
    <col min="5" max="5" width="14" customWidth="1"/>
    <col min="6" max="6" width="27.1796875" customWidth="1"/>
    <col min="7" max="7" width="9.1796875" customWidth="1"/>
    <col min="8" max="8" width="12.81640625" customWidth="1"/>
    <col min="9" max="9" width="27.1796875" customWidth="1"/>
  </cols>
  <sheetData>
    <row r="1" spans="1:9" ht="22.5" x14ac:dyDescent="0.35">
      <c r="A1" s="104" t="s">
        <v>1972</v>
      </c>
      <c r="B1" s="105"/>
      <c r="C1" s="105"/>
      <c r="D1" s="105"/>
      <c r="E1" s="105"/>
      <c r="F1" s="105"/>
      <c r="G1" s="105"/>
      <c r="H1" s="105"/>
      <c r="I1" s="105"/>
    </row>
    <row r="2" spans="1:9" x14ac:dyDescent="0.35">
      <c r="A2" s="106" t="s">
        <v>1</v>
      </c>
      <c r="B2" s="107"/>
      <c r="C2" s="110" t="s">
        <v>1846</v>
      </c>
      <c r="D2" s="111"/>
      <c r="E2" s="113" t="s">
        <v>2</v>
      </c>
      <c r="F2" s="113" t="s">
        <v>1847</v>
      </c>
      <c r="G2" s="107"/>
      <c r="H2" s="113" t="s">
        <v>3</v>
      </c>
      <c r="I2" s="114" t="s">
        <v>4</v>
      </c>
    </row>
    <row r="3" spans="1:9" x14ac:dyDescent="0.35">
      <c r="A3" s="108"/>
      <c r="B3" s="109"/>
      <c r="C3" s="112"/>
      <c r="D3" s="112"/>
      <c r="E3" s="109"/>
      <c r="F3" s="109"/>
      <c r="G3" s="109"/>
      <c r="H3" s="109"/>
      <c r="I3" s="115"/>
    </row>
    <row r="4" spans="1:9" x14ac:dyDescent="0.35">
      <c r="A4" s="116" t="s">
        <v>5</v>
      </c>
      <c r="B4" s="109"/>
      <c r="C4" s="117"/>
      <c r="D4" s="109"/>
      <c r="E4" s="117" t="s">
        <v>6</v>
      </c>
      <c r="F4" s="117" t="s">
        <v>1849</v>
      </c>
      <c r="G4" s="109"/>
      <c r="H4" s="117" t="s">
        <v>3</v>
      </c>
      <c r="I4" s="115" t="s">
        <v>7</v>
      </c>
    </row>
    <row r="5" spans="1:9" x14ac:dyDescent="0.35">
      <c r="A5" s="108"/>
      <c r="B5" s="109"/>
      <c r="C5" s="109"/>
      <c r="D5" s="109"/>
      <c r="E5" s="109"/>
      <c r="F5" s="109"/>
      <c r="G5" s="109"/>
      <c r="H5" s="109"/>
      <c r="I5" s="115"/>
    </row>
    <row r="6" spans="1:9" x14ac:dyDescent="0.35">
      <c r="A6" s="116" t="s">
        <v>8</v>
      </c>
      <c r="B6" s="109"/>
      <c r="C6" s="117" t="s">
        <v>1850</v>
      </c>
      <c r="D6" s="109"/>
      <c r="E6" s="117" t="s">
        <v>9</v>
      </c>
      <c r="F6" s="117"/>
      <c r="G6" s="109"/>
      <c r="H6" s="117" t="s">
        <v>3</v>
      </c>
      <c r="I6" s="115" t="s">
        <v>10</v>
      </c>
    </row>
    <row r="7" spans="1:9" x14ac:dyDescent="0.35">
      <c r="A7" s="108"/>
      <c r="B7" s="109"/>
      <c r="C7" s="109"/>
      <c r="D7" s="109"/>
      <c r="E7" s="109"/>
      <c r="F7" s="109"/>
      <c r="G7" s="109"/>
      <c r="H7" s="109"/>
      <c r="I7" s="115"/>
    </row>
    <row r="8" spans="1:9" x14ac:dyDescent="0.35">
      <c r="A8" s="116" t="s">
        <v>11</v>
      </c>
      <c r="B8" s="109"/>
      <c r="C8" s="117" t="s">
        <v>1848</v>
      </c>
      <c r="D8" s="109"/>
      <c r="E8" s="117" t="s">
        <v>12</v>
      </c>
      <c r="F8" s="117"/>
      <c r="G8" s="109"/>
      <c r="H8" s="109" t="s">
        <v>13</v>
      </c>
      <c r="I8" s="120">
        <v>321</v>
      </c>
    </row>
    <row r="9" spans="1:9" x14ac:dyDescent="0.35">
      <c r="A9" s="108"/>
      <c r="B9" s="109"/>
      <c r="C9" s="109"/>
      <c r="D9" s="109"/>
      <c r="E9" s="109"/>
      <c r="F9" s="109"/>
      <c r="G9" s="109"/>
      <c r="H9" s="109"/>
      <c r="I9" s="115"/>
    </row>
    <row r="10" spans="1:9" x14ac:dyDescent="0.35">
      <c r="A10" s="116" t="s">
        <v>14</v>
      </c>
      <c r="B10" s="109"/>
      <c r="C10" s="117" t="s">
        <v>1852</v>
      </c>
      <c r="D10" s="109"/>
      <c r="E10" s="117" t="s">
        <v>15</v>
      </c>
      <c r="F10" s="117" t="s">
        <v>1849</v>
      </c>
      <c r="G10" s="109"/>
      <c r="H10" s="109" t="s">
        <v>16</v>
      </c>
      <c r="I10" s="118" t="s">
        <v>1848</v>
      </c>
    </row>
    <row r="11" spans="1:9" x14ac:dyDescent="0.35">
      <c r="A11" s="121"/>
      <c r="B11" s="122"/>
      <c r="C11" s="122"/>
      <c r="D11" s="122"/>
      <c r="E11" s="122"/>
      <c r="F11" s="122"/>
      <c r="G11" s="122"/>
      <c r="H11" s="122"/>
      <c r="I11" s="119"/>
    </row>
    <row r="12" spans="1:9" ht="23" x14ac:dyDescent="0.35">
      <c r="A12" s="123" t="s">
        <v>17</v>
      </c>
      <c r="B12" s="123"/>
      <c r="C12" s="123"/>
      <c r="D12" s="123"/>
      <c r="E12" s="123"/>
      <c r="F12" s="123"/>
      <c r="G12" s="123"/>
      <c r="H12" s="123"/>
      <c r="I12" s="123"/>
    </row>
    <row r="13" spans="1:9" ht="25" x14ac:dyDescent="0.35">
      <c r="A13" s="6" t="s">
        <v>18</v>
      </c>
      <c r="B13" s="124" t="s">
        <v>19</v>
      </c>
      <c r="C13" s="125"/>
      <c r="D13" s="7" t="s">
        <v>20</v>
      </c>
      <c r="E13" s="124" t="s">
        <v>21</v>
      </c>
      <c r="F13" s="125"/>
      <c r="G13" s="7" t="s">
        <v>22</v>
      </c>
      <c r="H13" s="124" t="s">
        <v>23</v>
      </c>
      <c r="I13" s="125"/>
    </row>
    <row r="14" spans="1:9" ht="15.5" x14ac:dyDescent="0.35">
      <c r="A14" s="8" t="s">
        <v>24</v>
      </c>
      <c r="B14" s="97" t="s">
        <v>25</v>
      </c>
      <c r="C14" s="98">
        <f>'Krycí list rozpočtu (D11-D14)'!C14+'Krycí list rozpočtu (D14c)'!C14+'Krycí list rozpočtu (D14d)'!C14+'Krycí list rozpočtu (VORN)'!C14</f>
        <v>0</v>
      </c>
      <c r="D14" s="126" t="s">
        <v>26</v>
      </c>
      <c r="E14" s="127"/>
      <c r="F14" s="98">
        <f>'Krycí list rozpočtu (D11-D14)'!F14+'Krycí list rozpočtu (D14c)'!F14+'Krycí list rozpočtu (D14d)'!F14+'Krycí list rozpočtu (VORN)'!F14</f>
        <v>0</v>
      </c>
      <c r="G14" s="126" t="s">
        <v>27</v>
      </c>
      <c r="H14" s="127"/>
      <c r="I14" s="99">
        <f>'Krycí list rozpočtu (D11-D14)'!I14+'Krycí list rozpočtu (D14c)'!I14+'Krycí list rozpočtu (D14d)'!I14+'Krycí list rozpočtu (VORN)'!I14</f>
        <v>0</v>
      </c>
    </row>
    <row r="15" spans="1:9" ht="15.5" x14ac:dyDescent="0.35">
      <c r="A15" s="12" t="s">
        <v>10</v>
      </c>
      <c r="B15" s="97" t="s">
        <v>28</v>
      </c>
      <c r="C15" s="98">
        <f>'Krycí list rozpočtu (D11-D14)'!C15+'Krycí list rozpočtu (D14c)'!C15+'Krycí list rozpočtu (D14d)'!C15+'Krycí list rozpočtu (VORN)'!C15</f>
        <v>0</v>
      </c>
      <c r="D15" s="126" t="s">
        <v>29</v>
      </c>
      <c r="E15" s="127"/>
      <c r="F15" s="98">
        <f>'Krycí list rozpočtu (D11-D14)'!F15+'Krycí list rozpočtu (D14c)'!F15+'Krycí list rozpočtu (D14d)'!F15++'Krycí list rozpočtu (VORN)'!F15</f>
        <v>0</v>
      </c>
      <c r="G15" s="126" t="s">
        <v>30</v>
      </c>
      <c r="H15" s="127"/>
      <c r="I15" s="99">
        <f>'Krycí list rozpočtu (D11-D14)'!I15+'Krycí list rozpočtu (D14c)'!I15+'Krycí list rozpočtu (D14d)'!I15+'Krycí list rozpočtu (VORN)'!I15</f>
        <v>0</v>
      </c>
    </row>
    <row r="16" spans="1:9" ht="15.5" x14ac:dyDescent="0.35">
      <c r="A16" s="8" t="s">
        <v>31</v>
      </c>
      <c r="B16" s="97" t="s">
        <v>25</v>
      </c>
      <c r="C16" s="98">
        <f>'Krycí list rozpočtu (D11-D14)'!C16+'Krycí list rozpočtu (D14c)'!C16+'Krycí list rozpočtu (D14d)'!C16+'Krycí list rozpočtu (VORN)'!C16</f>
        <v>0</v>
      </c>
      <c r="D16" s="126" t="s">
        <v>32</v>
      </c>
      <c r="E16" s="127"/>
      <c r="F16" s="98">
        <f>'Krycí list rozpočtu (D11-D14)'!F16+'Krycí list rozpočtu (D14c)'!F16+'Krycí list rozpočtu (D14d)'!F16+'Krycí list rozpočtu (VORN)'!F16</f>
        <v>0</v>
      </c>
      <c r="G16" s="126" t="s">
        <v>33</v>
      </c>
      <c r="H16" s="127"/>
      <c r="I16" s="99">
        <f>'Krycí list rozpočtu (D11-D14)'!I16+'Krycí list rozpočtu (D14c)'!I16+'Krycí list rozpočtu (D14d)'!I16+'Krycí list rozpočtu (VORN)'!I16</f>
        <v>0</v>
      </c>
    </row>
    <row r="17" spans="1:9" ht="15.5" x14ac:dyDescent="0.35">
      <c r="A17" s="12" t="s">
        <v>10</v>
      </c>
      <c r="B17" s="97" t="s">
        <v>28</v>
      </c>
      <c r="C17" s="98">
        <f>'Krycí list rozpočtu (D11-D14)'!C17+'Krycí list rozpočtu (D14c)'!C17+'Krycí list rozpočtu (D14d)'!C17+'Krycí list rozpočtu (VORN)'!C17</f>
        <v>0</v>
      </c>
      <c r="D17" s="126" t="s">
        <v>10</v>
      </c>
      <c r="E17" s="127"/>
      <c r="F17" s="99" t="s">
        <v>10</v>
      </c>
      <c r="G17" s="126" t="s">
        <v>34</v>
      </c>
      <c r="H17" s="127"/>
      <c r="I17" s="99">
        <f>'Krycí list rozpočtu (D11-D14)'!I17+'Krycí list rozpočtu (D14c)'!I17+'Krycí list rozpočtu (D14d)'!I17+'Krycí list rozpočtu (VORN)'!I17</f>
        <v>0</v>
      </c>
    </row>
    <row r="18" spans="1:9" ht="15.5" x14ac:dyDescent="0.35">
      <c r="A18" s="8" t="s">
        <v>35</v>
      </c>
      <c r="B18" s="97" t="s">
        <v>25</v>
      </c>
      <c r="C18" s="98">
        <f>'Krycí list rozpočtu (D11-D14)'!C18+'Krycí list rozpočtu (D14c)'!C18+'Krycí list rozpočtu (D14d)'!C18+'Krycí list rozpočtu (VORN)'!C18</f>
        <v>0</v>
      </c>
      <c r="D18" s="126" t="s">
        <v>10</v>
      </c>
      <c r="E18" s="127"/>
      <c r="F18" s="99" t="s">
        <v>10</v>
      </c>
      <c r="G18" s="126" t="s">
        <v>36</v>
      </c>
      <c r="H18" s="127"/>
      <c r="I18" s="99">
        <f>'Krycí list rozpočtu (D11-D14)'!I18+'Krycí list rozpočtu (D14c)'!I18+'Krycí list rozpočtu (D14d)'!I18+'Krycí list rozpočtu (VORN)'!I18</f>
        <v>0</v>
      </c>
    </row>
    <row r="19" spans="1:9" ht="15.5" x14ac:dyDescent="0.35">
      <c r="A19" s="12" t="s">
        <v>10</v>
      </c>
      <c r="B19" s="97" t="s">
        <v>28</v>
      </c>
      <c r="C19" s="98">
        <f>'Krycí list rozpočtu (D11-D14)'!C19+'Krycí list rozpočtu (D14c)'!C19+'Krycí list rozpočtu (D14d)'!C19+'Krycí list rozpočtu (VORN)'!C19</f>
        <v>0</v>
      </c>
      <c r="D19" s="126" t="s">
        <v>10</v>
      </c>
      <c r="E19" s="127"/>
      <c r="F19" s="99" t="s">
        <v>10</v>
      </c>
      <c r="G19" s="126" t="s">
        <v>37</v>
      </c>
      <c r="H19" s="127"/>
      <c r="I19" s="99">
        <f>'Krycí list rozpočtu (D11-D14)'!I19+'Krycí list rozpočtu (D14c)'!I19+'Krycí list rozpočtu (D14d)'!I19+'Krycí list rozpočtu (VORN)'!I19</f>
        <v>0</v>
      </c>
    </row>
    <row r="20" spans="1:9" ht="15.5" x14ac:dyDescent="0.35">
      <c r="A20" s="128" t="s">
        <v>38</v>
      </c>
      <c r="B20" s="129"/>
      <c r="C20" s="98">
        <f>'Krycí list rozpočtu (D11-D14)'!C20+'Krycí list rozpočtu (D14c)'!C20+'Krycí list rozpočtu (D14d)'!C20+'Krycí list rozpočtu (VORN)'!C20</f>
        <v>0</v>
      </c>
      <c r="D20" s="126" t="s">
        <v>10</v>
      </c>
      <c r="E20" s="127"/>
      <c r="F20" s="99" t="s">
        <v>10</v>
      </c>
      <c r="G20" s="126" t="s">
        <v>10</v>
      </c>
      <c r="H20" s="127"/>
      <c r="I20" s="99" t="s">
        <v>10</v>
      </c>
    </row>
    <row r="21" spans="1:9" ht="15.5" x14ac:dyDescent="0.35">
      <c r="A21" s="133" t="s">
        <v>39</v>
      </c>
      <c r="B21" s="134"/>
      <c r="C21" s="100">
        <f>'Krycí list rozpočtu (D11-D14)'!C21+'Krycí list rozpočtu (D14c)'!C21+'Krycí list rozpočtu (D14d)'!C21+'Krycí list rozpočtu (VORN)'!C21</f>
        <v>0</v>
      </c>
      <c r="D21" s="135" t="s">
        <v>10</v>
      </c>
      <c r="E21" s="136"/>
      <c r="F21" s="101" t="s">
        <v>10</v>
      </c>
      <c r="G21" s="135" t="s">
        <v>10</v>
      </c>
      <c r="H21" s="136"/>
      <c r="I21" s="101" t="s">
        <v>10</v>
      </c>
    </row>
    <row r="22" spans="1:9" ht="15.5" x14ac:dyDescent="0.35">
      <c r="A22" s="137" t="s">
        <v>40</v>
      </c>
      <c r="B22" s="138"/>
      <c r="C22" s="15">
        <f>'Krycí list rozpočtu (D11-D14)'!C22+'Krycí list rozpočtu (D14c)'!C22+'Krycí list rozpočtu (D14d)'!C22+'Krycí list rozpočtu (VORN)'!C22</f>
        <v>0</v>
      </c>
      <c r="D22" s="139" t="s">
        <v>41</v>
      </c>
      <c r="E22" s="138"/>
      <c r="F22" s="15">
        <f>SUM(F14:F21)</f>
        <v>0</v>
      </c>
      <c r="G22" s="139" t="s">
        <v>42</v>
      </c>
      <c r="H22" s="138"/>
      <c r="I22" s="15">
        <f>SUM(I14:I21)</f>
        <v>0</v>
      </c>
    </row>
    <row r="23" spans="1:9" ht="15.5" x14ac:dyDescent="0.35">
      <c r="D23" s="128" t="s">
        <v>1969</v>
      </c>
      <c r="E23" s="129"/>
      <c r="F23" s="98">
        <f>'Krycí list rozpočtu (D11-D14)'!F22+'Krycí list rozpočtu (D14c)'!F22+'Krycí list rozpočtu (D14d)'!F22+'Krycí list rozpočtu (VORN)'!F22</f>
        <v>0</v>
      </c>
      <c r="G23" s="140" t="s">
        <v>1970</v>
      </c>
      <c r="H23" s="129"/>
      <c r="I23" s="98">
        <f>'Krycí list rozpočtu (D11-D14)'!I22+'Krycí list rozpočtu (D14c)'!I22+'Krycí list rozpočtu (D14d)'!I22+'Krycí list rozpočtu (VORN)'!I22</f>
        <v>0</v>
      </c>
    </row>
    <row r="24" spans="1:9" ht="15.5" x14ac:dyDescent="0.35">
      <c r="G24" s="128" t="s">
        <v>43</v>
      </c>
      <c r="H24" s="129"/>
      <c r="I24" s="100">
        <f>I25</f>
        <v>0</v>
      </c>
    </row>
    <row r="25" spans="1:9" ht="15.5" x14ac:dyDescent="0.35">
      <c r="G25" s="128" t="s">
        <v>1971</v>
      </c>
      <c r="H25" s="129"/>
      <c r="I25" s="15">
        <f>'Krycí list rozpočtu (D11-D14)'!I23+'Krycí list rozpočtu (D14c)'!I23+'Krycí list rozpočtu (D14d)'!I23+'Krycí list rozpočtu (VORN)'!I23</f>
        <v>0</v>
      </c>
    </row>
    <row r="27" spans="1:9" ht="15.5" x14ac:dyDescent="0.35">
      <c r="A27" s="141" t="s">
        <v>44</v>
      </c>
      <c r="B27" s="132"/>
      <c r="C27" s="102">
        <f>'Krycí list rozpočtu (D11-D14)'!C25+'Krycí list rozpočtu (D14c)'!C25+'Krycí list rozpočtu (D14d)'!C25+'Krycí list rozpočtu (VORN)'!C25</f>
        <v>0</v>
      </c>
    </row>
    <row r="28" spans="1:9" ht="15.5" x14ac:dyDescent="0.35">
      <c r="A28" s="130" t="s">
        <v>45</v>
      </c>
      <c r="B28" s="131"/>
      <c r="C28" s="17">
        <f>'Krycí list rozpočtu (D11-D14)'!C26+'Krycí list rozpočtu (D14c)'!C26+'Krycí list rozpočtu (D14d)'!C26+'Krycí list rozpočtu (VORN)'!C26</f>
        <v>0</v>
      </c>
      <c r="D28" s="132" t="s">
        <v>46</v>
      </c>
      <c r="E28" s="132"/>
      <c r="F28" s="102">
        <f>ROUND(C28*(12/100),2)</f>
        <v>0</v>
      </c>
      <c r="G28" s="132" t="s">
        <v>47</v>
      </c>
      <c r="H28" s="132"/>
      <c r="I28" s="102">
        <f>ROUND(SUM(C27:C29),2)</f>
        <v>0</v>
      </c>
    </row>
    <row r="29" spans="1:9" ht="15.5" x14ac:dyDescent="0.35">
      <c r="A29" s="130" t="s">
        <v>48</v>
      </c>
      <c r="B29" s="131"/>
      <c r="C29" s="17">
        <f>'Krycí list rozpočtu (D11-D14)'!C27+'Krycí list rozpočtu (D14c)'!C27+'Krycí list rozpočtu (D14d)'!C27+'Krycí list rozpočtu (VORN)'!C27</f>
        <v>0</v>
      </c>
      <c r="D29" s="131" t="s">
        <v>49</v>
      </c>
      <c r="E29" s="131"/>
      <c r="F29" s="17">
        <f>ROUND(C29*(21/100),2)</f>
        <v>0</v>
      </c>
      <c r="G29" s="131" t="s">
        <v>50</v>
      </c>
      <c r="H29" s="131"/>
      <c r="I29" s="17">
        <f>ROUND(SUM(F28:F29)+I28,2)</f>
        <v>0</v>
      </c>
    </row>
    <row r="30" spans="1:9" ht="15" thickBot="1" x14ac:dyDescent="0.4"/>
    <row r="31" spans="1:9" ht="15.5" x14ac:dyDescent="0.35">
      <c r="A31" s="142" t="s">
        <v>51</v>
      </c>
      <c r="B31" s="143"/>
      <c r="C31" s="144"/>
      <c r="D31" s="143" t="s">
        <v>52</v>
      </c>
      <c r="E31" s="143"/>
      <c r="F31" s="144"/>
      <c r="G31" s="143" t="s">
        <v>53</v>
      </c>
      <c r="H31" s="143"/>
      <c r="I31" s="144"/>
    </row>
    <row r="32" spans="1:9" ht="15.5" x14ac:dyDescent="0.35">
      <c r="A32" s="145" t="s">
        <v>10</v>
      </c>
      <c r="B32" s="135"/>
      <c r="C32" s="146"/>
      <c r="D32" s="135" t="s">
        <v>10</v>
      </c>
      <c r="E32" s="135"/>
      <c r="F32" s="146"/>
      <c r="G32" s="135" t="s">
        <v>10</v>
      </c>
      <c r="H32" s="135"/>
      <c r="I32" s="146"/>
    </row>
    <row r="33" spans="1:9" ht="15.5" x14ac:dyDescent="0.35">
      <c r="A33" s="145" t="s">
        <v>10</v>
      </c>
      <c r="B33" s="135"/>
      <c r="C33" s="146"/>
      <c r="D33" s="135" t="s">
        <v>10</v>
      </c>
      <c r="E33" s="135"/>
      <c r="F33" s="146"/>
      <c r="G33" s="135" t="s">
        <v>10</v>
      </c>
      <c r="H33" s="135"/>
      <c r="I33" s="146"/>
    </row>
    <row r="34" spans="1:9" ht="15.5" x14ac:dyDescent="0.35">
      <c r="A34" s="145" t="s">
        <v>10</v>
      </c>
      <c r="B34" s="135"/>
      <c r="C34" s="146"/>
      <c r="D34" s="135" t="s">
        <v>10</v>
      </c>
      <c r="E34" s="135"/>
      <c r="F34" s="146"/>
      <c r="G34" s="135" t="s">
        <v>10</v>
      </c>
      <c r="H34" s="135"/>
      <c r="I34" s="146"/>
    </row>
    <row r="35" spans="1:9" ht="16" thickBot="1" x14ac:dyDescent="0.4">
      <c r="A35" s="147" t="s">
        <v>54</v>
      </c>
      <c r="B35" s="148"/>
      <c r="C35" s="149"/>
      <c r="D35" s="148" t="s">
        <v>54</v>
      </c>
      <c r="E35" s="148"/>
      <c r="F35" s="149"/>
      <c r="G35" s="148" t="s">
        <v>54</v>
      </c>
      <c r="H35" s="148"/>
      <c r="I35" s="149"/>
    </row>
    <row r="36" spans="1:9" x14ac:dyDescent="0.35">
      <c r="A36" s="103" t="s">
        <v>55</v>
      </c>
    </row>
    <row r="37" spans="1:9" x14ac:dyDescent="0.35">
      <c r="A37" s="117" t="s">
        <v>10</v>
      </c>
      <c r="B37" s="109"/>
      <c r="C37" s="109"/>
      <c r="D37" s="109"/>
      <c r="E37" s="109"/>
      <c r="F37" s="109"/>
      <c r="G37" s="109"/>
      <c r="H37" s="109"/>
      <c r="I37" s="109"/>
    </row>
  </sheetData>
  <sheetProtection password="E512" sheet="1" objects="1" scenarios="1"/>
  <mergeCells count="83">
    <mergeCell ref="A37:I37"/>
    <mergeCell ref="A34:C34"/>
    <mergeCell ref="D34:F34"/>
    <mergeCell ref="G34:I34"/>
    <mergeCell ref="A35:C35"/>
    <mergeCell ref="D35:F35"/>
    <mergeCell ref="G35:I35"/>
    <mergeCell ref="A32:C32"/>
    <mergeCell ref="D32:F32"/>
    <mergeCell ref="G32:I32"/>
    <mergeCell ref="A33:C33"/>
    <mergeCell ref="D33:F33"/>
    <mergeCell ref="G33:I33"/>
    <mergeCell ref="A29:B29"/>
    <mergeCell ref="D29:E29"/>
    <mergeCell ref="G29:H29"/>
    <mergeCell ref="A31:C31"/>
    <mergeCell ref="D31:F31"/>
    <mergeCell ref="G31:I31"/>
    <mergeCell ref="A28:B28"/>
    <mergeCell ref="D28:E28"/>
    <mergeCell ref="G28:H28"/>
    <mergeCell ref="A21:B21"/>
    <mergeCell ref="D21:E21"/>
    <mergeCell ref="G21:H21"/>
    <mergeCell ref="A22:B22"/>
    <mergeCell ref="D22:E22"/>
    <mergeCell ref="G22:H22"/>
    <mergeCell ref="D23:E23"/>
    <mergeCell ref="G23:H23"/>
    <mergeCell ref="G24:H24"/>
    <mergeCell ref="G25:H25"/>
    <mergeCell ref="A27:B27"/>
    <mergeCell ref="D18:E18"/>
    <mergeCell ref="G18:H18"/>
    <mergeCell ref="D19:E19"/>
    <mergeCell ref="G19:H19"/>
    <mergeCell ref="A20:B20"/>
    <mergeCell ref="D20:E20"/>
    <mergeCell ref="G20:H20"/>
    <mergeCell ref="D15:E15"/>
    <mergeCell ref="G15:H15"/>
    <mergeCell ref="D16:E16"/>
    <mergeCell ref="G16:H16"/>
    <mergeCell ref="D17:E17"/>
    <mergeCell ref="G17:H17"/>
    <mergeCell ref="A12:I12"/>
    <mergeCell ref="B13:C13"/>
    <mergeCell ref="E13:F13"/>
    <mergeCell ref="H13:I13"/>
    <mergeCell ref="D14:E14"/>
    <mergeCell ref="G14:H14"/>
    <mergeCell ref="I10:I11"/>
    <mergeCell ref="A8:B9"/>
    <mergeCell ref="C8:D9"/>
    <mergeCell ref="E8:E9"/>
    <mergeCell ref="F8:G9"/>
    <mergeCell ref="H8:H9"/>
    <mergeCell ref="I8:I9"/>
    <mergeCell ref="A10:B11"/>
    <mergeCell ref="C10:D11"/>
    <mergeCell ref="E10:E11"/>
    <mergeCell ref="F10:G11"/>
    <mergeCell ref="H10:H11"/>
    <mergeCell ref="I6:I7"/>
    <mergeCell ref="A4:B5"/>
    <mergeCell ref="C4:D5"/>
    <mergeCell ref="E4:E5"/>
    <mergeCell ref="F4:G5"/>
    <mergeCell ref="H4:H5"/>
    <mergeCell ref="I4:I5"/>
    <mergeCell ref="A6:B7"/>
    <mergeCell ref="C6:D7"/>
    <mergeCell ref="E6:E7"/>
    <mergeCell ref="F6:G7"/>
    <mergeCell ref="H6:H7"/>
    <mergeCell ref="A1:I1"/>
    <mergeCell ref="A2:B3"/>
    <mergeCell ref="C2:D3"/>
    <mergeCell ref="E2:E3"/>
    <mergeCell ref="F2:G3"/>
    <mergeCell ref="H2:H3"/>
    <mergeCell ref="I2:I3"/>
  </mergeCells>
  <pageMargins left="0.39370078740157483" right="0.39370078740157483" top="0.59055118110236227" bottom="0.59055118110236227" header="0.31496062992125984" footer="0.31496062992125984"/>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45"/>
  <sheetViews>
    <sheetView workbookViewId="0">
      <pane ySplit="11" topLeftCell="A12" activePane="bottomLeft" state="frozen"/>
      <selection activeCell="D43" sqref="D43:M43"/>
      <selection pane="bottomLeft" activeCell="Q33" sqref="Q33"/>
    </sheetView>
  </sheetViews>
  <sheetFormatPr defaultColWidth="12.1796875" defaultRowHeight="15" customHeight="1" x14ac:dyDescent="0.35"/>
  <cols>
    <col min="1" max="1" width="3.1796875" customWidth="1"/>
    <col min="2" max="2" width="7.7265625" customWidth="1"/>
    <col min="3" max="3" width="17.81640625" customWidth="1"/>
    <col min="4" max="4" width="42.81640625" customWidth="1"/>
    <col min="5" max="5" width="35.7265625" customWidth="1"/>
    <col min="6" max="6" width="10.453125" customWidth="1"/>
    <col min="7" max="7" width="12.81640625" customWidth="1"/>
    <col min="8" max="8" width="12" customWidth="1"/>
    <col min="9" max="9" width="15.7265625" customWidth="1"/>
    <col min="10" max="12" width="11.7265625" customWidth="1"/>
    <col min="13" max="13" width="17.7265625" customWidth="1"/>
    <col min="25" max="75" width="12.1796875" hidden="1"/>
    <col min="76" max="76" width="78.54296875" hidden="1" customWidth="1"/>
    <col min="77" max="78" width="12.1796875" hidden="1"/>
  </cols>
  <sheetData>
    <row r="1" spans="1:76" ht="54.75" customHeight="1" x14ac:dyDescent="0.35">
      <c r="A1" s="151" t="s">
        <v>1741</v>
      </c>
      <c r="B1" s="151"/>
      <c r="C1" s="151"/>
      <c r="D1" s="151"/>
      <c r="E1" s="151"/>
      <c r="F1" s="151"/>
      <c r="G1" s="151"/>
      <c r="H1" s="151"/>
      <c r="I1" s="151"/>
      <c r="J1" s="151"/>
      <c r="K1" s="151"/>
      <c r="L1" s="151"/>
      <c r="M1" s="151"/>
      <c r="AS1" s="27">
        <f>SUM(AJ1:AJ2)</f>
        <v>0</v>
      </c>
      <c r="AT1" s="27">
        <f>SUM(AK1:AK2)</f>
        <v>0</v>
      </c>
      <c r="AU1" s="27">
        <f>SUM(AL1:AL2)</f>
        <v>0</v>
      </c>
    </row>
    <row r="2" spans="1:76" ht="14.5" x14ac:dyDescent="0.35">
      <c r="A2" s="106" t="s">
        <v>1</v>
      </c>
      <c r="B2" s="107"/>
      <c r="C2" s="107"/>
      <c r="D2" s="110" t="str">
        <f>'Stavební rozpočet'!C2</f>
        <v>SOŠ,SOU Třešť - Rekonstrukce 4NP DM</v>
      </c>
      <c r="E2" s="111"/>
      <c r="F2" s="107" t="s">
        <v>69</v>
      </c>
      <c r="G2" s="107"/>
      <c r="H2" s="113" t="str">
        <f>'Stavební rozpočet'!F2</f>
        <v xml:space="preserve"> </v>
      </c>
      <c r="I2" s="113" t="s">
        <v>2</v>
      </c>
      <c r="J2" s="107"/>
      <c r="K2" s="113" t="str">
        <f>'Stavební rozpočet'!I2</f>
        <v>Kraj Vysočina</v>
      </c>
      <c r="L2" s="107"/>
      <c r="M2" s="114"/>
    </row>
    <row r="3" spans="1:76" ht="14.5" x14ac:dyDescent="0.35">
      <c r="A3" s="152"/>
      <c r="B3" s="153"/>
      <c r="C3" s="153"/>
      <c r="D3" s="158"/>
      <c r="E3" s="158"/>
      <c r="F3" s="153"/>
      <c r="G3" s="153"/>
      <c r="H3" s="153"/>
      <c r="I3" s="153"/>
      <c r="J3" s="153"/>
      <c r="K3" s="153"/>
      <c r="L3" s="153"/>
      <c r="M3" s="156"/>
    </row>
    <row r="4" spans="1:76" ht="14.5" x14ac:dyDescent="0.35">
      <c r="A4" s="154" t="s">
        <v>5</v>
      </c>
      <c r="B4" s="153"/>
      <c r="C4" s="153"/>
      <c r="D4" s="155" t="str">
        <f>'Stavební rozpočet'!C4</f>
        <v xml:space="preserve"> </v>
      </c>
      <c r="E4" s="153"/>
      <c r="F4" s="153" t="s">
        <v>11</v>
      </c>
      <c r="G4" s="153"/>
      <c r="H4" s="155" t="str">
        <f>'Stavební rozpočet'!F4</f>
        <v>22.01.2025</v>
      </c>
      <c r="I4" s="155" t="s">
        <v>6</v>
      </c>
      <c r="J4" s="153"/>
      <c r="K4" s="155" t="str">
        <f>'Stavební rozpočet'!I4</f>
        <v>Ing. Miroslav Korecký</v>
      </c>
      <c r="L4" s="153"/>
      <c r="M4" s="156"/>
    </row>
    <row r="5" spans="1:76" ht="14.5" x14ac:dyDescent="0.35">
      <c r="A5" s="152"/>
      <c r="B5" s="153"/>
      <c r="C5" s="153"/>
      <c r="D5" s="153"/>
      <c r="E5" s="153"/>
      <c r="F5" s="153"/>
      <c r="G5" s="153"/>
      <c r="H5" s="153"/>
      <c r="I5" s="153"/>
      <c r="J5" s="153"/>
      <c r="K5" s="153"/>
      <c r="L5" s="153"/>
      <c r="M5" s="156"/>
    </row>
    <row r="6" spans="1:76" ht="14.5" x14ac:dyDescent="0.35">
      <c r="A6" s="154" t="s">
        <v>8</v>
      </c>
      <c r="B6" s="153"/>
      <c r="C6" s="153"/>
      <c r="D6" s="155" t="str">
        <f>'Stavební rozpočet'!C6</f>
        <v>Domov mládeže - Rekonstrukce 4NP</v>
      </c>
      <c r="E6" s="153"/>
      <c r="F6" s="153" t="s">
        <v>12</v>
      </c>
      <c r="G6" s="153"/>
      <c r="H6" s="155" t="str">
        <f>'Stavební rozpočet'!F6</f>
        <v xml:space="preserve"> </v>
      </c>
      <c r="I6" s="155" t="s">
        <v>9</v>
      </c>
      <c r="J6" s="153"/>
      <c r="K6" s="155" t="str">
        <f>'Stavební rozpočet'!I6</f>
        <v> </v>
      </c>
      <c r="L6" s="153"/>
      <c r="M6" s="156"/>
    </row>
    <row r="7" spans="1:76" ht="14.5" x14ac:dyDescent="0.35">
      <c r="A7" s="152"/>
      <c r="B7" s="153"/>
      <c r="C7" s="153"/>
      <c r="D7" s="153"/>
      <c r="E7" s="153"/>
      <c r="F7" s="153"/>
      <c r="G7" s="153"/>
      <c r="H7" s="153"/>
      <c r="I7" s="153"/>
      <c r="J7" s="153"/>
      <c r="K7" s="153"/>
      <c r="L7" s="153"/>
      <c r="M7" s="156"/>
    </row>
    <row r="8" spans="1:76" ht="14.5" x14ac:dyDescent="0.35">
      <c r="A8" s="154" t="s">
        <v>14</v>
      </c>
      <c r="B8" s="153"/>
      <c r="C8" s="153"/>
      <c r="D8" s="155" t="str">
        <f>'Stavební rozpočet'!C8</f>
        <v>801753</v>
      </c>
      <c r="E8" s="153"/>
      <c r="F8" s="153" t="s">
        <v>70</v>
      </c>
      <c r="G8" s="153"/>
      <c r="H8" s="155" t="str">
        <f>'Stavební rozpočet'!F8</f>
        <v>22.01.2025</v>
      </c>
      <c r="I8" s="155" t="s">
        <v>15</v>
      </c>
      <c r="J8" s="153"/>
      <c r="K8" s="155" t="str">
        <f>'Stavební rozpočet'!I8</f>
        <v>Ing. Miroslav Korecký</v>
      </c>
      <c r="L8" s="153"/>
      <c r="M8" s="156"/>
    </row>
    <row r="9" spans="1:76" ht="14.5" x14ac:dyDescent="0.35">
      <c r="A9" s="197"/>
      <c r="B9" s="198"/>
      <c r="C9" s="198"/>
      <c r="D9" s="198"/>
      <c r="E9" s="198"/>
      <c r="F9" s="198"/>
      <c r="G9" s="198"/>
      <c r="H9" s="198"/>
      <c r="I9" s="198"/>
      <c r="J9" s="198"/>
      <c r="K9" s="198"/>
      <c r="L9" s="198"/>
      <c r="M9" s="208"/>
    </row>
    <row r="10" spans="1:76" ht="14.5" x14ac:dyDescent="0.35">
      <c r="A10" s="28" t="s">
        <v>71</v>
      </c>
      <c r="B10" s="29" t="s">
        <v>72</v>
      </c>
      <c r="C10" s="29" t="s">
        <v>73</v>
      </c>
      <c r="D10" s="209" t="s">
        <v>74</v>
      </c>
      <c r="E10" s="210"/>
      <c r="F10" s="29" t="s">
        <v>75</v>
      </c>
      <c r="G10" s="30" t="s">
        <v>76</v>
      </c>
      <c r="H10" s="31" t="s">
        <v>77</v>
      </c>
      <c r="I10" s="32" t="s">
        <v>78</v>
      </c>
      <c r="J10" s="201" t="s">
        <v>79</v>
      </c>
      <c r="K10" s="202"/>
      <c r="L10" s="203"/>
      <c r="M10" s="33" t="s">
        <v>80</v>
      </c>
      <c r="BK10" s="34" t="s">
        <v>81</v>
      </c>
      <c r="BL10" s="35" t="s">
        <v>82</v>
      </c>
      <c r="BW10" s="35" t="s">
        <v>83</v>
      </c>
    </row>
    <row r="11" spans="1:76" ht="14.5" x14ac:dyDescent="0.35">
      <c r="A11" s="36" t="s">
        <v>84</v>
      </c>
      <c r="B11" s="37" t="s">
        <v>84</v>
      </c>
      <c r="C11" s="37" t="s">
        <v>84</v>
      </c>
      <c r="D11" s="199" t="s">
        <v>85</v>
      </c>
      <c r="E11" s="200"/>
      <c r="F11" s="37" t="s">
        <v>84</v>
      </c>
      <c r="G11" s="37" t="s">
        <v>84</v>
      </c>
      <c r="H11" s="38" t="s">
        <v>86</v>
      </c>
      <c r="I11" s="39" t="s">
        <v>87</v>
      </c>
      <c r="J11" s="40" t="s">
        <v>88</v>
      </c>
      <c r="K11" s="41" t="s">
        <v>89</v>
      </c>
      <c r="L11" s="42" t="s">
        <v>87</v>
      </c>
      <c r="M11" s="43" t="s">
        <v>90</v>
      </c>
      <c r="Z11" s="34" t="s">
        <v>91</v>
      </c>
      <c r="AA11" s="34" t="s">
        <v>92</v>
      </c>
      <c r="AB11" s="34" t="s">
        <v>93</v>
      </c>
      <c r="AC11" s="34" t="s">
        <v>94</v>
      </c>
      <c r="AD11" s="34" t="s">
        <v>95</v>
      </c>
      <c r="AE11" s="34" t="s">
        <v>96</v>
      </c>
      <c r="AF11" s="34" t="s">
        <v>97</v>
      </c>
      <c r="AG11" s="34" t="s">
        <v>98</v>
      </c>
      <c r="AH11" s="34" t="s">
        <v>99</v>
      </c>
      <c r="BH11" s="34" t="s">
        <v>100</v>
      </c>
      <c r="BI11" s="34" t="s">
        <v>101</v>
      </c>
      <c r="BJ11" s="34" t="s">
        <v>102</v>
      </c>
    </row>
    <row r="12" spans="1:76" ht="14.5" x14ac:dyDescent="0.35">
      <c r="A12" s="44" t="s">
        <v>10</v>
      </c>
      <c r="B12" s="45" t="s">
        <v>1742</v>
      </c>
      <c r="C12" s="45" t="s">
        <v>10</v>
      </c>
      <c r="D12" s="204" t="s">
        <v>1743</v>
      </c>
      <c r="E12" s="205"/>
      <c r="F12" s="46" t="s">
        <v>84</v>
      </c>
      <c r="G12" s="46" t="s">
        <v>84</v>
      </c>
      <c r="H12" s="46" t="s">
        <v>84</v>
      </c>
      <c r="I12" s="47">
        <f>I13</f>
        <v>0</v>
      </c>
      <c r="J12" s="48" t="s">
        <v>10</v>
      </c>
      <c r="K12" s="48" t="s">
        <v>10</v>
      </c>
      <c r="L12" s="47">
        <f>L13</f>
        <v>0</v>
      </c>
      <c r="M12" s="49" t="s">
        <v>10</v>
      </c>
    </row>
    <row r="13" spans="1:76" ht="14.5" x14ac:dyDescent="0.35">
      <c r="A13" s="50" t="s">
        <v>10</v>
      </c>
      <c r="B13" s="51" t="s">
        <v>1742</v>
      </c>
      <c r="C13" s="51" t="s">
        <v>1744</v>
      </c>
      <c r="D13" s="206" t="s">
        <v>1745</v>
      </c>
      <c r="E13" s="207"/>
      <c r="F13" s="52" t="s">
        <v>84</v>
      </c>
      <c r="G13" s="52" t="s">
        <v>84</v>
      </c>
      <c r="H13" s="52" t="s">
        <v>84</v>
      </c>
      <c r="I13" s="27">
        <f>SUM(I14:I42)</f>
        <v>0</v>
      </c>
      <c r="J13" s="34" t="s">
        <v>10</v>
      </c>
      <c r="K13" s="34" t="s">
        <v>10</v>
      </c>
      <c r="L13" s="27">
        <f>SUM(L14:L42)</f>
        <v>0</v>
      </c>
      <c r="M13" s="53" t="s">
        <v>10</v>
      </c>
      <c r="AI13" s="34" t="s">
        <v>1742</v>
      </c>
      <c r="AS13" s="27">
        <f>SUM(AJ14:AJ42)</f>
        <v>0</v>
      </c>
      <c r="AT13" s="27">
        <f>SUM(AK14:AK42)</f>
        <v>0</v>
      </c>
      <c r="AU13" s="27">
        <f>SUM(AL14:AL42)</f>
        <v>0</v>
      </c>
    </row>
    <row r="14" spans="1:76" ht="14.5" x14ac:dyDescent="0.35">
      <c r="A14" s="64" t="s">
        <v>107</v>
      </c>
      <c r="B14" s="65" t="s">
        <v>1742</v>
      </c>
      <c r="C14" s="65" t="s">
        <v>1746</v>
      </c>
      <c r="D14" s="217" t="s">
        <v>1747</v>
      </c>
      <c r="E14" s="218"/>
      <c r="F14" s="65" t="s">
        <v>481</v>
      </c>
      <c r="G14" s="67">
        <f>'Stavební rozpočet'!G802</f>
        <v>1</v>
      </c>
      <c r="H14" s="95">
        <f>'Stavební rozpočet'!H802</f>
        <v>0</v>
      </c>
      <c r="I14" s="67">
        <f t="shared" ref="I14:I40" si="0">G14*H14</f>
        <v>0</v>
      </c>
      <c r="J14" s="67">
        <f>'Stavební rozpočet'!J802</f>
        <v>0</v>
      </c>
      <c r="K14" s="67">
        <f>'Stavební rozpočet'!K802</f>
        <v>0</v>
      </c>
      <c r="L14" s="67">
        <f t="shared" ref="L14:L40" si="1">G14*J14</f>
        <v>0</v>
      </c>
      <c r="M14" s="68" t="s">
        <v>10</v>
      </c>
      <c r="Z14" s="54">
        <f t="shared" ref="Z14:Z40" si="2">IF(AQ14="5",BJ14,0)</f>
        <v>0</v>
      </c>
      <c r="AB14" s="54">
        <f t="shared" ref="AB14:AB40" si="3">IF(AQ14="1",BH14,0)</f>
        <v>0</v>
      </c>
      <c r="AC14" s="54">
        <f t="shared" ref="AC14:AC40" si="4">IF(AQ14="1",BI14,0)</f>
        <v>0</v>
      </c>
      <c r="AD14" s="54">
        <f t="shared" ref="AD14:AD40" si="5">IF(AQ14="7",BH14,0)</f>
        <v>0</v>
      </c>
      <c r="AE14" s="54">
        <f t="shared" ref="AE14:AE40" si="6">IF(AQ14="7",BI14,0)</f>
        <v>0</v>
      </c>
      <c r="AF14" s="54">
        <f t="shared" ref="AF14:AF40" si="7">IF(AQ14="2",BH14,0)</f>
        <v>0</v>
      </c>
      <c r="AG14" s="54">
        <f t="shared" ref="AG14:AG40" si="8">IF(AQ14="2",BI14,0)</f>
        <v>0</v>
      </c>
      <c r="AH14" s="54">
        <f t="shared" ref="AH14:AH40" si="9">IF(AQ14="0",BJ14,0)</f>
        <v>0</v>
      </c>
      <c r="AI14" s="34" t="s">
        <v>1742</v>
      </c>
      <c r="AJ14" s="67">
        <f t="shared" ref="AJ14:AJ40" si="10">IF(AN14=0,I14,0)</f>
        <v>0</v>
      </c>
      <c r="AK14" s="67">
        <f t="shared" ref="AK14:AK40" si="11">IF(AN14=12,I14,0)</f>
        <v>0</v>
      </c>
      <c r="AL14" s="67">
        <f t="shared" ref="AL14:AL40" si="12">IF(AN14=21,I14,0)</f>
        <v>0</v>
      </c>
      <c r="AN14" s="54">
        <v>21</v>
      </c>
      <c r="AO14" s="54">
        <f t="shared" ref="AO14:AO38" si="13">H14*1</f>
        <v>0</v>
      </c>
      <c r="AP14" s="54">
        <f t="shared" ref="AP14:AP38" si="14">H14*(1-1)</f>
        <v>0</v>
      </c>
      <c r="AQ14" s="69" t="s">
        <v>107</v>
      </c>
      <c r="AV14" s="54">
        <f t="shared" ref="AV14:AV40" si="15">AW14+AX14</f>
        <v>0</v>
      </c>
      <c r="AW14" s="54">
        <f t="shared" ref="AW14:AW40" si="16">G14*AO14</f>
        <v>0</v>
      </c>
      <c r="AX14" s="54">
        <f t="shared" ref="AX14:AX40" si="17">G14*AP14</f>
        <v>0</v>
      </c>
      <c r="AY14" s="56" t="s">
        <v>1748</v>
      </c>
      <c r="AZ14" s="56" t="s">
        <v>1749</v>
      </c>
      <c r="BA14" s="34" t="s">
        <v>1750</v>
      </c>
      <c r="BC14" s="54">
        <f t="shared" ref="BC14:BC40" si="18">AW14+AX14</f>
        <v>0</v>
      </c>
      <c r="BD14" s="54">
        <f t="shared" ref="BD14:BD40" si="19">H14/(100-BE14)*100</f>
        <v>0</v>
      </c>
      <c r="BE14" s="54">
        <v>0</v>
      </c>
      <c r="BF14" s="54">
        <f t="shared" ref="BF14:BF40" si="20">L14</f>
        <v>0</v>
      </c>
      <c r="BH14" s="67">
        <f t="shared" ref="BH14:BH40" si="21">G14*AO14</f>
        <v>0</v>
      </c>
      <c r="BI14" s="67">
        <f t="shared" ref="BI14:BI40" si="22">G14*AP14</f>
        <v>0</v>
      </c>
      <c r="BJ14" s="67">
        <f t="shared" ref="BJ14:BJ40" si="23">G14*H14</f>
        <v>0</v>
      </c>
      <c r="BK14" s="67"/>
      <c r="BL14" s="54"/>
      <c r="BW14" s="54">
        <v>21</v>
      </c>
      <c r="BX14" s="66" t="s">
        <v>1747</v>
      </c>
    </row>
    <row r="15" spans="1:76" ht="14.5" x14ac:dyDescent="0.35">
      <c r="A15" s="64" t="s">
        <v>119</v>
      </c>
      <c r="B15" s="65" t="s">
        <v>1742</v>
      </c>
      <c r="C15" s="65" t="s">
        <v>1751</v>
      </c>
      <c r="D15" s="217" t="s">
        <v>1752</v>
      </c>
      <c r="E15" s="218"/>
      <c r="F15" s="65" t="s">
        <v>481</v>
      </c>
      <c r="G15" s="67">
        <f>'Stavební rozpočet'!G803</f>
        <v>1</v>
      </c>
      <c r="H15" s="95">
        <f>'Stavební rozpočet'!H803</f>
        <v>0</v>
      </c>
      <c r="I15" s="67">
        <f t="shared" si="0"/>
        <v>0</v>
      </c>
      <c r="J15" s="67">
        <f>'Stavební rozpočet'!J803</f>
        <v>0</v>
      </c>
      <c r="K15" s="67">
        <f>'Stavební rozpočet'!K803</f>
        <v>0</v>
      </c>
      <c r="L15" s="67">
        <f t="shared" si="1"/>
        <v>0</v>
      </c>
      <c r="M15" s="68" t="s">
        <v>10</v>
      </c>
      <c r="Z15" s="54">
        <f t="shared" si="2"/>
        <v>0</v>
      </c>
      <c r="AB15" s="54">
        <f t="shared" si="3"/>
        <v>0</v>
      </c>
      <c r="AC15" s="54">
        <f t="shared" si="4"/>
        <v>0</v>
      </c>
      <c r="AD15" s="54">
        <f t="shared" si="5"/>
        <v>0</v>
      </c>
      <c r="AE15" s="54">
        <f t="shared" si="6"/>
        <v>0</v>
      </c>
      <c r="AF15" s="54">
        <f t="shared" si="7"/>
        <v>0</v>
      </c>
      <c r="AG15" s="54">
        <f t="shared" si="8"/>
        <v>0</v>
      </c>
      <c r="AH15" s="54">
        <f t="shared" si="9"/>
        <v>0</v>
      </c>
      <c r="AI15" s="34" t="s">
        <v>1742</v>
      </c>
      <c r="AJ15" s="67">
        <f t="shared" si="10"/>
        <v>0</v>
      </c>
      <c r="AK15" s="67">
        <f t="shared" si="11"/>
        <v>0</v>
      </c>
      <c r="AL15" s="67">
        <f t="shared" si="12"/>
        <v>0</v>
      </c>
      <c r="AN15" s="54">
        <v>21</v>
      </c>
      <c r="AO15" s="54">
        <f t="shared" si="13"/>
        <v>0</v>
      </c>
      <c r="AP15" s="54">
        <f t="shared" si="14"/>
        <v>0</v>
      </c>
      <c r="AQ15" s="69" t="s">
        <v>107</v>
      </c>
      <c r="AV15" s="54">
        <f t="shared" si="15"/>
        <v>0</v>
      </c>
      <c r="AW15" s="54">
        <f t="shared" si="16"/>
        <v>0</v>
      </c>
      <c r="AX15" s="54">
        <f t="shared" si="17"/>
        <v>0</v>
      </c>
      <c r="AY15" s="56" t="s">
        <v>1748</v>
      </c>
      <c r="AZ15" s="56" t="s">
        <v>1749</v>
      </c>
      <c r="BA15" s="34" t="s">
        <v>1750</v>
      </c>
      <c r="BC15" s="54">
        <f t="shared" si="18"/>
        <v>0</v>
      </c>
      <c r="BD15" s="54">
        <f t="shared" si="19"/>
        <v>0</v>
      </c>
      <c r="BE15" s="54">
        <v>0</v>
      </c>
      <c r="BF15" s="54">
        <f t="shared" si="20"/>
        <v>0</v>
      </c>
      <c r="BH15" s="67">
        <f t="shared" si="21"/>
        <v>0</v>
      </c>
      <c r="BI15" s="67">
        <f t="shared" si="22"/>
        <v>0</v>
      </c>
      <c r="BJ15" s="67">
        <f t="shared" si="23"/>
        <v>0</v>
      </c>
      <c r="BK15" s="67"/>
      <c r="BL15" s="54"/>
      <c r="BW15" s="54">
        <v>21</v>
      </c>
      <c r="BX15" s="66" t="s">
        <v>1752</v>
      </c>
    </row>
    <row r="16" spans="1:76" ht="14.5" x14ac:dyDescent="0.35">
      <c r="A16" s="64" t="s">
        <v>126</v>
      </c>
      <c r="B16" s="65" t="s">
        <v>1742</v>
      </c>
      <c r="C16" s="65" t="s">
        <v>1753</v>
      </c>
      <c r="D16" s="217" t="s">
        <v>1754</v>
      </c>
      <c r="E16" s="218"/>
      <c r="F16" s="65" t="s">
        <v>481</v>
      </c>
      <c r="G16" s="67">
        <f>'Stavební rozpočet'!G804</f>
        <v>3</v>
      </c>
      <c r="H16" s="95">
        <f>'Stavební rozpočet'!H804</f>
        <v>0</v>
      </c>
      <c r="I16" s="67">
        <f t="shared" si="0"/>
        <v>0</v>
      </c>
      <c r="J16" s="67">
        <f>'Stavební rozpočet'!J804</f>
        <v>0</v>
      </c>
      <c r="K16" s="67">
        <f>'Stavební rozpočet'!K804</f>
        <v>0</v>
      </c>
      <c r="L16" s="67">
        <f t="shared" si="1"/>
        <v>0</v>
      </c>
      <c r="M16" s="68" t="s">
        <v>10</v>
      </c>
      <c r="Z16" s="54">
        <f t="shared" si="2"/>
        <v>0</v>
      </c>
      <c r="AB16" s="54">
        <f t="shared" si="3"/>
        <v>0</v>
      </c>
      <c r="AC16" s="54">
        <f t="shared" si="4"/>
        <v>0</v>
      </c>
      <c r="AD16" s="54">
        <f t="shared" si="5"/>
        <v>0</v>
      </c>
      <c r="AE16" s="54">
        <f t="shared" si="6"/>
        <v>0</v>
      </c>
      <c r="AF16" s="54">
        <f t="shared" si="7"/>
        <v>0</v>
      </c>
      <c r="AG16" s="54">
        <f t="shared" si="8"/>
        <v>0</v>
      </c>
      <c r="AH16" s="54">
        <f t="shared" si="9"/>
        <v>0</v>
      </c>
      <c r="AI16" s="34" t="s">
        <v>1742</v>
      </c>
      <c r="AJ16" s="67">
        <f t="shared" si="10"/>
        <v>0</v>
      </c>
      <c r="AK16" s="67">
        <f t="shared" si="11"/>
        <v>0</v>
      </c>
      <c r="AL16" s="67">
        <f t="shared" si="12"/>
        <v>0</v>
      </c>
      <c r="AN16" s="54">
        <v>21</v>
      </c>
      <c r="AO16" s="54">
        <f t="shared" si="13"/>
        <v>0</v>
      </c>
      <c r="AP16" s="54">
        <f t="shared" si="14"/>
        <v>0</v>
      </c>
      <c r="AQ16" s="69" t="s">
        <v>107</v>
      </c>
      <c r="AV16" s="54">
        <f t="shared" si="15"/>
        <v>0</v>
      </c>
      <c r="AW16" s="54">
        <f t="shared" si="16"/>
        <v>0</v>
      </c>
      <c r="AX16" s="54">
        <f t="shared" si="17"/>
        <v>0</v>
      </c>
      <c r="AY16" s="56" t="s">
        <v>1748</v>
      </c>
      <c r="AZ16" s="56" t="s">
        <v>1749</v>
      </c>
      <c r="BA16" s="34" t="s">
        <v>1750</v>
      </c>
      <c r="BC16" s="54">
        <f t="shared" si="18"/>
        <v>0</v>
      </c>
      <c r="BD16" s="54">
        <f t="shared" si="19"/>
        <v>0</v>
      </c>
      <c r="BE16" s="54">
        <v>0</v>
      </c>
      <c r="BF16" s="54">
        <f t="shared" si="20"/>
        <v>0</v>
      </c>
      <c r="BH16" s="67">
        <f t="shared" si="21"/>
        <v>0</v>
      </c>
      <c r="BI16" s="67">
        <f t="shared" si="22"/>
        <v>0</v>
      </c>
      <c r="BJ16" s="67">
        <f t="shared" si="23"/>
        <v>0</v>
      </c>
      <c r="BK16" s="67"/>
      <c r="BL16" s="54"/>
      <c r="BW16" s="54">
        <v>21</v>
      </c>
      <c r="BX16" s="66" t="s">
        <v>1754</v>
      </c>
    </row>
    <row r="17" spans="1:76" ht="14.5" x14ac:dyDescent="0.35">
      <c r="A17" s="64" t="s">
        <v>144</v>
      </c>
      <c r="B17" s="65" t="s">
        <v>1742</v>
      </c>
      <c r="C17" s="65" t="s">
        <v>1755</v>
      </c>
      <c r="D17" s="217" t="s">
        <v>1756</v>
      </c>
      <c r="E17" s="218"/>
      <c r="F17" s="65" t="s">
        <v>481</v>
      </c>
      <c r="G17" s="67">
        <f>'Stavební rozpočet'!G805</f>
        <v>4</v>
      </c>
      <c r="H17" s="95">
        <f>'Stavební rozpočet'!H805</f>
        <v>0</v>
      </c>
      <c r="I17" s="67">
        <f t="shared" si="0"/>
        <v>0</v>
      </c>
      <c r="J17" s="67">
        <f>'Stavební rozpočet'!J805</f>
        <v>0</v>
      </c>
      <c r="K17" s="67">
        <f>'Stavební rozpočet'!K805</f>
        <v>0</v>
      </c>
      <c r="L17" s="67">
        <f t="shared" si="1"/>
        <v>0</v>
      </c>
      <c r="M17" s="68" t="s">
        <v>10</v>
      </c>
      <c r="Z17" s="54">
        <f t="shared" si="2"/>
        <v>0</v>
      </c>
      <c r="AB17" s="54">
        <f t="shared" si="3"/>
        <v>0</v>
      </c>
      <c r="AC17" s="54">
        <f t="shared" si="4"/>
        <v>0</v>
      </c>
      <c r="AD17" s="54">
        <f t="shared" si="5"/>
        <v>0</v>
      </c>
      <c r="AE17" s="54">
        <f t="shared" si="6"/>
        <v>0</v>
      </c>
      <c r="AF17" s="54">
        <f t="shared" si="7"/>
        <v>0</v>
      </c>
      <c r="AG17" s="54">
        <f t="shared" si="8"/>
        <v>0</v>
      </c>
      <c r="AH17" s="54">
        <f t="shared" si="9"/>
        <v>0</v>
      </c>
      <c r="AI17" s="34" t="s">
        <v>1742</v>
      </c>
      <c r="AJ17" s="67">
        <f t="shared" si="10"/>
        <v>0</v>
      </c>
      <c r="AK17" s="67">
        <f t="shared" si="11"/>
        <v>0</v>
      </c>
      <c r="AL17" s="67">
        <f t="shared" si="12"/>
        <v>0</v>
      </c>
      <c r="AN17" s="54">
        <v>21</v>
      </c>
      <c r="AO17" s="54">
        <f t="shared" si="13"/>
        <v>0</v>
      </c>
      <c r="AP17" s="54">
        <f t="shared" si="14"/>
        <v>0</v>
      </c>
      <c r="AQ17" s="69" t="s">
        <v>107</v>
      </c>
      <c r="AV17" s="54">
        <f t="shared" si="15"/>
        <v>0</v>
      </c>
      <c r="AW17" s="54">
        <f t="shared" si="16"/>
        <v>0</v>
      </c>
      <c r="AX17" s="54">
        <f t="shared" si="17"/>
        <v>0</v>
      </c>
      <c r="AY17" s="56" t="s">
        <v>1748</v>
      </c>
      <c r="AZ17" s="56" t="s">
        <v>1749</v>
      </c>
      <c r="BA17" s="34" t="s">
        <v>1750</v>
      </c>
      <c r="BC17" s="54">
        <f t="shared" si="18"/>
        <v>0</v>
      </c>
      <c r="BD17" s="54">
        <f t="shared" si="19"/>
        <v>0</v>
      </c>
      <c r="BE17" s="54">
        <v>0</v>
      </c>
      <c r="BF17" s="54">
        <f t="shared" si="20"/>
        <v>0</v>
      </c>
      <c r="BH17" s="67">
        <f t="shared" si="21"/>
        <v>0</v>
      </c>
      <c r="BI17" s="67">
        <f t="shared" si="22"/>
        <v>0</v>
      </c>
      <c r="BJ17" s="67">
        <f t="shared" si="23"/>
        <v>0</v>
      </c>
      <c r="BK17" s="67"/>
      <c r="BL17" s="54"/>
      <c r="BW17" s="54">
        <v>21</v>
      </c>
      <c r="BX17" s="66" t="s">
        <v>1756</v>
      </c>
    </row>
    <row r="18" spans="1:76" ht="14.5" x14ac:dyDescent="0.35">
      <c r="A18" s="64" t="s">
        <v>150</v>
      </c>
      <c r="B18" s="65" t="s">
        <v>1742</v>
      </c>
      <c r="C18" s="65" t="s">
        <v>1757</v>
      </c>
      <c r="D18" s="217" t="s">
        <v>1758</v>
      </c>
      <c r="E18" s="218"/>
      <c r="F18" s="65" t="s">
        <v>481</v>
      </c>
      <c r="G18" s="67">
        <f>'Stavební rozpočet'!G806</f>
        <v>1</v>
      </c>
      <c r="H18" s="95">
        <f>'Stavební rozpočet'!H806</f>
        <v>0</v>
      </c>
      <c r="I18" s="67">
        <f t="shared" si="0"/>
        <v>0</v>
      </c>
      <c r="J18" s="67">
        <f>'Stavební rozpočet'!J806</f>
        <v>0</v>
      </c>
      <c r="K18" s="67">
        <f>'Stavební rozpočet'!K806</f>
        <v>0</v>
      </c>
      <c r="L18" s="67">
        <f t="shared" si="1"/>
        <v>0</v>
      </c>
      <c r="M18" s="68" t="s">
        <v>10</v>
      </c>
      <c r="Z18" s="54">
        <f t="shared" si="2"/>
        <v>0</v>
      </c>
      <c r="AB18" s="54">
        <f t="shared" si="3"/>
        <v>0</v>
      </c>
      <c r="AC18" s="54">
        <f t="shared" si="4"/>
        <v>0</v>
      </c>
      <c r="AD18" s="54">
        <f t="shared" si="5"/>
        <v>0</v>
      </c>
      <c r="AE18" s="54">
        <f t="shared" si="6"/>
        <v>0</v>
      </c>
      <c r="AF18" s="54">
        <f t="shared" si="7"/>
        <v>0</v>
      </c>
      <c r="AG18" s="54">
        <f t="shared" si="8"/>
        <v>0</v>
      </c>
      <c r="AH18" s="54">
        <f t="shared" si="9"/>
        <v>0</v>
      </c>
      <c r="AI18" s="34" t="s">
        <v>1742</v>
      </c>
      <c r="AJ18" s="67">
        <f t="shared" si="10"/>
        <v>0</v>
      </c>
      <c r="AK18" s="67">
        <f t="shared" si="11"/>
        <v>0</v>
      </c>
      <c r="AL18" s="67">
        <f t="shared" si="12"/>
        <v>0</v>
      </c>
      <c r="AN18" s="54">
        <v>21</v>
      </c>
      <c r="AO18" s="54">
        <f t="shared" si="13"/>
        <v>0</v>
      </c>
      <c r="AP18" s="54">
        <f t="shared" si="14"/>
        <v>0</v>
      </c>
      <c r="AQ18" s="69" t="s">
        <v>107</v>
      </c>
      <c r="AV18" s="54">
        <f t="shared" si="15"/>
        <v>0</v>
      </c>
      <c r="AW18" s="54">
        <f t="shared" si="16"/>
        <v>0</v>
      </c>
      <c r="AX18" s="54">
        <f t="shared" si="17"/>
        <v>0</v>
      </c>
      <c r="AY18" s="56" t="s">
        <v>1748</v>
      </c>
      <c r="AZ18" s="56" t="s">
        <v>1749</v>
      </c>
      <c r="BA18" s="34" t="s">
        <v>1750</v>
      </c>
      <c r="BC18" s="54">
        <f t="shared" si="18"/>
        <v>0</v>
      </c>
      <c r="BD18" s="54">
        <f t="shared" si="19"/>
        <v>0</v>
      </c>
      <c r="BE18" s="54">
        <v>0</v>
      </c>
      <c r="BF18" s="54">
        <f t="shared" si="20"/>
        <v>0</v>
      </c>
      <c r="BH18" s="67">
        <f t="shared" si="21"/>
        <v>0</v>
      </c>
      <c r="BI18" s="67">
        <f t="shared" si="22"/>
        <v>0</v>
      </c>
      <c r="BJ18" s="67">
        <f t="shared" si="23"/>
        <v>0</v>
      </c>
      <c r="BK18" s="67"/>
      <c r="BL18" s="54"/>
      <c r="BW18" s="54">
        <v>21</v>
      </c>
      <c r="BX18" s="66" t="s">
        <v>1758</v>
      </c>
    </row>
    <row r="19" spans="1:76" ht="14.5" x14ac:dyDescent="0.35">
      <c r="A19" s="64" t="s">
        <v>160</v>
      </c>
      <c r="B19" s="65" t="s">
        <v>1742</v>
      </c>
      <c r="C19" s="65" t="s">
        <v>1759</v>
      </c>
      <c r="D19" s="217" t="s">
        <v>1760</v>
      </c>
      <c r="E19" s="218"/>
      <c r="F19" s="65" t="s">
        <v>481</v>
      </c>
      <c r="G19" s="67">
        <f>'Stavební rozpočet'!G807</f>
        <v>52</v>
      </c>
      <c r="H19" s="95">
        <f>'Stavební rozpočet'!H807</f>
        <v>0</v>
      </c>
      <c r="I19" s="67">
        <f t="shared" si="0"/>
        <v>0</v>
      </c>
      <c r="J19" s="67">
        <f>'Stavební rozpočet'!J807</f>
        <v>0</v>
      </c>
      <c r="K19" s="67">
        <f>'Stavební rozpočet'!K807</f>
        <v>0</v>
      </c>
      <c r="L19" s="67">
        <f t="shared" si="1"/>
        <v>0</v>
      </c>
      <c r="M19" s="68" t="s">
        <v>10</v>
      </c>
      <c r="Z19" s="54">
        <f t="shared" si="2"/>
        <v>0</v>
      </c>
      <c r="AB19" s="54">
        <f t="shared" si="3"/>
        <v>0</v>
      </c>
      <c r="AC19" s="54">
        <f t="shared" si="4"/>
        <v>0</v>
      </c>
      <c r="AD19" s="54">
        <f t="shared" si="5"/>
        <v>0</v>
      </c>
      <c r="AE19" s="54">
        <f t="shared" si="6"/>
        <v>0</v>
      </c>
      <c r="AF19" s="54">
        <f t="shared" si="7"/>
        <v>0</v>
      </c>
      <c r="AG19" s="54">
        <f t="shared" si="8"/>
        <v>0</v>
      </c>
      <c r="AH19" s="54">
        <f t="shared" si="9"/>
        <v>0</v>
      </c>
      <c r="AI19" s="34" t="s">
        <v>1742</v>
      </c>
      <c r="AJ19" s="67">
        <f t="shared" si="10"/>
        <v>0</v>
      </c>
      <c r="AK19" s="67">
        <f t="shared" si="11"/>
        <v>0</v>
      </c>
      <c r="AL19" s="67">
        <f t="shared" si="12"/>
        <v>0</v>
      </c>
      <c r="AN19" s="54">
        <v>21</v>
      </c>
      <c r="AO19" s="54">
        <f t="shared" si="13"/>
        <v>0</v>
      </c>
      <c r="AP19" s="54">
        <f t="shared" si="14"/>
        <v>0</v>
      </c>
      <c r="AQ19" s="69" t="s">
        <v>107</v>
      </c>
      <c r="AV19" s="54">
        <f t="shared" si="15"/>
        <v>0</v>
      </c>
      <c r="AW19" s="54">
        <f t="shared" si="16"/>
        <v>0</v>
      </c>
      <c r="AX19" s="54">
        <f t="shared" si="17"/>
        <v>0</v>
      </c>
      <c r="AY19" s="56" t="s">
        <v>1748</v>
      </c>
      <c r="AZ19" s="56" t="s">
        <v>1749</v>
      </c>
      <c r="BA19" s="34" t="s">
        <v>1750</v>
      </c>
      <c r="BC19" s="54">
        <f t="shared" si="18"/>
        <v>0</v>
      </c>
      <c r="BD19" s="54">
        <f t="shared" si="19"/>
        <v>0</v>
      </c>
      <c r="BE19" s="54">
        <v>0</v>
      </c>
      <c r="BF19" s="54">
        <f t="shared" si="20"/>
        <v>0</v>
      </c>
      <c r="BH19" s="67">
        <f t="shared" si="21"/>
        <v>0</v>
      </c>
      <c r="BI19" s="67">
        <f t="shared" si="22"/>
        <v>0</v>
      </c>
      <c r="BJ19" s="67">
        <f t="shared" si="23"/>
        <v>0</v>
      </c>
      <c r="BK19" s="67"/>
      <c r="BL19" s="54"/>
      <c r="BW19" s="54">
        <v>21</v>
      </c>
      <c r="BX19" s="66" t="s">
        <v>1760</v>
      </c>
    </row>
    <row r="20" spans="1:76" ht="14.5" x14ac:dyDescent="0.35">
      <c r="A20" s="64" t="s">
        <v>168</v>
      </c>
      <c r="B20" s="65" t="s">
        <v>1742</v>
      </c>
      <c r="C20" s="65" t="s">
        <v>1761</v>
      </c>
      <c r="D20" s="217" t="s">
        <v>1762</v>
      </c>
      <c r="E20" s="218"/>
      <c r="F20" s="65" t="s">
        <v>481</v>
      </c>
      <c r="G20" s="67">
        <f>'Stavební rozpočet'!G808</f>
        <v>52</v>
      </c>
      <c r="H20" s="95">
        <f>'Stavební rozpočet'!H808</f>
        <v>0</v>
      </c>
      <c r="I20" s="67">
        <f t="shared" si="0"/>
        <v>0</v>
      </c>
      <c r="J20" s="67">
        <f>'Stavební rozpočet'!J808</f>
        <v>0</v>
      </c>
      <c r="K20" s="67">
        <f>'Stavební rozpočet'!K808</f>
        <v>0</v>
      </c>
      <c r="L20" s="67">
        <f t="shared" si="1"/>
        <v>0</v>
      </c>
      <c r="M20" s="68" t="s">
        <v>10</v>
      </c>
      <c r="Z20" s="54">
        <f t="shared" si="2"/>
        <v>0</v>
      </c>
      <c r="AB20" s="54">
        <f t="shared" si="3"/>
        <v>0</v>
      </c>
      <c r="AC20" s="54">
        <f t="shared" si="4"/>
        <v>0</v>
      </c>
      <c r="AD20" s="54">
        <f t="shared" si="5"/>
        <v>0</v>
      </c>
      <c r="AE20" s="54">
        <f t="shared" si="6"/>
        <v>0</v>
      </c>
      <c r="AF20" s="54">
        <f t="shared" si="7"/>
        <v>0</v>
      </c>
      <c r="AG20" s="54">
        <f t="shared" si="8"/>
        <v>0</v>
      </c>
      <c r="AH20" s="54">
        <f t="shared" si="9"/>
        <v>0</v>
      </c>
      <c r="AI20" s="34" t="s">
        <v>1742</v>
      </c>
      <c r="AJ20" s="67">
        <f t="shared" si="10"/>
        <v>0</v>
      </c>
      <c r="AK20" s="67">
        <f t="shared" si="11"/>
        <v>0</v>
      </c>
      <c r="AL20" s="67">
        <f t="shared" si="12"/>
        <v>0</v>
      </c>
      <c r="AN20" s="54">
        <v>21</v>
      </c>
      <c r="AO20" s="54">
        <f t="shared" si="13"/>
        <v>0</v>
      </c>
      <c r="AP20" s="54">
        <f t="shared" si="14"/>
        <v>0</v>
      </c>
      <c r="AQ20" s="69" t="s">
        <v>107</v>
      </c>
      <c r="AV20" s="54">
        <f t="shared" si="15"/>
        <v>0</v>
      </c>
      <c r="AW20" s="54">
        <f t="shared" si="16"/>
        <v>0</v>
      </c>
      <c r="AX20" s="54">
        <f t="shared" si="17"/>
        <v>0</v>
      </c>
      <c r="AY20" s="56" t="s">
        <v>1748</v>
      </c>
      <c r="AZ20" s="56" t="s">
        <v>1749</v>
      </c>
      <c r="BA20" s="34" t="s">
        <v>1750</v>
      </c>
      <c r="BC20" s="54">
        <f t="shared" si="18"/>
        <v>0</v>
      </c>
      <c r="BD20" s="54">
        <f t="shared" si="19"/>
        <v>0</v>
      </c>
      <c r="BE20" s="54">
        <v>0</v>
      </c>
      <c r="BF20" s="54">
        <f t="shared" si="20"/>
        <v>0</v>
      </c>
      <c r="BH20" s="67">
        <f t="shared" si="21"/>
        <v>0</v>
      </c>
      <c r="BI20" s="67">
        <f t="shared" si="22"/>
        <v>0</v>
      </c>
      <c r="BJ20" s="67">
        <f t="shared" si="23"/>
        <v>0</v>
      </c>
      <c r="BK20" s="67"/>
      <c r="BL20" s="54"/>
      <c r="BW20" s="54">
        <v>21</v>
      </c>
      <c r="BX20" s="66" t="s">
        <v>1762</v>
      </c>
    </row>
    <row r="21" spans="1:76" ht="14.5" x14ac:dyDescent="0.35">
      <c r="A21" s="64" t="s">
        <v>181</v>
      </c>
      <c r="B21" s="65" t="s">
        <v>1742</v>
      </c>
      <c r="C21" s="65" t="s">
        <v>1763</v>
      </c>
      <c r="D21" s="217" t="s">
        <v>1764</v>
      </c>
      <c r="E21" s="218"/>
      <c r="F21" s="65" t="s">
        <v>153</v>
      </c>
      <c r="G21" s="67">
        <f>'Stavební rozpočet'!G809</f>
        <v>400</v>
      </c>
      <c r="H21" s="95">
        <f>'Stavební rozpočet'!H809</f>
        <v>0</v>
      </c>
      <c r="I21" s="67">
        <f t="shared" si="0"/>
        <v>0</v>
      </c>
      <c r="J21" s="67">
        <f>'Stavební rozpočet'!J809</f>
        <v>0</v>
      </c>
      <c r="K21" s="67">
        <f>'Stavební rozpočet'!K809</f>
        <v>0</v>
      </c>
      <c r="L21" s="67">
        <f t="shared" si="1"/>
        <v>0</v>
      </c>
      <c r="M21" s="68" t="s">
        <v>10</v>
      </c>
      <c r="Z21" s="54">
        <f t="shared" si="2"/>
        <v>0</v>
      </c>
      <c r="AB21" s="54">
        <f t="shared" si="3"/>
        <v>0</v>
      </c>
      <c r="AC21" s="54">
        <f t="shared" si="4"/>
        <v>0</v>
      </c>
      <c r="AD21" s="54">
        <f t="shared" si="5"/>
        <v>0</v>
      </c>
      <c r="AE21" s="54">
        <f t="shared" si="6"/>
        <v>0</v>
      </c>
      <c r="AF21" s="54">
        <f t="shared" si="7"/>
        <v>0</v>
      </c>
      <c r="AG21" s="54">
        <f t="shared" si="8"/>
        <v>0</v>
      </c>
      <c r="AH21" s="54">
        <f t="shared" si="9"/>
        <v>0</v>
      </c>
      <c r="AI21" s="34" t="s">
        <v>1742</v>
      </c>
      <c r="AJ21" s="67">
        <f t="shared" si="10"/>
        <v>0</v>
      </c>
      <c r="AK21" s="67">
        <f t="shared" si="11"/>
        <v>0</v>
      </c>
      <c r="AL21" s="67">
        <f t="shared" si="12"/>
        <v>0</v>
      </c>
      <c r="AN21" s="54">
        <v>21</v>
      </c>
      <c r="AO21" s="54">
        <f t="shared" si="13"/>
        <v>0</v>
      </c>
      <c r="AP21" s="54">
        <f t="shared" si="14"/>
        <v>0</v>
      </c>
      <c r="AQ21" s="69" t="s">
        <v>107</v>
      </c>
      <c r="AV21" s="54">
        <f t="shared" si="15"/>
        <v>0</v>
      </c>
      <c r="AW21" s="54">
        <f t="shared" si="16"/>
        <v>0</v>
      </c>
      <c r="AX21" s="54">
        <f t="shared" si="17"/>
        <v>0</v>
      </c>
      <c r="AY21" s="56" t="s">
        <v>1748</v>
      </c>
      <c r="AZ21" s="56" t="s">
        <v>1749</v>
      </c>
      <c r="BA21" s="34" t="s">
        <v>1750</v>
      </c>
      <c r="BC21" s="54">
        <f t="shared" si="18"/>
        <v>0</v>
      </c>
      <c r="BD21" s="54">
        <f t="shared" si="19"/>
        <v>0</v>
      </c>
      <c r="BE21" s="54">
        <v>0</v>
      </c>
      <c r="BF21" s="54">
        <f t="shared" si="20"/>
        <v>0</v>
      </c>
      <c r="BH21" s="67">
        <f t="shared" si="21"/>
        <v>0</v>
      </c>
      <c r="BI21" s="67">
        <f t="shared" si="22"/>
        <v>0</v>
      </c>
      <c r="BJ21" s="67">
        <f t="shared" si="23"/>
        <v>0</v>
      </c>
      <c r="BK21" s="67"/>
      <c r="BL21" s="54"/>
      <c r="BW21" s="54">
        <v>21</v>
      </c>
      <c r="BX21" s="66" t="s">
        <v>1764</v>
      </c>
    </row>
    <row r="22" spans="1:76" ht="14.5" x14ac:dyDescent="0.35">
      <c r="A22" s="64" t="s">
        <v>187</v>
      </c>
      <c r="B22" s="65" t="s">
        <v>1742</v>
      </c>
      <c r="C22" s="65" t="s">
        <v>1765</v>
      </c>
      <c r="D22" s="217" t="s">
        <v>1766</v>
      </c>
      <c r="E22" s="218"/>
      <c r="F22" s="65" t="s">
        <v>481</v>
      </c>
      <c r="G22" s="67">
        <f>'Stavební rozpočet'!G810</f>
        <v>76</v>
      </c>
      <c r="H22" s="95">
        <f>'Stavební rozpočet'!H810</f>
        <v>0</v>
      </c>
      <c r="I22" s="67">
        <f t="shared" si="0"/>
        <v>0</v>
      </c>
      <c r="J22" s="67">
        <f>'Stavební rozpočet'!J810</f>
        <v>0</v>
      </c>
      <c r="K22" s="67">
        <f>'Stavební rozpočet'!K810</f>
        <v>0</v>
      </c>
      <c r="L22" s="67">
        <f t="shared" si="1"/>
        <v>0</v>
      </c>
      <c r="M22" s="68" t="s">
        <v>10</v>
      </c>
      <c r="Z22" s="54">
        <f t="shared" si="2"/>
        <v>0</v>
      </c>
      <c r="AB22" s="54">
        <f t="shared" si="3"/>
        <v>0</v>
      </c>
      <c r="AC22" s="54">
        <f t="shared" si="4"/>
        <v>0</v>
      </c>
      <c r="AD22" s="54">
        <f t="shared" si="5"/>
        <v>0</v>
      </c>
      <c r="AE22" s="54">
        <f t="shared" si="6"/>
        <v>0</v>
      </c>
      <c r="AF22" s="54">
        <f t="shared" si="7"/>
        <v>0</v>
      </c>
      <c r="AG22" s="54">
        <f t="shared" si="8"/>
        <v>0</v>
      </c>
      <c r="AH22" s="54">
        <f t="shared" si="9"/>
        <v>0</v>
      </c>
      <c r="AI22" s="34" t="s">
        <v>1742</v>
      </c>
      <c r="AJ22" s="67">
        <f t="shared" si="10"/>
        <v>0</v>
      </c>
      <c r="AK22" s="67">
        <f t="shared" si="11"/>
        <v>0</v>
      </c>
      <c r="AL22" s="67">
        <f t="shared" si="12"/>
        <v>0</v>
      </c>
      <c r="AN22" s="54">
        <v>21</v>
      </c>
      <c r="AO22" s="54">
        <f t="shared" si="13"/>
        <v>0</v>
      </c>
      <c r="AP22" s="54">
        <f t="shared" si="14"/>
        <v>0</v>
      </c>
      <c r="AQ22" s="69" t="s">
        <v>107</v>
      </c>
      <c r="AV22" s="54">
        <f t="shared" si="15"/>
        <v>0</v>
      </c>
      <c r="AW22" s="54">
        <f t="shared" si="16"/>
        <v>0</v>
      </c>
      <c r="AX22" s="54">
        <f t="shared" si="17"/>
        <v>0</v>
      </c>
      <c r="AY22" s="56" t="s">
        <v>1748</v>
      </c>
      <c r="AZ22" s="56" t="s">
        <v>1749</v>
      </c>
      <c r="BA22" s="34" t="s">
        <v>1750</v>
      </c>
      <c r="BC22" s="54">
        <f t="shared" si="18"/>
        <v>0</v>
      </c>
      <c r="BD22" s="54">
        <f t="shared" si="19"/>
        <v>0</v>
      </c>
      <c r="BE22" s="54">
        <v>0</v>
      </c>
      <c r="BF22" s="54">
        <f t="shared" si="20"/>
        <v>0</v>
      </c>
      <c r="BH22" s="67">
        <f t="shared" si="21"/>
        <v>0</v>
      </c>
      <c r="BI22" s="67">
        <f t="shared" si="22"/>
        <v>0</v>
      </c>
      <c r="BJ22" s="67">
        <f t="shared" si="23"/>
        <v>0</v>
      </c>
      <c r="BK22" s="67"/>
      <c r="BL22" s="54"/>
      <c r="BW22" s="54">
        <v>21</v>
      </c>
      <c r="BX22" s="66" t="s">
        <v>1766</v>
      </c>
    </row>
    <row r="23" spans="1:76" ht="14.5" x14ac:dyDescent="0.35">
      <c r="A23" s="64" t="s">
        <v>193</v>
      </c>
      <c r="B23" s="65" t="s">
        <v>1742</v>
      </c>
      <c r="C23" s="65" t="s">
        <v>1767</v>
      </c>
      <c r="D23" s="217" t="s">
        <v>1768</v>
      </c>
      <c r="E23" s="218"/>
      <c r="F23" s="65" t="s">
        <v>153</v>
      </c>
      <c r="G23" s="67">
        <f>'Stavební rozpočet'!G811</f>
        <v>6</v>
      </c>
      <c r="H23" s="95">
        <f>'Stavební rozpočet'!H811</f>
        <v>0</v>
      </c>
      <c r="I23" s="67">
        <f t="shared" si="0"/>
        <v>0</v>
      </c>
      <c r="J23" s="67">
        <f>'Stavební rozpočet'!J811</f>
        <v>0</v>
      </c>
      <c r="K23" s="67">
        <f>'Stavební rozpočet'!K811</f>
        <v>0</v>
      </c>
      <c r="L23" s="67">
        <f t="shared" si="1"/>
        <v>0</v>
      </c>
      <c r="M23" s="68" t="s">
        <v>10</v>
      </c>
      <c r="Z23" s="54">
        <f t="shared" si="2"/>
        <v>0</v>
      </c>
      <c r="AB23" s="54">
        <f t="shared" si="3"/>
        <v>0</v>
      </c>
      <c r="AC23" s="54">
        <f t="shared" si="4"/>
        <v>0</v>
      </c>
      <c r="AD23" s="54">
        <f t="shared" si="5"/>
        <v>0</v>
      </c>
      <c r="AE23" s="54">
        <f t="shared" si="6"/>
        <v>0</v>
      </c>
      <c r="AF23" s="54">
        <f t="shared" si="7"/>
        <v>0</v>
      </c>
      <c r="AG23" s="54">
        <f t="shared" si="8"/>
        <v>0</v>
      </c>
      <c r="AH23" s="54">
        <f t="shared" si="9"/>
        <v>0</v>
      </c>
      <c r="AI23" s="34" t="s">
        <v>1742</v>
      </c>
      <c r="AJ23" s="67">
        <f t="shared" si="10"/>
        <v>0</v>
      </c>
      <c r="AK23" s="67">
        <f t="shared" si="11"/>
        <v>0</v>
      </c>
      <c r="AL23" s="67">
        <f t="shared" si="12"/>
        <v>0</v>
      </c>
      <c r="AN23" s="54">
        <v>21</v>
      </c>
      <c r="AO23" s="54">
        <f t="shared" si="13"/>
        <v>0</v>
      </c>
      <c r="AP23" s="54">
        <f t="shared" si="14"/>
        <v>0</v>
      </c>
      <c r="AQ23" s="69" t="s">
        <v>107</v>
      </c>
      <c r="AV23" s="54">
        <f t="shared" si="15"/>
        <v>0</v>
      </c>
      <c r="AW23" s="54">
        <f t="shared" si="16"/>
        <v>0</v>
      </c>
      <c r="AX23" s="54">
        <f t="shared" si="17"/>
        <v>0</v>
      </c>
      <c r="AY23" s="56" t="s">
        <v>1748</v>
      </c>
      <c r="AZ23" s="56" t="s">
        <v>1749</v>
      </c>
      <c r="BA23" s="34" t="s">
        <v>1750</v>
      </c>
      <c r="BC23" s="54">
        <f t="shared" si="18"/>
        <v>0</v>
      </c>
      <c r="BD23" s="54">
        <f t="shared" si="19"/>
        <v>0</v>
      </c>
      <c r="BE23" s="54">
        <v>0</v>
      </c>
      <c r="BF23" s="54">
        <f t="shared" si="20"/>
        <v>0</v>
      </c>
      <c r="BH23" s="67">
        <f t="shared" si="21"/>
        <v>0</v>
      </c>
      <c r="BI23" s="67">
        <f t="shared" si="22"/>
        <v>0</v>
      </c>
      <c r="BJ23" s="67">
        <f t="shared" si="23"/>
        <v>0</v>
      </c>
      <c r="BK23" s="67"/>
      <c r="BL23" s="54"/>
      <c r="BW23" s="54">
        <v>21</v>
      </c>
      <c r="BX23" s="66" t="s">
        <v>1768</v>
      </c>
    </row>
    <row r="24" spans="1:76" ht="14.5" x14ac:dyDescent="0.35">
      <c r="A24" s="64" t="s">
        <v>203</v>
      </c>
      <c r="B24" s="65" t="s">
        <v>1742</v>
      </c>
      <c r="C24" s="65" t="s">
        <v>1769</v>
      </c>
      <c r="D24" s="217" t="s">
        <v>1770</v>
      </c>
      <c r="E24" s="218"/>
      <c r="F24" s="65" t="s">
        <v>153</v>
      </c>
      <c r="G24" s="67">
        <f>'Stavební rozpočet'!G812</f>
        <v>40</v>
      </c>
      <c r="H24" s="95">
        <f>'Stavební rozpočet'!H812</f>
        <v>0</v>
      </c>
      <c r="I24" s="67">
        <f t="shared" si="0"/>
        <v>0</v>
      </c>
      <c r="J24" s="67">
        <f>'Stavební rozpočet'!J812</f>
        <v>0</v>
      </c>
      <c r="K24" s="67">
        <f>'Stavební rozpočet'!K812</f>
        <v>0</v>
      </c>
      <c r="L24" s="67">
        <f t="shared" si="1"/>
        <v>0</v>
      </c>
      <c r="M24" s="68" t="s">
        <v>10</v>
      </c>
      <c r="Z24" s="54">
        <f t="shared" si="2"/>
        <v>0</v>
      </c>
      <c r="AB24" s="54">
        <f t="shared" si="3"/>
        <v>0</v>
      </c>
      <c r="AC24" s="54">
        <f t="shared" si="4"/>
        <v>0</v>
      </c>
      <c r="AD24" s="54">
        <f t="shared" si="5"/>
        <v>0</v>
      </c>
      <c r="AE24" s="54">
        <f t="shared" si="6"/>
        <v>0</v>
      </c>
      <c r="AF24" s="54">
        <f t="shared" si="7"/>
        <v>0</v>
      </c>
      <c r="AG24" s="54">
        <f t="shared" si="8"/>
        <v>0</v>
      </c>
      <c r="AH24" s="54">
        <f t="shared" si="9"/>
        <v>0</v>
      </c>
      <c r="AI24" s="34" t="s">
        <v>1742</v>
      </c>
      <c r="AJ24" s="67">
        <f t="shared" si="10"/>
        <v>0</v>
      </c>
      <c r="AK24" s="67">
        <f t="shared" si="11"/>
        <v>0</v>
      </c>
      <c r="AL24" s="67">
        <f t="shared" si="12"/>
        <v>0</v>
      </c>
      <c r="AN24" s="54">
        <v>21</v>
      </c>
      <c r="AO24" s="54">
        <f t="shared" si="13"/>
        <v>0</v>
      </c>
      <c r="AP24" s="54">
        <f t="shared" si="14"/>
        <v>0</v>
      </c>
      <c r="AQ24" s="69" t="s">
        <v>107</v>
      </c>
      <c r="AV24" s="54">
        <f t="shared" si="15"/>
        <v>0</v>
      </c>
      <c r="AW24" s="54">
        <f t="shared" si="16"/>
        <v>0</v>
      </c>
      <c r="AX24" s="54">
        <f t="shared" si="17"/>
        <v>0</v>
      </c>
      <c r="AY24" s="56" t="s">
        <v>1748</v>
      </c>
      <c r="AZ24" s="56" t="s">
        <v>1749</v>
      </c>
      <c r="BA24" s="34" t="s">
        <v>1750</v>
      </c>
      <c r="BC24" s="54">
        <f t="shared" si="18"/>
        <v>0</v>
      </c>
      <c r="BD24" s="54">
        <f t="shared" si="19"/>
        <v>0</v>
      </c>
      <c r="BE24" s="54">
        <v>0</v>
      </c>
      <c r="BF24" s="54">
        <f t="shared" si="20"/>
        <v>0</v>
      </c>
      <c r="BH24" s="67">
        <f t="shared" si="21"/>
        <v>0</v>
      </c>
      <c r="BI24" s="67">
        <f t="shared" si="22"/>
        <v>0</v>
      </c>
      <c r="BJ24" s="67">
        <f t="shared" si="23"/>
        <v>0</v>
      </c>
      <c r="BK24" s="67"/>
      <c r="BL24" s="54"/>
      <c r="BW24" s="54">
        <v>21</v>
      </c>
      <c r="BX24" s="66" t="s">
        <v>1770</v>
      </c>
    </row>
    <row r="25" spans="1:76" ht="14.5" x14ac:dyDescent="0.35">
      <c r="A25" s="64" t="s">
        <v>213</v>
      </c>
      <c r="B25" s="65" t="s">
        <v>1742</v>
      </c>
      <c r="C25" s="65" t="s">
        <v>1771</v>
      </c>
      <c r="D25" s="217" t="s">
        <v>1772</v>
      </c>
      <c r="E25" s="218"/>
      <c r="F25" s="65" t="s">
        <v>481</v>
      </c>
      <c r="G25" s="67">
        <f>'Stavební rozpočet'!G813</f>
        <v>38</v>
      </c>
      <c r="H25" s="95">
        <f>'Stavební rozpočet'!H813</f>
        <v>0</v>
      </c>
      <c r="I25" s="67">
        <f t="shared" si="0"/>
        <v>0</v>
      </c>
      <c r="J25" s="67">
        <f>'Stavební rozpočet'!J813</f>
        <v>0</v>
      </c>
      <c r="K25" s="67">
        <f>'Stavební rozpočet'!K813</f>
        <v>0</v>
      </c>
      <c r="L25" s="67">
        <f t="shared" si="1"/>
        <v>0</v>
      </c>
      <c r="M25" s="68" t="s">
        <v>10</v>
      </c>
      <c r="Z25" s="54">
        <f t="shared" si="2"/>
        <v>0</v>
      </c>
      <c r="AB25" s="54">
        <f t="shared" si="3"/>
        <v>0</v>
      </c>
      <c r="AC25" s="54">
        <f t="shared" si="4"/>
        <v>0</v>
      </c>
      <c r="AD25" s="54">
        <f t="shared" si="5"/>
        <v>0</v>
      </c>
      <c r="AE25" s="54">
        <f t="shared" si="6"/>
        <v>0</v>
      </c>
      <c r="AF25" s="54">
        <f t="shared" si="7"/>
        <v>0</v>
      </c>
      <c r="AG25" s="54">
        <f t="shared" si="8"/>
        <v>0</v>
      </c>
      <c r="AH25" s="54">
        <f t="shared" si="9"/>
        <v>0</v>
      </c>
      <c r="AI25" s="34" t="s">
        <v>1742</v>
      </c>
      <c r="AJ25" s="67">
        <f t="shared" si="10"/>
        <v>0</v>
      </c>
      <c r="AK25" s="67">
        <f t="shared" si="11"/>
        <v>0</v>
      </c>
      <c r="AL25" s="67">
        <f t="shared" si="12"/>
        <v>0</v>
      </c>
      <c r="AN25" s="54">
        <v>21</v>
      </c>
      <c r="AO25" s="54">
        <f t="shared" si="13"/>
        <v>0</v>
      </c>
      <c r="AP25" s="54">
        <f t="shared" si="14"/>
        <v>0</v>
      </c>
      <c r="AQ25" s="69" t="s">
        <v>107</v>
      </c>
      <c r="AV25" s="54">
        <f t="shared" si="15"/>
        <v>0</v>
      </c>
      <c r="AW25" s="54">
        <f t="shared" si="16"/>
        <v>0</v>
      </c>
      <c r="AX25" s="54">
        <f t="shared" si="17"/>
        <v>0</v>
      </c>
      <c r="AY25" s="56" t="s">
        <v>1748</v>
      </c>
      <c r="AZ25" s="56" t="s">
        <v>1749</v>
      </c>
      <c r="BA25" s="34" t="s">
        <v>1750</v>
      </c>
      <c r="BC25" s="54">
        <f t="shared" si="18"/>
        <v>0</v>
      </c>
      <c r="BD25" s="54">
        <f t="shared" si="19"/>
        <v>0</v>
      </c>
      <c r="BE25" s="54">
        <v>0</v>
      </c>
      <c r="BF25" s="54">
        <f t="shared" si="20"/>
        <v>0</v>
      </c>
      <c r="BH25" s="67">
        <f t="shared" si="21"/>
        <v>0</v>
      </c>
      <c r="BI25" s="67">
        <f t="shared" si="22"/>
        <v>0</v>
      </c>
      <c r="BJ25" s="67">
        <f t="shared" si="23"/>
        <v>0</v>
      </c>
      <c r="BK25" s="67"/>
      <c r="BL25" s="54"/>
      <c r="BW25" s="54">
        <v>21</v>
      </c>
      <c r="BX25" s="66" t="s">
        <v>1772</v>
      </c>
    </row>
    <row r="26" spans="1:76" ht="14.5" x14ac:dyDescent="0.35">
      <c r="A26" s="64" t="s">
        <v>220</v>
      </c>
      <c r="B26" s="65" t="s">
        <v>1742</v>
      </c>
      <c r="C26" s="65" t="s">
        <v>1773</v>
      </c>
      <c r="D26" s="217" t="s">
        <v>1774</v>
      </c>
      <c r="E26" s="218"/>
      <c r="F26" s="65" t="s">
        <v>481</v>
      </c>
      <c r="G26" s="67">
        <f>'Stavební rozpočet'!G814</f>
        <v>41</v>
      </c>
      <c r="H26" s="95">
        <f>'Stavební rozpočet'!H814</f>
        <v>0</v>
      </c>
      <c r="I26" s="67">
        <f t="shared" si="0"/>
        <v>0</v>
      </c>
      <c r="J26" s="67">
        <f>'Stavební rozpočet'!J814</f>
        <v>0</v>
      </c>
      <c r="K26" s="67">
        <f>'Stavební rozpočet'!K814</f>
        <v>0</v>
      </c>
      <c r="L26" s="67">
        <f t="shared" si="1"/>
        <v>0</v>
      </c>
      <c r="M26" s="68" t="s">
        <v>10</v>
      </c>
      <c r="Z26" s="54">
        <f t="shared" si="2"/>
        <v>0</v>
      </c>
      <c r="AB26" s="54">
        <f t="shared" si="3"/>
        <v>0</v>
      </c>
      <c r="AC26" s="54">
        <f t="shared" si="4"/>
        <v>0</v>
      </c>
      <c r="AD26" s="54">
        <f t="shared" si="5"/>
        <v>0</v>
      </c>
      <c r="AE26" s="54">
        <f t="shared" si="6"/>
        <v>0</v>
      </c>
      <c r="AF26" s="54">
        <f t="shared" si="7"/>
        <v>0</v>
      </c>
      <c r="AG26" s="54">
        <f t="shared" si="8"/>
        <v>0</v>
      </c>
      <c r="AH26" s="54">
        <f t="shared" si="9"/>
        <v>0</v>
      </c>
      <c r="AI26" s="34" t="s">
        <v>1742</v>
      </c>
      <c r="AJ26" s="67">
        <f t="shared" si="10"/>
        <v>0</v>
      </c>
      <c r="AK26" s="67">
        <f t="shared" si="11"/>
        <v>0</v>
      </c>
      <c r="AL26" s="67">
        <f t="shared" si="12"/>
        <v>0</v>
      </c>
      <c r="AN26" s="54">
        <v>21</v>
      </c>
      <c r="AO26" s="54">
        <f t="shared" si="13"/>
        <v>0</v>
      </c>
      <c r="AP26" s="54">
        <f t="shared" si="14"/>
        <v>0</v>
      </c>
      <c r="AQ26" s="69" t="s">
        <v>107</v>
      </c>
      <c r="AV26" s="54">
        <f t="shared" si="15"/>
        <v>0</v>
      </c>
      <c r="AW26" s="54">
        <f t="shared" si="16"/>
        <v>0</v>
      </c>
      <c r="AX26" s="54">
        <f t="shared" si="17"/>
        <v>0</v>
      </c>
      <c r="AY26" s="56" t="s">
        <v>1748</v>
      </c>
      <c r="AZ26" s="56" t="s">
        <v>1749</v>
      </c>
      <c r="BA26" s="34" t="s">
        <v>1750</v>
      </c>
      <c r="BC26" s="54">
        <f t="shared" si="18"/>
        <v>0</v>
      </c>
      <c r="BD26" s="54">
        <f t="shared" si="19"/>
        <v>0</v>
      </c>
      <c r="BE26" s="54">
        <v>0</v>
      </c>
      <c r="BF26" s="54">
        <f t="shared" si="20"/>
        <v>0</v>
      </c>
      <c r="BH26" s="67">
        <f t="shared" si="21"/>
        <v>0</v>
      </c>
      <c r="BI26" s="67">
        <f t="shared" si="22"/>
        <v>0</v>
      </c>
      <c r="BJ26" s="67">
        <f t="shared" si="23"/>
        <v>0</v>
      </c>
      <c r="BK26" s="67"/>
      <c r="BL26" s="54"/>
      <c r="BW26" s="54">
        <v>21</v>
      </c>
      <c r="BX26" s="66" t="s">
        <v>1774</v>
      </c>
    </row>
    <row r="27" spans="1:76" ht="14.5" x14ac:dyDescent="0.35">
      <c r="A27" s="64" t="s">
        <v>226</v>
      </c>
      <c r="B27" s="65" t="s">
        <v>1742</v>
      </c>
      <c r="C27" s="65" t="s">
        <v>1775</v>
      </c>
      <c r="D27" s="217" t="s">
        <v>1776</v>
      </c>
      <c r="E27" s="218"/>
      <c r="F27" s="65" t="s">
        <v>153</v>
      </c>
      <c r="G27" s="67">
        <f>'Stavební rozpočet'!G815</f>
        <v>2200</v>
      </c>
      <c r="H27" s="95">
        <v>0</v>
      </c>
      <c r="I27" s="67">
        <f t="shared" si="0"/>
        <v>0</v>
      </c>
      <c r="J27" s="67">
        <f>'Stavební rozpočet'!J815</f>
        <v>0</v>
      </c>
      <c r="K27" s="67">
        <f>'Stavební rozpočet'!K815</f>
        <v>0</v>
      </c>
      <c r="L27" s="67">
        <f t="shared" si="1"/>
        <v>0</v>
      </c>
      <c r="M27" s="68" t="s">
        <v>10</v>
      </c>
      <c r="Z27" s="54">
        <f t="shared" si="2"/>
        <v>0</v>
      </c>
      <c r="AB27" s="54">
        <f t="shared" si="3"/>
        <v>0</v>
      </c>
      <c r="AC27" s="54">
        <f t="shared" si="4"/>
        <v>0</v>
      </c>
      <c r="AD27" s="54">
        <f t="shared" si="5"/>
        <v>0</v>
      </c>
      <c r="AE27" s="54">
        <f t="shared" si="6"/>
        <v>0</v>
      </c>
      <c r="AF27" s="54">
        <f t="shared" si="7"/>
        <v>0</v>
      </c>
      <c r="AG27" s="54">
        <f t="shared" si="8"/>
        <v>0</v>
      </c>
      <c r="AH27" s="54">
        <f t="shared" si="9"/>
        <v>0</v>
      </c>
      <c r="AI27" s="34" t="s">
        <v>1742</v>
      </c>
      <c r="AJ27" s="67">
        <f t="shared" si="10"/>
        <v>0</v>
      </c>
      <c r="AK27" s="67">
        <f t="shared" si="11"/>
        <v>0</v>
      </c>
      <c r="AL27" s="67">
        <f t="shared" si="12"/>
        <v>0</v>
      </c>
      <c r="AN27" s="54">
        <v>21</v>
      </c>
      <c r="AO27" s="54">
        <f t="shared" si="13"/>
        <v>0</v>
      </c>
      <c r="AP27" s="54">
        <f t="shared" si="14"/>
        <v>0</v>
      </c>
      <c r="AQ27" s="69" t="s">
        <v>107</v>
      </c>
      <c r="AV27" s="54">
        <f t="shared" si="15"/>
        <v>0</v>
      </c>
      <c r="AW27" s="54">
        <f t="shared" si="16"/>
        <v>0</v>
      </c>
      <c r="AX27" s="54">
        <f t="shared" si="17"/>
        <v>0</v>
      </c>
      <c r="AY27" s="56" t="s">
        <v>1748</v>
      </c>
      <c r="AZ27" s="56" t="s">
        <v>1749</v>
      </c>
      <c r="BA27" s="34" t="s">
        <v>1750</v>
      </c>
      <c r="BC27" s="54">
        <f t="shared" si="18"/>
        <v>0</v>
      </c>
      <c r="BD27" s="54">
        <f t="shared" si="19"/>
        <v>0</v>
      </c>
      <c r="BE27" s="54">
        <v>0</v>
      </c>
      <c r="BF27" s="54">
        <f t="shared" si="20"/>
        <v>0</v>
      </c>
      <c r="BH27" s="67">
        <f t="shared" si="21"/>
        <v>0</v>
      </c>
      <c r="BI27" s="67">
        <f t="shared" si="22"/>
        <v>0</v>
      </c>
      <c r="BJ27" s="67">
        <f t="shared" si="23"/>
        <v>0</v>
      </c>
      <c r="BK27" s="67"/>
      <c r="BL27" s="54"/>
      <c r="BW27" s="54">
        <v>21</v>
      </c>
      <c r="BX27" s="66" t="s">
        <v>1776</v>
      </c>
    </row>
    <row r="28" spans="1:76" ht="14.5" x14ac:dyDescent="0.35">
      <c r="A28" s="64" t="s">
        <v>234</v>
      </c>
      <c r="B28" s="65" t="s">
        <v>1742</v>
      </c>
      <c r="C28" s="65" t="s">
        <v>1777</v>
      </c>
      <c r="D28" s="217" t="s">
        <v>1778</v>
      </c>
      <c r="E28" s="218"/>
      <c r="F28" s="65" t="s">
        <v>153</v>
      </c>
      <c r="G28" s="67">
        <f>'Stavební rozpočet'!G816</f>
        <v>350</v>
      </c>
      <c r="H28" s="95">
        <f>'Stavební rozpočet'!H816</f>
        <v>0</v>
      </c>
      <c r="I28" s="67">
        <f t="shared" si="0"/>
        <v>0</v>
      </c>
      <c r="J28" s="67">
        <f>'Stavební rozpočet'!J816</f>
        <v>0</v>
      </c>
      <c r="K28" s="67">
        <f>'Stavební rozpočet'!K816</f>
        <v>0</v>
      </c>
      <c r="L28" s="67">
        <f t="shared" si="1"/>
        <v>0</v>
      </c>
      <c r="M28" s="68" t="s">
        <v>10</v>
      </c>
      <c r="Z28" s="54">
        <f t="shared" si="2"/>
        <v>0</v>
      </c>
      <c r="AB28" s="54">
        <f t="shared" si="3"/>
        <v>0</v>
      </c>
      <c r="AC28" s="54">
        <f t="shared" si="4"/>
        <v>0</v>
      </c>
      <c r="AD28" s="54">
        <f t="shared" si="5"/>
        <v>0</v>
      </c>
      <c r="AE28" s="54">
        <f t="shared" si="6"/>
        <v>0</v>
      </c>
      <c r="AF28" s="54">
        <f t="shared" si="7"/>
        <v>0</v>
      </c>
      <c r="AG28" s="54">
        <f t="shared" si="8"/>
        <v>0</v>
      </c>
      <c r="AH28" s="54">
        <f t="shared" si="9"/>
        <v>0</v>
      </c>
      <c r="AI28" s="34" t="s">
        <v>1742</v>
      </c>
      <c r="AJ28" s="67">
        <f t="shared" si="10"/>
        <v>0</v>
      </c>
      <c r="AK28" s="67">
        <f t="shared" si="11"/>
        <v>0</v>
      </c>
      <c r="AL28" s="67">
        <f t="shared" si="12"/>
        <v>0</v>
      </c>
      <c r="AN28" s="54">
        <v>21</v>
      </c>
      <c r="AO28" s="54">
        <f t="shared" si="13"/>
        <v>0</v>
      </c>
      <c r="AP28" s="54">
        <f t="shared" si="14"/>
        <v>0</v>
      </c>
      <c r="AQ28" s="69" t="s">
        <v>107</v>
      </c>
      <c r="AV28" s="54">
        <f t="shared" si="15"/>
        <v>0</v>
      </c>
      <c r="AW28" s="54">
        <f t="shared" si="16"/>
        <v>0</v>
      </c>
      <c r="AX28" s="54">
        <f t="shared" si="17"/>
        <v>0</v>
      </c>
      <c r="AY28" s="56" t="s">
        <v>1748</v>
      </c>
      <c r="AZ28" s="56" t="s">
        <v>1749</v>
      </c>
      <c r="BA28" s="34" t="s">
        <v>1750</v>
      </c>
      <c r="BC28" s="54">
        <f t="shared" si="18"/>
        <v>0</v>
      </c>
      <c r="BD28" s="54">
        <f t="shared" si="19"/>
        <v>0</v>
      </c>
      <c r="BE28" s="54">
        <v>0</v>
      </c>
      <c r="BF28" s="54">
        <f t="shared" si="20"/>
        <v>0</v>
      </c>
      <c r="BH28" s="67">
        <f t="shared" si="21"/>
        <v>0</v>
      </c>
      <c r="BI28" s="67">
        <f t="shared" si="22"/>
        <v>0</v>
      </c>
      <c r="BJ28" s="67">
        <f t="shared" si="23"/>
        <v>0</v>
      </c>
      <c r="BK28" s="67"/>
      <c r="BL28" s="54"/>
      <c r="BW28" s="54">
        <v>21</v>
      </c>
      <c r="BX28" s="66" t="s">
        <v>1778</v>
      </c>
    </row>
    <row r="29" spans="1:76" ht="14.5" x14ac:dyDescent="0.35">
      <c r="A29" s="64" t="s">
        <v>241</v>
      </c>
      <c r="B29" s="65" t="s">
        <v>1742</v>
      </c>
      <c r="C29" s="65" t="s">
        <v>1779</v>
      </c>
      <c r="D29" s="217" t="s">
        <v>1780</v>
      </c>
      <c r="E29" s="218"/>
      <c r="F29" s="65" t="s">
        <v>481</v>
      </c>
      <c r="G29" s="67">
        <f>'Stavební rozpočet'!G817</f>
        <v>30</v>
      </c>
      <c r="H29" s="95">
        <f>'Stavební rozpočet'!H817</f>
        <v>0</v>
      </c>
      <c r="I29" s="67">
        <f t="shared" si="0"/>
        <v>0</v>
      </c>
      <c r="J29" s="67">
        <f>'Stavební rozpočet'!J817</f>
        <v>0</v>
      </c>
      <c r="K29" s="67">
        <f>'Stavební rozpočet'!K817</f>
        <v>0</v>
      </c>
      <c r="L29" s="67">
        <f t="shared" si="1"/>
        <v>0</v>
      </c>
      <c r="M29" s="68" t="s">
        <v>10</v>
      </c>
      <c r="Z29" s="54">
        <f t="shared" si="2"/>
        <v>0</v>
      </c>
      <c r="AB29" s="54">
        <f t="shared" si="3"/>
        <v>0</v>
      </c>
      <c r="AC29" s="54">
        <f t="shared" si="4"/>
        <v>0</v>
      </c>
      <c r="AD29" s="54">
        <f t="shared" si="5"/>
        <v>0</v>
      </c>
      <c r="AE29" s="54">
        <f t="shared" si="6"/>
        <v>0</v>
      </c>
      <c r="AF29" s="54">
        <f t="shared" si="7"/>
        <v>0</v>
      </c>
      <c r="AG29" s="54">
        <f t="shared" si="8"/>
        <v>0</v>
      </c>
      <c r="AH29" s="54">
        <f t="shared" si="9"/>
        <v>0</v>
      </c>
      <c r="AI29" s="34" t="s">
        <v>1742</v>
      </c>
      <c r="AJ29" s="67">
        <f t="shared" si="10"/>
        <v>0</v>
      </c>
      <c r="AK29" s="67">
        <f t="shared" si="11"/>
        <v>0</v>
      </c>
      <c r="AL29" s="67">
        <f t="shared" si="12"/>
        <v>0</v>
      </c>
      <c r="AN29" s="54">
        <v>21</v>
      </c>
      <c r="AO29" s="54">
        <f t="shared" si="13"/>
        <v>0</v>
      </c>
      <c r="AP29" s="54">
        <f t="shared" si="14"/>
        <v>0</v>
      </c>
      <c r="AQ29" s="69" t="s">
        <v>107</v>
      </c>
      <c r="AV29" s="54">
        <f t="shared" si="15"/>
        <v>0</v>
      </c>
      <c r="AW29" s="54">
        <f t="shared" si="16"/>
        <v>0</v>
      </c>
      <c r="AX29" s="54">
        <f t="shared" si="17"/>
        <v>0</v>
      </c>
      <c r="AY29" s="56" t="s">
        <v>1748</v>
      </c>
      <c r="AZ29" s="56" t="s">
        <v>1749</v>
      </c>
      <c r="BA29" s="34" t="s">
        <v>1750</v>
      </c>
      <c r="BC29" s="54">
        <f t="shared" si="18"/>
        <v>0</v>
      </c>
      <c r="BD29" s="54">
        <f t="shared" si="19"/>
        <v>0</v>
      </c>
      <c r="BE29" s="54">
        <v>0</v>
      </c>
      <c r="BF29" s="54">
        <f t="shared" si="20"/>
        <v>0</v>
      </c>
      <c r="BH29" s="67">
        <f t="shared" si="21"/>
        <v>0</v>
      </c>
      <c r="BI29" s="67">
        <f t="shared" si="22"/>
        <v>0</v>
      </c>
      <c r="BJ29" s="67">
        <f t="shared" si="23"/>
        <v>0</v>
      </c>
      <c r="BK29" s="67"/>
      <c r="BL29" s="54"/>
      <c r="BW29" s="54">
        <v>21</v>
      </c>
      <c r="BX29" s="66" t="s">
        <v>1780</v>
      </c>
    </row>
    <row r="30" spans="1:76" ht="14.5" x14ac:dyDescent="0.35">
      <c r="A30" s="64" t="s">
        <v>247</v>
      </c>
      <c r="B30" s="65" t="s">
        <v>1742</v>
      </c>
      <c r="C30" s="65" t="s">
        <v>1781</v>
      </c>
      <c r="D30" s="217" t="s">
        <v>1782</v>
      </c>
      <c r="E30" s="218"/>
      <c r="F30" s="65" t="s">
        <v>481</v>
      </c>
      <c r="G30" s="67">
        <f>'Stavební rozpočet'!G818</f>
        <v>25</v>
      </c>
      <c r="H30" s="95">
        <f>'Stavební rozpočet'!H818</f>
        <v>0</v>
      </c>
      <c r="I30" s="67">
        <f t="shared" si="0"/>
        <v>0</v>
      </c>
      <c r="J30" s="67">
        <f>'Stavební rozpočet'!J818</f>
        <v>0</v>
      </c>
      <c r="K30" s="67">
        <f>'Stavební rozpočet'!K818</f>
        <v>0</v>
      </c>
      <c r="L30" s="67">
        <f t="shared" si="1"/>
        <v>0</v>
      </c>
      <c r="M30" s="68" t="s">
        <v>10</v>
      </c>
      <c r="Z30" s="54">
        <f t="shared" si="2"/>
        <v>0</v>
      </c>
      <c r="AB30" s="54">
        <f t="shared" si="3"/>
        <v>0</v>
      </c>
      <c r="AC30" s="54">
        <f t="shared" si="4"/>
        <v>0</v>
      </c>
      <c r="AD30" s="54">
        <f t="shared" si="5"/>
        <v>0</v>
      </c>
      <c r="AE30" s="54">
        <f t="shared" si="6"/>
        <v>0</v>
      </c>
      <c r="AF30" s="54">
        <f t="shared" si="7"/>
        <v>0</v>
      </c>
      <c r="AG30" s="54">
        <f t="shared" si="8"/>
        <v>0</v>
      </c>
      <c r="AH30" s="54">
        <f t="shared" si="9"/>
        <v>0</v>
      </c>
      <c r="AI30" s="34" t="s">
        <v>1742</v>
      </c>
      <c r="AJ30" s="67">
        <f t="shared" si="10"/>
        <v>0</v>
      </c>
      <c r="AK30" s="67">
        <f t="shared" si="11"/>
        <v>0</v>
      </c>
      <c r="AL30" s="67">
        <f t="shared" si="12"/>
        <v>0</v>
      </c>
      <c r="AN30" s="54">
        <v>21</v>
      </c>
      <c r="AO30" s="54">
        <f t="shared" si="13"/>
        <v>0</v>
      </c>
      <c r="AP30" s="54">
        <f t="shared" si="14"/>
        <v>0</v>
      </c>
      <c r="AQ30" s="69" t="s">
        <v>107</v>
      </c>
      <c r="AV30" s="54">
        <f t="shared" si="15"/>
        <v>0</v>
      </c>
      <c r="AW30" s="54">
        <f t="shared" si="16"/>
        <v>0</v>
      </c>
      <c r="AX30" s="54">
        <f t="shared" si="17"/>
        <v>0</v>
      </c>
      <c r="AY30" s="56" t="s">
        <v>1748</v>
      </c>
      <c r="AZ30" s="56" t="s">
        <v>1749</v>
      </c>
      <c r="BA30" s="34" t="s">
        <v>1750</v>
      </c>
      <c r="BC30" s="54">
        <f t="shared" si="18"/>
        <v>0</v>
      </c>
      <c r="BD30" s="54">
        <f t="shared" si="19"/>
        <v>0</v>
      </c>
      <c r="BE30" s="54">
        <v>0</v>
      </c>
      <c r="BF30" s="54">
        <f t="shared" si="20"/>
        <v>0</v>
      </c>
      <c r="BH30" s="67">
        <f t="shared" si="21"/>
        <v>0</v>
      </c>
      <c r="BI30" s="67">
        <f t="shared" si="22"/>
        <v>0</v>
      </c>
      <c r="BJ30" s="67">
        <f t="shared" si="23"/>
        <v>0</v>
      </c>
      <c r="BK30" s="67"/>
      <c r="BL30" s="54"/>
      <c r="BW30" s="54">
        <v>21</v>
      </c>
      <c r="BX30" s="66" t="s">
        <v>1782</v>
      </c>
    </row>
    <row r="31" spans="1:76" ht="14.5" x14ac:dyDescent="0.35">
      <c r="A31" s="64" t="s">
        <v>255</v>
      </c>
      <c r="B31" s="65" t="s">
        <v>1742</v>
      </c>
      <c r="C31" s="65" t="s">
        <v>1783</v>
      </c>
      <c r="D31" s="217" t="s">
        <v>1784</v>
      </c>
      <c r="E31" s="218"/>
      <c r="F31" s="65" t="s">
        <v>481</v>
      </c>
      <c r="G31" s="67">
        <f>'Stavební rozpočet'!G819</f>
        <v>1</v>
      </c>
      <c r="H31" s="95">
        <f>'Stavební rozpočet'!H819</f>
        <v>0</v>
      </c>
      <c r="I31" s="67">
        <f t="shared" si="0"/>
        <v>0</v>
      </c>
      <c r="J31" s="67">
        <f>'Stavební rozpočet'!J819</f>
        <v>0</v>
      </c>
      <c r="K31" s="67">
        <f>'Stavební rozpočet'!K819</f>
        <v>0</v>
      </c>
      <c r="L31" s="67">
        <f t="shared" si="1"/>
        <v>0</v>
      </c>
      <c r="M31" s="68" t="s">
        <v>10</v>
      </c>
      <c r="Z31" s="54">
        <f t="shared" si="2"/>
        <v>0</v>
      </c>
      <c r="AB31" s="54">
        <f t="shared" si="3"/>
        <v>0</v>
      </c>
      <c r="AC31" s="54">
        <f t="shared" si="4"/>
        <v>0</v>
      </c>
      <c r="AD31" s="54">
        <f t="shared" si="5"/>
        <v>0</v>
      </c>
      <c r="AE31" s="54">
        <f t="shared" si="6"/>
        <v>0</v>
      </c>
      <c r="AF31" s="54">
        <f t="shared" si="7"/>
        <v>0</v>
      </c>
      <c r="AG31" s="54">
        <f t="shared" si="8"/>
        <v>0</v>
      </c>
      <c r="AH31" s="54">
        <f t="shared" si="9"/>
        <v>0</v>
      </c>
      <c r="AI31" s="34" t="s">
        <v>1742</v>
      </c>
      <c r="AJ31" s="67">
        <f t="shared" si="10"/>
        <v>0</v>
      </c>
      <c r="AK31" s="67">
        <f t="shared" si="11"/>
        <v>0</v>
      </c>
      <c r="AL31" s="67">
        <f t="shared" si="12"/>
        <v>0</v>
      </c>
      <c r="AN31" s="54">
        <v>21</v>
      </c>
      <c r="AO31" s="54">
        <f t="shared" si="13"/>
        <v>0</v>
      </c>
      <c r="AP31" s="54">
        <f t="shared" si="14"/>
        <v>0</v>
      </c>
      <c r="AQ31" s="69" t="s">
        <v>107</v>
      </c>
      <c r="AV31" s="54">
        <f t="shared" si="15"/>
        <v>0</v>
      </c>
      <c r="AW31" s="54">
        <f t="shared" si="16"/>
        <v>0</v>
      </c>
      <c r="AX31" s="54">
        <f t="shared" si="17"/>
        <v>0</v>
      </c>
      <c r="AY31" s="56" t="s">
        <v>1748</v>
      </c>
      <c r="AZ31" s="56" t="s">
        <v>1749</v>
      </c>
      <c r="BA31" s="34" t="s">
        <v>1750</v>
      </c>
      <c r="BC31" s="54">
        <f t="shared" si="18"/>
        <v>0</v>
      </c>
      <c r="BD31" s="54">
        <f t="shared" si="19"/>
        <v>0</v>
      </c>
      <c r="BE31" s="54">
        <v>0</v>
      </c>
      <c r="BF31" s="54">
        <f t="shared" si="20"/>
        <v>0</v>
      </c>
      <c r="BH31" s="67">
        <f t="shared" si="21"/>
        <v>0</v>
      </c>
      <c r="BI31" s="67">
        <f t="shared" si="22"/>
        <v>0</v>
      </c>
      <c r="BJ31" s="67">
        <f t="shared" si="23"/>
        <v>0</v>
      </c>
      <c r="BK31" s="67"/>
      <c r="BL31" s="54"/>
      <c r="BW31" s="54">
        <v>21</v>
      </c>
      <c r="BX31" s="66" t="s">
        <v>1784</v>
      </c>
    </row>
    <row r="32" spans="1:76" ht="14.5" x14ac:dyDescent="0.35">
      <c r="A32" s="64" t="s">
        <v>268</v>
      </c>
      <c r="B32" s="65" t="s">
        <v>1742</v>
      </c>
      <c r="C32" s="65" t="s">
        <v>1785</v>
      </c>
      <c r="D32" s="217" t="s">
        <v>1786</v>
      </c>
      <c r="E32" s="218"/>
      <c r="F32" s="65" t="s">
        <v>481</v>
      </c>
      <c r="G32" s="67">
        <f>'Stavební rozpočet'!G820</f>
        <v>1</v>
      </c>
      <c r="H32" s="95">
        <f>'Stavební rozpočet'!H820</f>
        <v>0</v>
      </c>
      <c r="I32" s="67">
        <f t="shared" si="0"/>
        <v>0</v>
      </c>
      <c r="J32" s="67">
        <f>'Stavební rozpočet'!J820</f>
        <v>0</v>
      </c>
      <c r="K32" s="67">
        <f>'Stavební rozpočet'!K820</f>
        <v>0</v>
      </c>
      <c r="L32" s="67">
        <f t="shared" si="1"/>
        <v>0</v>
      </c>
      <c r="M32" s="68" t="s">
        <v>10</v>
      </c>
      <c r="Z32" s="54">
        <f t="shared" si="2"/>
        <v>0</v>
      </c>
      <c r="AB32" s="54">
        <f t="shared" si="3"/>
        <v>0</v>
      </c>
      <c r="AC32" s="54">
        <f t="shared" si="4"/>
        <v>0</v>
      </c>
      <c r="AD32" s="54">
        <f t="shared" si="5"/>
        <v>0</v>
      </c>
      <c r="AE32" s="54">
        <f t="shared" si="6"/>
        <v>0</v>
      </c>
      <c r="AF32" s="54">
        <f t="shared" si="7"/>
        <v>0</v>
      </c>
      <c r="AG32" s="54">
        <f t="shared" si="8"/>
        <v>0</v>
      </c>
      <c r="AH32" s="54">
        <f t="shared" si="9"/>
        <v>0</v>
      </c>
      <c r="AI32" s="34" t="s">
        <v>1742</v>
      </c>
      <c r="AJ32" s="67">
        <f t="shared" si="10"/>
        <v>0</v>
      </c>
      <c r="AK32" s="67">
        <f t="shared" si="11"/>
        <v>0</v>
      </c>
      <c r="AL32" s="67">
        <f t="shared" si="12"/>
        <v>0</v>
      </c>
      <c r="AN32" s="54">
        <v>21</v>
      </c>
      <c r="AO32" s="54">
        <f t="shared" si="13"/>
        <v>0</v>
      </c>
      <c r="AP32" s="54">
        <f t="shared" si="14"/>
        <v>0</v>
      </c>
      <c r="AQ32" s="69" t="s">
        <v>107</v>
      </c>
      <c r="AV32" s="54">
        <f t="shared" si="15"/>
        <v>0</v>
      </c>
      <c r="AW32" s="54">
        <f t="shared" si="16"/>
        <v>0</v>
      </c>
      <c r="AX32" s="54">
        <f t="shared" si="17"/>
        <v>0</v>
      </c>
      <c r="AY32" s="56" t="s">
        <v>1748</v>
      </c>
      <c r="AZ32" s="56" t="s">
        <v>1749</v>
      </c>
      <c r="BA32" s="34" t="s">
        <v>1750</v>
      </c>
      <c r="BC32" s="54">
        <f t="shared" si="18"/>
        <v>0</v>
      </c>
      <c r="BD32" s="54">
        <f t="shared" si="19"/>
        <v>0</v>
      </c>
      <c r="BE32" s="54">
        <v>0</v>
      </c>
      <c r="BF32" s="54">
        <f t="shared" si="20"/>
        <v>0</v>
      </c>
      <c r="BH32" s="67">
        <f t="shared" si="21"/>
        <v>0</v>
      </c>
      <c r="BI32" s="67">
        <f t="shared" si="22"/>
        <v>0</v>
      </c>
      <c r="BJ32" s="67">
        <f t="shared" si="23"/>
        <v>0</v>
      </c>
      <c r="BK32" s="67"/>
      <c r="BL32" s="54"/>
      <c r="BW32" s="54">
        <v>21</v>
      </c>
      <c r="BX32" s="66" t="s">
        <v>1786</v>
      </c>
    </row>
    <row r="33" spans="1:76" ht="14.5" x14ac:dyDescent="0.35">
      <c r="A33" s="64" t="s">
        <v>275</v>
      </c>
      <c r="B33" s="65" t="s">
        <v>1742</v>
      </c>
      <c r="C33" s="65" t="s">
        <v>1787</v>
      </c>
      <c r="D33" s="217" t="s">
        <v>1788</v>
      </c>
      <c r="E33" s="218"/>
      <c r="F33" s="65" t="s">
        <v>481</v>
      </c>
      <c r="G33" s="67">
        <f>'Stavební rozpočet'!G821</f>
        <v>1</v>
      </c>
      <c r="H33" s="95">
        <f>'Stavební rozpočet'!H821</f>
        <v>0</v>
      </c>
      <c r="I33" s="67">
        <f t="shared" si="0"/>
        <v>0</v>
      </c>
      <c r="J33" s="67">
        <f>'Stavební rozpočet'!J821</f>
        <v>0</v>
      </c>
      <c r="K33" s="67">
        <f>'Stavební rozpočet'!K821</f>
        <v>0</v>
      </c>
      <c r="L33" s="67">
        <f t="shared" si="1"/>
        <v>0</v>
      </c>
      <c r="M33" s="68" t="s">
        <v>10</v>
      </c>
      <c r="Z33" s="54">
        <f t="shared" si="2"/>
        <v>0</v>
      </c>
      <c r="AB33" s="54">
        <f t="shared" si="3"/>
        <v>0</v>
      </c>
      <c r="AC33" s="54">
        <f t="shared" si="4"/>
        <v>0</v>
      </c>
      <c r="AD33" s="54">
        <f t="shared" si="5"/>
        <v>0</v>
      </c>
      <c r="AE33" s="54">
        <f t="shared" si="6"/>
        <v>0</v>
      </c>
      <c r="AF33" s="54">
        <f t="shared" si="7"/>
        <v>0</v>
      </c>
      <c r="AG33" s="54">
        <f t="shared" si="8"/>
        <v>0</v>
      </c>
      <c r="AH33" s="54">
        <f t="shared" si="9"/>
        <v>0</v>
      </c>
      <c r="AI33" s="34" t="s">
        <v>1742</v>
      </c>
      <c r="AJ33" s="67">
        <f t="shared" si="10"/>
        <v>0</v>
      </c>
      <c r="AK33" s="67">
        <f t="shared" si="11"/>
        <v>0</v>
      </c>
      <c r="AL33" s="67">
        <f t="shared" si="12"/>
        <v>0</v>
      </c>
      <c r="AN33" s="54">
        <v>21</v>
      </c>
      <c r="AO33" s="54">
        <f t="shared" si="13"/>
        <v>0</v>
      </c>
      <c r="AP33" s="54">
        <f t="shared" si="14"/>
        <v>0</v>
      </c>
      <c r="AQ33" s="69" t="s">
        <v>107</v>
      </c>
      <c r="AV33" s="54">
        <f t="shared" si="15"/>
        <v>0</v>
      </c>
      <c r="AW33" s="54">
        <f t="shared" si="16"/>
        <v>0</v>
      </c>
      <c r="AX33" s="54">
        <f t="shared" si="17"/>
        <v>0</v>
      </c>
      <c r="AY33" s="56" t="s">
        <v>1748</v>
      </c>
      <c r="AZ33" s="56" t="s">
        <v>1749</v>
      </c>
      <c r="BA33" s="34" t="s">
        <v>1750</v>
      </c>
      <c r="BC33" s="54">
        <f t="shared" si="18"/>
        <v>0</v>
      </c>
      <c r="BD33" s="54">
        <f t="shared" si="19"/>
        <v>0</v>
      </c>
      <c r="BE33" s="54">
        <v>0</v>
      </c>
      <c r="BF33" s="54">
        <f t="shared" si="20"/>
        <v>0</v>
      </c>
      <c r="BH33" s="67">
        <f t="shared" si="21"/>
        <v>0</v>
      </c>
      <c r="BI33" s="67">
        <f t="shared" si="22"/>
        <v>0</v>
      </c>
      <c r="BJ33" s="67">
        <f t="shared" si="23"/>
        <v>0</v>
      </c>
      <c r="BK33" s="67"/>
      <c r="BL33" s="54"/>
      <c r="BW33" s="54">
        <v>21</v>
      </c>
      <c r="BX33" s="66" t="s">
        <v>1788</v>
      </c>
    </row>
    <row r="34" spans="1:76" ht="14.5" x14ac:dyDescent="0.35">
      <c r="A34" s="64" t="s">
        <v>285</v>
      </c>
      <c r="B34" s="65" t="s">
        <v>1742</v>
      </c>
      <c r="C34" s="65" t="s">
        <v>1789</v>
      </c>
      <c r="D34" s="217" t="s">
        <v>1790</v>
      </c>
      <c r="E34" s="218"/>
      <c r="F34" s="65" t="s">
        <v>481</v>
      </c>
      <c r="G34" s="67">
        <f>'Stavební rozpočet'!G822</f>
        <v>2</v>
      </c>
      <c r="H34" s="95">
        <f>'Stavební rozpočet'!H822</f>
        <v>0</v>
      </c>
      <c r="I34" s="67">
        <f t="shared" si="0"/>
        <v>0</v>
      </c>
      <c r="J34" s="67">
        <f>'Stavební rozpočet'!J822</f>
        <v>0</v>
      </c>
      <c r="K34" s="67">
        <f>'Stavební rozpočet'!K822</f>
        <v>0</v>
      </c>
      <c r="L34" s="67">
        <f t="shared" si="1"/>
        <v>0</v>
      </c>
      <c r="M34" s="68" t="s">
        <v>10</v>
      </c>
      <c r="Z34" s="54">
        <f t="shared" si="2"/>
        <v>0</v>
      </c>
      <c r="AB34" s="54">
        <f t="shared" si="3"/>
        <v>0</v>
      </c>
      <c r="AC34" s="54">
        <f t="shared" si="4"/>
        <v>0</v>
      </c>
      <c r="AD34" s="54">
        <f t="shared" si="5"/>
        <v>0</v>
      </c>
      <c r="AE34" s="54">
        <f t="shared" si="6"/>
        <v>0</v>
      </c>
      <c r="AF34" s="54">
        <f t="shared" si="7"/>
        <v>0</v>
      </c>
      <c r="AG34" s="54">
        <f t="shared" si="8"/>
        <v>0</v>
      </c>
      <c r="AH34" s="54">
        <f t="shared" si="9"/>
        <v>0</v>
      </c>
      <c r="AI34" s="34" t="s">
        <v>1742</v>
      </c>
      <c r="AJ34" s="67">
        <f t="shared" si="10"/>
        <v>0</v>
      </c>
      <c r="AK34" s="67">
        <f t="shared" si="11"/>
        <v>0</v>
      </c>
      <c r="AL34" s="67">
        <f t="shared" si="12"/>
        <v>0</v>
      </c>
      <c r="AN34" s="54">
        <v>21</v>
      </c>
      <c r="AO34" s="54">
        <f t="shared" si="13"/>
        <v>0</v>
      </c>
      <c r="AP34" s="54">
        <f t="shared" si="14"/>
        <v>0</v>
      </c>
      <c r="AQ34" s="69" t="s">
        <v>107</v>
      </c>
      <c r="AV34" s="54">
        <f t="shared" si="15"/>
        <v>0</v>
      </c>
      <c r="AW34" s="54">
        <f t="shared" si="16"/>
        <v>0</v>
      </c>
      <c r="AX34" s="54">
        <f t="shared" si="17"/>
        <v>0</v>
      </c>
      <c r="AY34" s="56" t="s">
        <v>1748</v>
      </c>
      <c r="AZ34" s="56" t="s">
        <v>1749</v>
      </c>
      <c r="BA34" s="34" t="s">
        <v>1750</v>
      </c>
      <c r="BC34" s="54">
        <f t="shared" si="18"/>
        <v>0</v>
      </c>
      <c r="BD34" s="54">
        <f t="shared" si="19"/>
        <v>0</v>
      </c>
      <c r="BE34" s="54">
        <v>0</v>
      </c>
      <c r="BF34" s="54">
        <f t="shared" si="20"/>
        <v>0</v>
      </c>
      <c r="BH34" s="67">
        <f t="shared" si="21"/>
        <v>0</v>
      </c>
      <c r="BI34" s="67">
        <f t="shared" si="22"/>
        <v>0</v>
      </c>
      <c r="BJ34" s="67">
        <f t="shared" si="23"/>
        <v>0</v>
      </c>
      <c r="BK34" s="67"/>
      <c r="BL34" s="54"/>
      <c r="BW34" s="54">
        <v>21</v>
      </c>
      <c r="BX34" s="66" t="s">
        <v>1790</v>
      </c>
    </row>
    <row r="35" spans="1:76" ht="14.5" x14ac:dyDescent="0.35">
      <c r="A35" s="64" t="s">
        <v>301</v>
      </c>
      <c r="B35" s="65" t="s">
        <v>1742</v>
      </c>
      <c r="C35" s="65" t="s">
        <v>1791</v>
      </c>
      <c r="D35" s="217" t="s">
        <v>1792</v>
      </c>
      <c r="E35" s="218"/>
      <c r="F35" s="65" t="s">
        <v>481</v>
      </c>
      <c r="G35" s="67">
        <f>'Stavební rozpočet'!G823</f>
        <v>8</v>
      </c>
      <c r="H35" s="95">
        <f>'Stavební rozpočet'!H823</f>
        <v>0</v>
      </c>
      <c r="I35" s="67">
        <f t="shared" si="0"/>
        <v>0</v>
      </c>
      <c r="J35" s="67">
        <f>'Stavební rozpočet'!J823</f>
        <v>0</v>
      </c>
      <c r="K35" s="67">
        <f>'Stavební rozpočet'!K823</f>
        <v>0</v>
      </c>
      <c r="L35" s="67">
        <f t="shared" si="1"/>
        <v>0</v>
      </c>
      <c r="M35" s="68" t="s">
        <v>10</v>
      </c>
      <c r="Z35" s="54">
        <f t="shared" si="2"/>
        <v>0</v>
      </c>
      <c r="AB35" s="54">
        <f t="shared" si="3"/>
        <v>0</v>
      </c>
      <c r="AC35" s="54">
        <f t="shared" si="4"/>
        <v>0</v>
      </c>
      <c r="AD35" s="54">
        <f t="shared" si="5"/>
        <v>0</v>
      </c>
      <c r="AE35" s="54">
        <f t="shared" si="6"/>
        <v>0</v>
      </c>
      <c r="AF35" s="54">
        <f t="shared" si="7"/>
        <v>0</v>
      </c>
      <c r="AG35" s="54">
        <f t="shared" si="8"/>
        <v>0</v>
      </c>
      <c r="AH35" s="54">
        <f t="shared" si="9"/>
        <v>0</v>
      </c>
      <c r="AI35" s="34" t="s">
        <v>1742</v>
      </c>
      <c r="AJ35" s="67">
        <f t="shared" si="10"/>
        <v>0</v>
      </c>
      <c r="AK35" s="67">
        <f t="shared" si="11"/>
        <v>0</v>
      </c>
      <c r="AL35" s="67">
        <f t="shared" si="12"/>
        <v>0</v>
      </c>
      <c r="AN35" s="54">
        <v>21</v>
      </c>
      <c r="AO35" s="54">
        <f t="shared" si="13"/>
        <v>0</v>
      </c>
      <c r="AP35" s="54">
        <f t="shared" si="14"/>
        <v>0</v>
      </c>
      <c r="AQ35" s="69" t="s">
        <v>107</v>
      </c>
      <c r="AV35" s="54">
        <f t="shared" si="15"/>
        <v>0</v>
      </c>
      <c r="AW35" s="54">
        <f t="shared" si="16"/>
        <v>0</v>
      </c>
      <c r="AX35" s="54">
        <f t="shared" si="17"/>
        <v>0</v>
      </c>
      <c r="AY35" s="56" t="s">
        <v>1748</v>
      </c>
      <c r="AZ35" s="56" t="s">
        <v>1749</v>
      </c>
      <c r="BA35" s="34" t="s">
        <v>1750</v>
      </c>
      <c r="BC35" s="54">
        <f t="shared" si="18"/>
        <v>0</v>
      </c>
      <c r="BD35" s="54">
        <f t="shared" si="19"/>
        <v>0</v>
      </c>
      <c r="BE35" s="54">
        <v>0</v>
      </c>
      <c r="BF35" s="54">
        <f t="shared" si="20"/>
        <v>0</v>
      </c>
      <c r="BH35" s="67">
        <f t="shared" si="21"/>
        <v>0</v>
      </c>
      <c r="BI35" s="67">
        <f t="shared" si="22"/>
        <v>0</v>
      </c>
      <c r="BJ35" s="67">
        <f t="shared" si="23"/>
        <v>0</v>
      </c>
      <c r="BK35" s="67"/>
      <c r="BL35" s="54"/>
      <c r="BW35" s="54">
        <v>21</v>
      </c>
      <c r="BX35" s="66" t="s">
        <v>1792</v>
      </c>
    </row>
    <row r="36" spans="1:76" ht="14.5" x14ac:dyDescent="0.35">
      <c r="A36" s="64" t="s">
        <v>312</v>
      </c>
      <c r="B36" s="65" t="s">
        <v>1742</v>
      </c>
      <c r="C36" s="65" t="s">
        <v>1793</v>
      </c>
      <c r="D36" s="217" t="s">
        <v>1794</v>
      </c>
      <c r="E36" s="218"/>
      <c r="F36" s="65" t="s">
        <v>481</v>
      </c>
      <c r="G36" s="67">
        <f>'Stavební rozpočet'!G824</f>
        <v>8</v>
      </c>
      <c r="H36" s="95">
        <f>'Stavební rozpočet'!H824</f>
        <v>0</v>
      </c>
      <c r="I36" s="67">
        <f t="shared" si="0"/>
        <v>0</v>
      </c>
      <c r="J36" s="67">
        <f>'Stavební rozpočet'!J824</f>
        <v>0</v>
      </c>
      <c r="K36" s="67">
        <f>'Stavební rozpočet'!K824</f>
        <v>0</v>
      </c>
      <c r="L36" s="67">
        <f t="shared" si="1"/>
        <v>0</v>
      </c>
      <c r="M36" s="68" t="s">
        <v>10</v>
      </c>
      <c r="Z36" s="54">
        <f t="shared" si="2"/>
        <v>0</v>
      </c>
      <c r="AB36" s="54">
        <f t="shared" si="3"/>
        <v>0</v>
      </c>
      <c r="AC36" s="54">
        <f t="shared" si="4"/>
        <v>0</v>
      </c>
      <c r="AD36" s="54">
        <f t="shared" si="5"/>
        <v>0</v>
      </c>
      <c r="AE36" s="54">
        <f t="shared" si="6"/>
        <v>0</v>
      </c>
      <c r="AF36" s="54">
        <f t="shared" si="7"/>
        <v>0</v>
      </c>
      <c r="AG36" s="54">
        <f t="shared" si="8"/>
        <v>0</v>
      </c>
      <c r="AH36" s="54">
        <f t="shared" si="9"/>
        <v>0</v>
      </c>
      <c r="AI36" s="34" t="s">
        <v>1742</v>
      </c>
      <c r="AJ36" s="67">
        <f t="shared" si="10"/>
        <v>0</v>
      </c>
      <c r="AK36" s="67">
        <f t="shared" si="11"/>
        <v>0</v>
      </c>
      <c r="AL36" s="67">
        <f t="shared" si="12"/>
        <v>0</v>
      </c>
      <c r="AN36" s="54">
        <v>21</v>
      </c>
      <c r="AO36" s="54">
        <f t="shared" si="13"/>
        <v>0</v>
      </c>
      <c r="AP36" s="54">
        <f t="shared" si="14"/>
        <v>0</v>
      </c>
      <c r="AQ36" s="69" t="s">
        <v>107</v>
      </c>
      <c r="AV36" s="54">
        <f t="shared" si="15"/>
        <v>0</v>
      </c>
      <c r="AW36" s="54">
        <f t="shared" si="16"/>
        <v>0</v>
      </c>
      <c r="AX36" s="54">
        <f t="shared" si="17"/>
        <v>0</v>
      </c>
      <c r="AY36" s="56" t="s">
        <v>1748</v>
      </c>
      <c r="AZ36" s="56" t="s">
        <v>1749</v>
      </c>
      <c r="BA36" s="34" t="s">
        <v>1750</v>
      </c>
      <c r="BC36" s="54">
        <f t="shared" si="18"/>
        <v>0</v>
      </c>
      <c r="BD36" s="54">
        <f t="shared" si="19"/>
        <v>0</v>
      </c>
      <c r="BE36" s="54">
        <v>0</v>
      </c>
      <c r="BF36" s="54">
        <f t="shared" si="20"/>
        <v>0</v>
      </c>
      <c r="BH36" s="67">
        <f t="shared" si="21"/>
        <v>0</v>
      </c>
      <c r="BI36" s="67">
        <f t="shared" si="22"/>
        <v>0</v>
      </c>
      <c r="BJ36" s="67">
        <f t="shared" si="23"/>
        <v>0</v>
      </c>
      <c r="BK36" s="67"/>
      <c r="BL36" s="54"/>
      <c r="BW36" s="54">
        <v>21</v>
      </c>
      <c r="BX36" s="66" t="s">
        <v>1794</v>
      </c>
    </row>
    <row r="37" spans="1:76" ht="14.5" x14ac:dyDescent="0.35">
      <c r="A37" s="64" t="s">
        <v>198</v>
      </c>
      <c r="B37" s="65" t="s">
        <v>1742</v>
      </c>
      <c r="C37" s="65" t="s">
        <v>1795</v>
      </c>
      <c r="D37" s="217" t="s">
        <v>1796</v>
      </c>
      <c r="E37" s="218"/>
      <c r="F37" s="65" t="s">
        <v>481</v>
      </c>
      <c r="G37" s="67">
        <f>'Stavební rozpočet'!G825</f>
        <v>12</v>
      </c>
      <c r="H37" s="95">
        <f>'Stavební rozpočet'!H825</f>
        <v>0</v>
      </c>
      <c r="I37" s="67">
        <f t="shared" si="0"/>
        <v>0</v>
      </c>
      <c r="J37" s="67">
        <f>'Stavební rozpočet'!J825</f>
        <v>0</v>
      </c>
      <c r="K37" s="67">
        <f>'Stavební rozpočet'!K825</f>
        <v>0</v>
      </c>
      <c r="L37" s="67">
        <f t="shared" si="1"/>
        <v>0</v>
      </c>
      <c r="M37" s="68" t="s">
        <v>10</v>
      </c>
      <c r="Z37" s="54">
        <f t="shared" si="2"/>
        <v>0</v>
      </c>
      <c r="AB37" s="54">
        <f t="shared" si="3"/>
        <v>0</v>
      </c>
      <c r="AC37" s="54">
        <f t="shared" si="4"/>
        <v>0</v>
      </c>
      <c r="AD37" s="54">
        <f t="shared" si="5"/>
        <v>0</v>
      </c>
      <c r="AE37" s="54">
        <f t="shared" si="6"/>
        <v>0</v>
      </c>
      <c r="AF37" s="54">
        <f t="shared" si="7"/>
        <v>0</v>
      </c>
      <c r="AG37" s="54">
        <f t="shared" si="8"/>
        <v>0</v>
      </c>
      <c r="AH37" s="54">
        <f t="shared" si="9"/>
        <v>0</v>
      </c>
      <c r="AI37" s="34" t="s">
        <v>1742</v>
      </c>
      <c r="AJ37" s="67">
        <f t="shared" si="10"/>
        <v>0</v>
      </c>
      <c r="AK37" s="67">
        <f t="shared" si="11"/>
        <v>0</v>
      </c>
      <c r="AL37" s="67">
        <f t="shared" si="12"/>
        <v>0</v>
      </c>
      <c r="AN37" s="54">
        <v>21</v>
      </c>
      <c r="AO37" s="54">
        <f t="shared" si="13"/>
        <v>0</v>
      </c>
      <c r="AP37" s="54">
        <f t="shared" si="14"/>
        <v>0</v>
      </c>
      <c r="AQ37" s="69" t="s">
        <v>107</v>
      </c>
      <c r="AV37" s="54">
        <f t="shared" si="15"/>
        <v>0</v>
      </c>
      <c r="AW37" s="54">
        <f t="shared" si="16"/>
        <v>0</v>
      </c>
      <c r="AX37" s="54">
        <f t="shared" si="17"/>
        <v>0</v>
      </c>
      <c r="AY37" s="56" t="s">
        <v>1748</v>
      </c>
      <c r="AZ37" s="56" t="s">
        <v>1749</v>
      </c>
      <c r="BA37" s="34" t="s">
        <v>1750</v>
      </c>
      <c r="BC37" s="54">
        <f t="shared" si="18"/>
        <v>0</v>
      </c>
      <c r="BD37" s="54">
        <f t="shared" si="19"/>
        <v>0</v>
      </c>
      <c r="BE37" s="54">
        <v>0</v>
      </c>
      <c r="BF37" s="54">
        <f t="shared" si="20"/>
        <v>0</v>
      </c>
      <c r="BH37" s="67">
        <f t="shared" si="21"/>
        <v>0</v>
      </c>
      <c r="BI37" s="67">
        <f t="shared" si="22"/>
        <v>0</v>
      </c>
      <c r="BJ37" s="67">
        <f t="shared" si="23"/>
        <v>0</v>
      </c>
      <c r="BK37" s="67"/>
      <c r="BL37" s="54"/>
      <c r="BW37" s="54">
        <v>21</v>
      </c>
      <c r="BX37" s="66" t="s">
        <v>1796</v>
      </c>
    </row>
    <row r="38" spans="1:76" ht="14.5" x14ac:dyDescent="0.35">
      <c r="A38" s="64" t="s">
        <v>331</v>
      </c>
      <c r="B38" s="65" t="s">
        <v>1742</v>
      </c>
      <c r="C38" s="65" t="s">
        <v>1797</v>
      </c>
      <c r="D38" s="217" t="s">
        <v>1798</v>
      </c>
      <c r="E38" s="218"/>
      <c r="F38" s="65" t="s">
        <v>481</v>
      </c>
      <c r="G38" s="67">
        <f>'Stavební rozpočet'!G826</f>
        <v>1</v>
      </c>
      <c r="H38" s="95">
        <f>'Stavební rozpočet'!H826</f>
        <v>0</v>
      </c>
      <c r="I38" s="67">
        <f t="shared" si="0"/>
        <v>0</v>
      </c>
      <c r="J38" s="67">
        <f>'Stavební rozpočet'!J826</f>
        <v>0</v>
      </c>
      <c r="K38" s="67">
        <f>'Stavební rozpočet'!K826</f>
        <v>0</v>
      </c>
      <c r="L38" s="67">
        <f t="shared" si="1"/>
        <v>0</v>
      </c>
      <c r="M38" s="68" t="s">
        <v>10</v>
      </c>
      <c r="Z38" s="54">
        <f t="shared" si="2"/>
        <v>0</v>
      </c>
      <c r="AB38" s="54">
        <f t="shared" si="3"/>
        <v>0</v>
      </c>
      <c r="AC38" s="54">
        <f t="shared" si="4"/>
        <v>0</v>
      </c>
      <c r="AD38" s="54">
        <f t="shared" si="5"/>
        <v>0</v>
      </c>
      <c r="AE38" s="54">
        <f t="shared" si="6"/>
        <v>0</v>
      </c>
      <c r="AF38" s="54">
        <f t="shared" si="7"/>
        <v>0</v>
      </c>
      <c r="AG38" s="54">
        <f t="shared" si="8"/>
        <v>0</v>
      </c>
      <c r="AH38" s="54">
        <f t="shared" si="9"/>
        <v>0</v>
      </c>
      <c r="AI38" s="34" t="s">
        <v>1742</v>
      </c>
      <c r="AJ38" s="67">
        <f t="shared" si="10"/>
        <v>0</v>
      </c>
      <c r="AK38" s="67">
        <f t="shared" si="11"/>
        <v>0</v>
      </c>
      <c r="AL38" s="67">
        <f t="shared" si="12"/>
        <v>0</v>
      </c>
      <c r="AN38" s="54">
        <v>21</v>
      </c>
      <c r="AO38" s="54">
        <f t="shared" si="13"/>
        <v>0</v>
      </c>
      <c r="AP38" s="54">
        <f t="shared" si="14"/>
        <v>0</v>
      </c>
      <c r="AQ38" s="69" t="s">
        <v>107</v>
      </c>
      <c r="AV38" s="54">
        <f t="shared" si="15"/>
        <v>0</v>
      </c>
      <c r="AW38" s="54">
        <f t="shared" si="16"/>
        <v>0</v>
      </c>
      <c r="AX38" s="54">
        <f t="shared" si="17"/>
        <v>0</v>
      </c>
      <c r="AY38" s="56" t="s">
        <v>1748</v>
      </c>
      <c r="AZ38" s="56" t="s">
        <v>1749</v>
      </c>
      <c r="BA38" s="34" t="s">
        <v>1750</v>
      </c>
      <c r="BC38" s="54">
        <f t="shared" si="18"/>
        <v>0</v>
      </c>
      <c r="BD38" s="54">
        <f t="shared" si="19"/>
        <v>0</v>
      </c>
      <c r="BE38" s="54">
        <v>0</v>
      </c>
      <c r="BF38" s="54">
        <f t="shared" si="20"/>
        <v>0</v>
      </c>
      <c r="BH38" s="67">
        <f t="shared" si="21"/>
        <v>0</v>
      </c>
      <c r="BI38" s="67">
        <f t="shared" si="22"/>
        <v>0</v>
      </c>
      <c r="BJ38" s="67">
        <f t="shared" si="23"/>
        <v>0</v>
      </c>
      <c r="BK38" s="67"/>
      <c r="BL38" s="54"/>
      <c r="BW38" s="54">
        <v>21</v>
      </c>
      <c r="BX38" s="66" t="s">
        <v>1798</v>
      </c>
    </row>
    <row r="39" spans="1:76" ht="14.5" x14ac:dyDescent="0.35">
      <c r="A39" s="1" t="s">
        <v>345</v>
      </c>
      <c r="B39" s="2" t="s">
        <v>1742</v>
      </c>
      <c r="C39" s="2" t="s">
        <v>1799</v>
      </c>
      <c r="D39" s="155" t="s">
        <v>1800</v>
      </c>
      <c r="E39" s="153"/>
      <c r="F39" s="2" t="s">
        <v>581</v>
      </c>
      <c r="G39" s="54">
        <f>'Stavební rozpočet'!G827</f>
        <v>1</v>
      </c>
      <c r="H39" s="94">
        <f>'Stavební rozpočet'!H827</f>
        <v>0</v>
      </c>
      <c r="I39" s="54">
        <f t="shared" si="0"/>
        <v>0</v>
      </c>
      <c r="J39" s="54">
        <f>'Stavební rozpočet'!J827</f>
        <v>0</v>
      </c>
      <c r="K39" s="54">
        <f>'Stavební rozpočet'!K827</f>
        <v>0</v>
      </c>
      <c r="L39" s="54">
        <f t="shared" si="1"/>
        <v>0</v>
      </c>
      <c r="M39" s="55" t="s">
        <v>111</v>
      </c>
      <c r="Z39" s="54">
        <f t="shared" si="2"/>
        <v>0</v>
      </c>
      <c r="AB39" s="54">
        <f t="shared" si="3"/>
        <v>0</v>
      </c>
      <c r="AC39" s="54">
        <f t="shared" si="4"/>
        <v>0</v>
      </c>
      <c r="AD39" s="54">
        <f t="shared" si="5"/>
        <v>0</v>
      </c>
      <c r="AE39" s="54">
        <f t="shared" si="6"/>
        <v>0</v>
      </c>
      <c r="AF39" s="54">
        <f t="shared" si="7"/>
        <v>0</v>
      </c>
      <c r="AG39" s="54">
        <f t="shared" si="8"/>
        <v>0</v>
      </c>
      <c r="AH39" s="54">
        <f t="shared" si="9"/>
        <v>0</v>
      </c>
      <c r="AI39" s="34" t="s">
        <v>1742</v>
      </c>
      <c r="AJ39" s="54">
        <f t="shared" si="10"/>
        <v>0</v>
      </c>
      <c r="AK39" s="54">
        <f t="shared" si="11"/>
        <v>0</v>
      </c>
      <c r="AL39" s="54">
        <f t="shared" si="12"/>
        <v>0</v>
      </c>
      <c r="AN39" s="54">
        <v>21</v>
      </c>
      <c r="AO39" s="54">
        <f>H39*0</f>
        <v>0</v>
      </c>
      <c r="AP39" s="54">
        <f>H39*(1-0)</f>
        <v>0</v>
      </c>
      <c r="AQ39" s="56" t="s">
        <v>119</v>
      </c>
      <c r="AV39" s="54">
        <f t="shared" si="15"/>
        <v>0</v>
      </c>
      <c r="AW39" s="54">
        <f t="shared" si="16"/>
        <v>0</v>
      </c>
      <c r="AX39" s="54">
        <f t="shared" si="17"/>
        <v>0</v>
      </c>
      <c r="AY39" s="56" t="s">
        <v>1748</v>
      </c>
      <c r="AZ39" s="56" t="s">
        <v>1749</v>
      </c>
      <c r="BA39" s="34" t="s">
        <v>1750</v>
      </c>
      <c r="BC39" s="54">
        <f t="shared" si="18"/>
        <v>0</v>
      </c>
      <c r="BD39" s="54">
        <f t="shared" si="19"/>
        <v>0</v>
      </c>
      <c r="BE39" s="54">
        <v>0</v>
      </c>
      <c r="BF39" s="54">
        <f t="shared" si="20"/>
        <v>0</v>
      </c>
      <c r="BH39" s="54">
        <f t="shared" si="21"/>
        <v>0</v>
      </c>
      <c r="BI39" s="54">
        <f t="shared" si="22"/>
        <v>0</v>
      </c>
      <c r="BJ39" s="54">
        <f t="shared" si="23"/>
        <v>0</v>
      </c>
      <c r="BK39" s="54"/>
      <c r="BL39" s="54"/>
      <c r="BW39" s="54">
        <v>21</v>
      </c>
      <c r="BX39" s="3" t="s">
        <v>1800</v>
      </c>
    </row>
    <row r="40" spans="1:76" ht="14.5" x14ac:dyDescent="0.35">
      <c r="A40" s="1" t="s">
        <v>356</v>
      </c>
      <c r="B40" s="2" t="s">
        <v>1742</v>
      </c>
      <c r="C40" s="2" t="s">
        <v>1801</v>
      </c>
      <c r="D40" s="155" t="s">
        <v>1802</v>
      </c>
      <c r="E40" s="153"/>
      <c r="F40" s="2" t="s">
        <v>581</v>
      </c>
      <c r="G40" s="54">
        <f>'Stavební rozpočet'!G828</f>
        <v>1</v>
      </c>
      <c r="H40" s="94">
        <f>'Stavební rozpočet'!H828</f>
        <v>0</v>
      </c>
      <c r="I40" s="54">
        <f t="shared" si="0"/>
        <v>0</v>
      </c>
      <c r="J40" s="54">
        <f>'Stavební rozpočet'!J828</f>
        <v>0</v>
      </c>
      <c r="K40" s="54">
        <f>'Stavební rozpočet'!K828</f>
        <v>0</v>
      </c>
      <c r="L40" s="54">
        <f t="shared" si="1"/>
        <v>0</v>
      </c>
      <c r="M40" s="55" t="s">
        <v>10</v>
      </c>
      <c r="Z40" s="54">
        <f t="shared" si="2"/>
        <v>0</v>
      </c>
      <c r="AB40" s="54">
        <f t="shared" si="3"/>
        <v>0</v>
      </c>
      <c r="AC40" s="54">
        <f t="shared" si="4"/>
        <v>0</v>
      </c>
      <c r="AD40" s="54">
        <f t="shared" si="5"/>
        <v>0</v>
      </c>
      <c r="AE40" s="54">
        <f t="shared" si="6"/>
        <v>0</v>
      </c>
      <c r="AF40" s="54">
        <f t="shared" si="7"/>
        <v>0</v>
      </c>
      <c r="AG40" s="54">
        <f t="shared" si="8"/>
        <v>0</v>
      </c>
      <c r="AH40" s="54">
        <f t="shared" si="9"/>
        <v>0</v>
      </c>
      <c r="AI40" s="34" t="s">
        <v>1742</v>
      </c>
      <c r="AJ40" s="54">
        <f t="shared" si="10"/>
        <v>0</v>
      </c>
      <c r="AK40" s="54">
        <f t="shared" si="11"/>
        <v>0</v>
      </c>
      <c r="AL40" s="54">
        <f t="shared" si="12"/>
        <v>0</v>
      </c>
      <c r="AN40" s="54">
        <v>21</v>
      </c>
      <c r="AO40" s="54">
        <f>H40*0</f>
        <v>0</v>
      </c>
      <c r="AP40" s="54">
        <f>H40*(1-0)</f>
        <v>0</v>
      </c>
      <c r="AQ40" s="56" t="s">
        <v>107</v>
      </c>
      <c r="AV40" s="54">
        <f t="shared" si="15"/>
        <v>0</v>
      </c>
      <c r="AW40" s="54">
        <f t="shared" si="16"/>
        <v>0</v>
      </c>
      <c r="AX40" s="54">
        <f t="shared" si="17"/>
        <v>0</v>
      </c>
      <c r="AY40" s="56" t="s">
        <v>1748</v>
      </c>
      <c r="AZ40" s="56" t="s">
        <v>1749</v>
      </c>
      <c r="BA40" s="34" t="s">
        <v>1750</v>
      </c>
      <c r="BC40" s="54">
        <f t="shared" si="18"/>
        <v>0</v>
      </c>
      <c r="BD40" s="54">
        <f t="shared" si="19"/>
        <v>0</v>
      </c>
      <c r="BE40" s="54">
        <v>0</v>
      </c>
      <c r="BF40" s="54">
        <f t="shared" si="20"/>
        <v>0</v>
      </c>
      <c r="BH40" s="54">
        <f t="shared" si="21"/>
        <v>0</v>
      </c>
      <c r="BI40" s="54">
        <f t="shared" si="22"/>
        <v>0</v>
      </c>
      <c r="BJ40" s="54">
        <f t="shared" si="23"/>
        <v>0</v>
      </c>
      <c r="BK40" s="54"/>
      <c r="BL40" s="54"/>
      <c r="BW40" s="54">
        <v>21</v>
      </c>
      <c r="BX40" s="3" t="s">
        <v>1802</v>
      </c>
    </row>
    <row r="41" spans="1:76" ht="54" customHeight="1" x14ac:dyDescent="0.35">
      <c r="A41" s="57"/>
      <c r="C41" s="62" t="s">
        <v>122</v>
      </c>
      <c r="D41" s="214" t="s">
        <v>1803</v>
      </c>
      <c r="E41" s="215"/>
      <c r="F41" s="215"/>
      <c r="G41" s="215"/>
      <c r="H41" s="215"/>
      <c r="I41" s="215"/>
      <c r="J41" s="215"/>
      <c r="K41" s="215"/>
      <c r="L41" s="215"/>
      <c r="M41" s="216"/>
    </row>
    <row r="42" spans="1:76" ht="14.5" x14ac:dyDescent="0.35">
      <c r="A42" s="4" t="s">
        <v>363</v>
      </c>
      <c r="B42" s="5" t="s">
        <v>1742</v>
      </c>
      <c r="C42" s="5" t="s">
        <v>1804</v>
      </c>
      <c r="D42" s="225" t="s">
        <v>1805</v>
      </c>
      <c r="E42" s="159"/>
      <c r="F42" s="5" t="s">
        <v>581</v>
      </c>
      <c r="G42" s="78">
        <f>'Stavební rozpočet'!G829</f>
        <v>1</v>
      </c>
      <c r="H42" s="96">
        <f>'Stavební rozpočet'!H829</f>
        <v>0</v>
      </c>
      <c r="I42" s="78">
        <f>G42*H42</f>
        <v>0</v>
      </c>
      <c r="J42" s="78">
        <f>'Stavební rozpočet'!J829</f>
        <v>0</v>
      </c>
      <c r="K42" s="78">
        <f>'Stavební rozpočet'!K829</f>
        <v>0</v>
      </c>
      <c r="L42" s="78">
        <f>G42*J42</f>
        <v>0</v>
      </c>
      <c r="M42" s="79" t="s">
        <v>111</v>
      </c>
      <c r="Z42" s="54">
        <f>IF(AQ42="5",BJ42,0)</f>
        <v>0</v>
      </c>
      <c r="AB42" s="54">
        <f>IF(AQ42="1",BH42,0)</f>
        <v>0</v>
      </c>
      <c r="AC42" s="54">
        <f>IF(AQ42="1",BI42,0)</f>
        <v>0</v>
      </c>
      <c r="AD42" s="54">
        <f>IF(AQ42="7",BH42,0)</f>
        <v>0</v>
      </c>
      <c r="AE42" s="54">
        <f>IF(AQ42="7",BI42,0)</f>
        <v>0</v>
      </c>
      <c r="AF42" s="54">
        <f>IF(AQ42="2",BH42,0)</f>
        <v>0</v>
      </c>
      <c r="AG42" s="54">
        <f>IF(AQ42="2",BI42,0)</f>
        <v>0</v>
      </c>
      <c r="AH42" s="54">
        <f>IF(AQ42="0",BJ42,0)</f>
        <v>0</v>
      </c>
      <c r="AI42" s="34" t="s">
        <v>1742</v>
      </c>
      <c r="AJ42" s="54">
        <f>IF(AN42=0,I42,0)</f>
        <v>0</v>
      </c>
      <c r="AK42" s="54">
        <f>IF(AN42=12,I42,0)</f>
        <v>0</v>
      </c>
      <c r="AL42" s="54">
        <f>IF(AN42=21,I42,0)</f>
        <v>0</v>
      </c>
      <c r="AN42" s="54">
        <v>21</v>
      </c>
      <c r="AO42" s="54">
        <f>H42*0</f>
        <v>0</v>
      </c>
      <c r="AP42" s="54">
        <f>H42*(1-0)</f>
        <v>0</v>
      </c>
      <c r="AQ42" s="56" t="s">
        <v>119</v>
      </c>
      <c r="AV42" s="54">
        <f>AW42+AX42</f>
        <v>0</v>
      </c>
      <c r="AW42" s="54">
        <f>G42*AO42</f>
        <v>0</v>
      </c>
      <c r="AX42" s="54">
        <f>G42*AP42</f>
        <v>0</v>
      </c>
      <c r="AY42" s="56" t="s">
        <v>1748</v>
      </c>
      <c r="AZ42" s="56" t="s">
        <v>1749</v>
      </c>
      <c r="BA42" s="34" t="s">
        <v>1750</v>
      </c>
      <c r="BC42" s="54">
        <f>AW42+AX42</f>
        <v>0</v>
      </c>
      <c r="BD42" s="54">
        <f>H42/(100-BE42)*100</f>
        <v>0</v>
      </c>
      <c r="BE42" s="54">
        <v>0</v>
      </c>
      <c r="BF42" s="54">
        <f>L42</f>
        <v>0</v>
      </c>
      <c r="BH42" s="54">
        <f>G42*AO42</f>
        <v>0</v>
      </c>
      <c r="BI42" s="54">
        <f>G42*AP42</f>
        <v>0</v>
      </c>
      <c r="BJ42" s="54">
        <f>G42*H42</f>
        <v>0</v>
      </c>
      <c r="BK42" s="54"/>
      <c r="BL42" s="54"/>
      <c r="BW42" s="54">
        <v>21</v>
      </c>
      <c r="BX42" s="3" t="s">
        <v>1805</v>
      </c>
    </row>
    <row r="43" spans="1:76" ht="14.5" x14ac:dyDescent="0.35">
      <c r="I43" s="76">
        <f>I13</f>
        <v>0</v>
      </c>
    </row>
    <row r="44" spans="1:76" ht="14.5" x14ac:dyDescent="0.35">
      <c r="A44" s="77" t="s">
        <v>55</v>
      </c>
    </row>
    <row r="45" spans="1:76" ht="12.75" customHeight="1" x14ac:dyDescent="0.35">
      <c r="A45" s="155" t="s">
        <v>10</v>
      </c>
      <c r="B45" s="153"/>
      <c r="C45" s="153"/>
      <c r="D45" s="153"/>
      <c r="E45" s="153"/>
      <c r="F45" s="153"/>
      <c r="G45" s="153"/>
      <c r="H45" s="153"/>
      <c r="I45" s="153"/>
      <c r="J45" s="153"/>
      <c r="K45" s="153"/>
      <c r="L45" s="153"/>
      <c r="M45" s="153"/>
    </row>
  </sheetData>
  <sheetProtection password="E512" sheet="1" objects="1" scenarios="1"/>
  <mergeCells count="60">
    <mergeCell ref="D40:E40"/>
    <mergeCell ref="D41:M41"/>
    <mergeCell ref="D42:E42"/>
    <mergeCell ref="A45:M45"/>
    <mergeCell ref="D35:E35"/>
    <mergeCell ref="D36:E36"/>
    <mergeCell ref="D37:E37"/>
    <mergeCell ref="D38:E38"/>
    <mergeCell ref="D39:E39"/>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1:E11"/>
    <mergeCell ref="J10:L10"/>
    <mergeCell ref="D12:E12"/>
    <mergeCell ref="D13:E13"/>
    <mergeCell ref="D14:E14"/>
    <mergeCell ref="K2:M3"/>
    <mergeCell ref="K4:M5"/>
    <mergeCell ref="K6:M7"/>
    <mergeCell ref="K8:M9"/>
    <mergeCell ref="D10:E10"/>
    <mergeCell ref="D8:E9"/>
    <mergeCell ref="H2:H3"/>
    <mergeCell ref="H4:H5"/>
    <mergeCell ref="H6:H7"/>
    <mergeCell ref="H8:H9"/>
    <mergeCell ref="A1:M1"/>
    <mergeCell ref="A2:C3"/>
    <mergeCell ref="A4:C5"/>
    <mergeCell ref="A6:C7"/>
    <mergeCell ref="A8:C9"/>
    <mergeCell ref="F2:G3"/>
    <mergeCell ref="F4:G5"/>
    <mergeCell ref="F6:G7"/>
    <mergeCell ref="F8:G9"/>
    <mergeCell ref="I2:J3"/>
    <mergeCell ref="I4:J5"/>
    <mergeCell ref="I6:J7"/>
    <mergeCell ref="I8:J9"/>
    <mergeCell ref="D2:E3"/>
    <mergeCell ref="D4:E5"/>
    <mergeCell ref="D6:E7"/>
  </mergeCells>
  <pageMargins left="0.393999993801117" right="0.393999993801117" top="0.59100002050399802" bottom="0.59100002050399802" header="0" footer="0"/>
  <pageSetup fitToHeight="0"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activeCell="A35" sqref="A35:I35"/>
    </sheetView>
  </sheetViews>
  <sheetFormatPr defaultColWidth="12.1796875" defaultRowHeight="15" customHeight="1" x14ac:dyDescent="0.35"/>
  <cols>
    <col min="1" max="1" width="9.1796875" customWidth="1"/>
    <col min="2" max="2" width="12.81640625" customWidth="1"/>
    <col min="3" max="3" width="27.1796875" customWidth="1"/>
    <col min="4" max="4" width="10" customWidth="1"/>
    <col min="5" max="5" width="14" customWidth="1"/>
    <col min="6" max="6" width="27.1796875" customWidth="1"/>
    <col min="7" max="7" width="9.1796875" customWidth="1"/>
    <col min="8" max="8" width="12.81640625" customWidth="1"/>
    <col min="9" max="9" width="27.1796875" customWidth="1"/>
  </cols>
  <sheetData>
    <row r="1" spans="1:9" ht="54.75" customHeight="1" x14ac:dyDescent="0.35">
      <c r="A1" s="150" t="s">
        <v>1806</v>
      </c>
      <c r="B1" s="151"/>
      <c r="C1" s="151"/>
      <c r="D1" s="151"/>
      <c r="E1" s="151"/>
      <c r="F1" s="151"/>
      <c r="G1" s="151"/>
      <c r="H1" s="151"/>
      <c r="I1" s="151"/>
    </row>
    <row r="2" spans="1:9" ht="14.5" x14ac:dyDescent="0.35">
      <c r="A2" s="106" t="s">
        <v>1</v>
      </c>
      <c r="B2" s="107"/>
      <c r="C2" s="110" t="str">
        <f>'Stavební rozpočet'!C2</f>
        <v>SOŠ,SOU Třešť - Rekonstrukce 4NP DM</v>
      </c>
      <c r="D2" s="111"/>
      <c r="E2" s="113" t="s">
        <v>2</v>
      </c>
      <c r="F2" s="113" t="str">
        <f>'Stavební rozpočet'!I2</f>
        <v>Kraj Vysočina</v>
      </c>
      <c r="G2" s="107"/>
      <c r="H2" s="113" t="s">
        <v>3</v>
      </c>
      <c r="I2" s="114" t="s">
        <v>4</v>
      </c>
    </row>
    <row r="3" spans="1:9" ht="15" customHeight="1" x14ac:dyDescent="0.35">
      <c r="A3" s="152"/>
      <c r="B3" s="153"/>
      <c r="C3" s="158"/>
      <c r="D3" s="158"/>
      <c r="E3" s="153"/>
      <c r="F3" s="153"/>
      <c r="G3" s="153"/>
      <c r="H3" s="153"/>
      <c r="I3" s="156"/>
    </row>
    <row r="4" spans="1:9" ht="14.5" x14ac:dyDescent="0.35">
      <c r="A4" s="154" t="s">
        <v>5</v>
      </c>
      <c r="B4" s="153"/>
      <c r="C4" s="155" t="str">
        <f>'Stavební rozpočet'!C4</f>
        <v xml:space="preserve"> </v>
      </c>
      <c r="D4" s="153"/>
      <c r="E4" s="155" t="s">
        <v>6</v>
      </c>
      <c r="F4" s="155" t="str">
        <f>'Stavební rozpočet'!I4</f>
        <v>Ing. Miroslav Korecký</v>
      </c>
      <c r="G4" s="153"/>
      <c r="H4" s="155" t="s">
        <v>3</v>
      </c>
      <c r="I4" s="156" t="s">
        <v>7</v>
      </c>
    </row>
    <row r="5" spans="1:9" ht="15" customHeight="1" x14ac:dyDescent="0.35">
      <c r="A5" s="152"/>
      <c r="B5" s="153"/>
      <c r="C5" s="153"/>
      <c r="D5" s="153"/>
      <c r="E5" s="153"/>
      <c r="F5" s="153"/>
      <c r="G5" s="153"/>
      <c r="H5" s="153"/>
      <c r="I5" s="156"/>
    </row>
    <row r="6" spans="1:9" ht="14.5" x14ac:dyDescent="0.35">
      <c r="A6" s="154" t="s">
        <v>8</v>
      </c>
      <c r="B6" s="153"/>
      <c r="C6" s="155" t="str">
        <f>'Stavební rozpočet'!C6</f>
        <v>Domov mládeže - Rekonstrukce 4NP</v>
      </c>
      <c r="D6" s="153"/>
      <c r="E6" s="155" t="s">
        <v>9</v>
      </c>
      <c r="F6" s="155" t="str">
        <f>'Stavební rozpočet'!I6</f>
        <v> </v>
      </c>
      <c r="G6" s="153"/>
      <c r="H6" s="155" t="s">
        <v>3</v>
      </c>
      <c r="I6" s="156" t="s">
        <v>10</v>
      </c>
    </row>
    <row r="7" spans="1:9" ht="15" customHeight="1" x14ac:dyDescent="0.35">
      <c r="A7" s="152"/>
      <c r="B7" s="153"/>
      <c r="C7" s="153"/>
      <c r="D7" s="153"/>
      <c r="E7" s="153"/>
      <c r="F7" s="153"/>
      <c r="G7" s="153"/>
      <c r="H7" s="153"/>
      <c r="I7" s="156"/>
    </row>
    <row r="8" spans="1:9" ht="14.5" x14ac:dyDescent="0.35">
      <c r="A8" s="154" t="s">
        <v>11</v>
      </c>
      <c r="B8" s="153"/>
      <c r="C8" s="155" t="str">
        <f>'Stavební rozpočet'!F4</f>
        <v>22.01.2025</v>
      </c>
      <c r="D8" s="153"/>
      <c r="E8" s="155" t="s">
        <v>12</v>
      </c>
      <c r="F8" s="155" t="str">
        <f>'Stavební rozpočet'!F6</f>
        <v xml:space="preserve"> </v>
      </c>
      <c r="G8" s="153"/>
      <c r="H8" s="153" t="s">
        <v>13</v>
      </c>
      <c r="I8" s="157">
        <v>9</v>
      </c>
    </row>
    <row r="9" spans="1:9" ht="14.5" x14ac:dyDescent="0.35">
      <c r="A9" s="152"/>
      <c r="B9" s="153"/>
      <c r="C9" s="153"/>
      <c r="D9" s="153"/>
      <c r="E9" s="153"/>
      <c r="F9" s="153"/>
      <c r="G9" s="153"/>
      <c r="H9" s="153"/>
      <c r="I9" s="156"/>
    </row>
    <row r="10" spans="1:9" ht="14.5" x14ac:dyDescent="0.35">
      <c r="A10" s="154" t="s">
        <v>14</v>
      </c>
      <c r="B10" s="153"/>
      <c r="C10" s="155" t="str">
        <f>'Stavební rozpočet'!C8</f>
        <v>801753</v>
      </c>
      <c r="D10" s="153"/>
      <c r="E10" s="155" t="s">
        <v>15</v>
      </c>
      <c r="F10" s="155" t="str">
        <f>'Stavební rozpočet'!I8</f>
        <v>Ing. Miroslav Korecký</v>
      </c>
      <c r="G10" s="153"/>
      <c r="H10" s="153" t="s">
        <v>16</v>
      </c>
      <c r="I10" s="160" t="str">
        <f>'Stavební rozpočet'!F8</f>
        <v>22.01.2025</v>
      </c>
    </row>
    <row r="11" spans="1:9" ht="14.5" x14ac:dyDescent="0.35">
      <c r="A11" s="165"/>
      <c r="B11" s="159"/>
      <c r="C11" s="159"/>
      <c r="D11" s="159"/>
      <c r="E11" s="159"/>
      <c r="F11" s="159"/>
      <c r="G11" s="159"/>
      <c r="H11" s="159"/>
      <c r="I11" s="161"/>
    </row>
    <row r="12" spans="1:9" ht="23" x14ac:dyDescent="0.35">
      <c r="A12" s="162" t="s">
        <v>17</v>
      </c>
      <c r="B12" s="162"/>
      <c r="C12" s="162"/>
      <c r="D12" s="162"/>
      <c r="E12" s="162"/>
      <c r="F12" s="162"/>
      <c r="G12" s="162"/>
      <c r="H12" s="162"/>
      <c r="I12" s="162"/>
    </row>
    <row r="13" spans="1:9" ht="26.25" customHeight="1" x14ac:dyDescent="0.35">
      <c r="A13" s="6" t="s">
        <v>18</v>
      </c>
      <c r="B13" s="163" t="s">
        <v>19</v>
      </c>
      <c r="C13" s="164"/>
      <c r="D13" s="7" t="s">
        <v>20</v>
      </c>
      <c r="E13" s="163" t="s">
        <v>21</v>
      </c>
      <c r="F13" s="164"/>
      <c r="G13" s="7" t="s">
        <v>22</v>
      </c>
      <c r="H13" s="163" t="s">
        <v>23</v>
      </c>
      <c r="I13" s="164"/>
    </row>
    <row r="14" spans="1:9" ht="15.5" x14ac:dyDescent="0.35">
      <c r="A14" s="8" t="s">
        <v>24</v>
      </c>
      <c r="B14" s="9" t="s">
        <v>25</v>
      </c>
      <c r="C14" s="10">
        <f>SUM('Stavební rozpočet (VORN)'!AB12:AB885)</f>
        <v>0</v>
      </c>
      <c r="D14" s="169" t="s">
        <v>26</v>
      </c>
      <c r="E14" s="127"/>
      <c r="F14" s="10">
        <f>'VORN objektu (VORN)'!I15</f>
        <v>0</v>
      </c>
      <c r="G14" s="169" t="s">
        <v>27</v>
      </c>
      <c r="H14" s="127"/>
      <c r="I14" s="11">
        <f>'VORN objektu (VORN)'!I21</f>
        <v>0</v>
      </c>
    </row>
    <row r="15" spans="1:9" ht="15.5" x14ac:dyDescent="0.35">
      <c r="A15" s="12" t="s">
        <v>10</v>
      </c>
      <c r="B15" s="9" t="s">
        <v>28</v>
      </c>
      <c r="C15" s="10">
        <f>SUM('Stavební rozpočet (VORN)'!AC12:AC885)</f>
        <v>0</v>
      </c>
      <c r="D15" s="169" t="s">
        <v>29</v>
      </c>
      <c r="E15" s="127"/>
      <c r="F15" s="10">
        <f>'VORN objektu (VORN)'!I16</f>
        <v>0</v>
      </c>
      <c r="G15" s="169" t="s">
        <v>30</v>
      </c>
      <c r="H15" s="127"/>
      <c r="I15" s="11">
        <f>'VORN objektu (VORN)'!I22</f>
        <v>0</v>
      </c>
    </row>
    <row r="16" spans="1:9" ht="15.5" x14ac:dyDescent="0.35">
      <c r="A16" s="8" t="s">
        <v>31</v>
      </c>
      <c r="B16" s="9" t="s">
        <v>25</v>
      </c>
      <c r="C16" s="10">
        <f>SUM('Stavební rozpočet (VORN)'!AD12:AD885)</f>
        <v>0</v>
      </c>
      <c r="D16" s="169" t="s">
        <v>32</v>
      </c>
      <c r="E16" s="127"/>
      <c r="F16" s="10">
        <f>'VORN objektu (VORN)'!I17</f>
        <v>0</v>
      </c>
      <c r="G16" s="169" t="s">
        <v>33</v>
      </c>
      <c r="H16" s="127"/>
      <c r="I16" s="11">
        <f>'VORN objektu (VORN)'!I23</f>
        <v>0</v>
      </c>
    </row>
    <row r="17" spans="1:9" ht="15.5" x14ac:dyDescent="0.35">
      <c r="A17" s="12" t="s">
        <v>10</v>
      </c>
      <c r="B17" s="9" t="s">
        <v>28</v>
      </c>
      <c r="C17" s="10">
        <f>SUM('Stavební rozpočet (VORN)'!AE12:AE885)</f>
        <v>0</v>
      </c>
      <c r="D17" s="169" t="s">
        <v>10</v>
      </c>
      <c r="E17" s="127"/>
      <c r="F17" s="11" t="s">
        <v>10</v>
      </c>
      <c r="G17" s="169" t="s">
        <v>34</v>
      </c>
      <c r="H17" s="127"/>
      <c r="I17" s="11">
        <f>'VORN objektu (VORN)'!I24</f>
        <v>0</v>
      </c>
    </row>
    <row r="18" spans="1:9" ht="15.5" x14ac:dyDescent="0.35">
      <c r="A18" s="8" t="s">
        <v>35</v>
      </c>
      <c r="B18" s="9" t="s">
        <v>25</v>
      </c>
      <c r="C18" s="10">
        <f>SUM('Stavební rozpočet (VORN)'!AF12:AF885)</f>
        <v>0</v>
      </c>
      <c r="D18" s="169" t="s">
        <v>10</v>
      </c>
      <c r="E18" s="127"/>
      <c r="F18" s="11" t="s">
        <v>10</v>
      </c>
      <c r="G18" s="169" t="s">
        <v>36</v>
      </c>
      <c r="H18" s="127"/>
      <c r="I18" s="11">
        <f>'VORN objektu (VORN)'!I25</f>
        <v>0</v>
      </c>
    </row>
    <row r="19" spans="1:9" ht="15.5" x14ac:dyDescent="0.35">
      <c r="A19" s="12" t="s">
        <v>10</v>
      </c>
      <c r="B19" s="9" t="s">
        <v>28</v>
      </c>
      <c r="C19" s="10">
        <f>SUM('Stavební rozpočet (VORN)'!AG12:AG885)</f>
        <v>0</v>
      </c>
      <c r="D19" s="169" t="s">
        <v>10</v>
      </c>
      <c r="E19" s="127"/>
      <c r="F19" s="11" t="s">
        <v>10</v>
      </c>
      <c r="G19" s="169" t="s">
        <v>37</v>
      </c>
      <c r="H19" s="127"/>
      <c r="I19" s="11">
        <f>'VORN objektu (VORN)'!I26</f>
        <v>0</v>
      </c>
    </row>
    <row r="20" spans="1:9" ht="15.5" x14ac:dyDescent="0.35">
      <c r="A20" s="128" t="s">
        <v>38</v>
      </c>
      <c r="B20" s="129"/>
      <c r="C20" s="10">
        <f>SUM('Stavební rozpočet (VORN)'!AH12:AH885)</f>
        <v>0</v>
      </c>
      <c r="D20" s="169" t="s">
        <v>10</v>
      </c>
      <c r="E20" s="127"/>
      <c r="F20" s="11" t="s">
        <v>10</v>
      </c>
      <c r="G20" s="169" t="s">
        <v>10</v>
      </c>
      <c r="H20" s="127"/>
      <c r="I20" s="11" t="s">
        <v>10</v>
      </c>
    </row>
    <row r="21" spans="1:9" ht="15.5" x14ac:dyDescent="0.35">
      <c r="A21" s="166" t="s">
        <v>39</v>
      </c>
      <c r="B21" s="167"/>
      <c r="C21" s="13">
        <f>SUM('Stavební rozpočet (VORN)'!Z12:Z885)</f>
        <v>0</v>
      </c>
      <c r="D21" s="170" t="s">
        <v>10</v>
      </c>
      <c r="E21" s="171"/>
      <c r="F21" s="14" t="s">
        <v>10</v>
      </c>
      <c r="G21" s="170" t="s">
        <v>10</v>
      </c>
      <c r="H21" s="171"/>
      <c r="I21" s="14" t="s">
        <v>10</v>
      </c>
    </row>
    <row r="22" spans="1:9" ht="16.5" customHeight="1" x14ac:dyDescent="0.35">
      <c r="A22" s="137" t="s">
        <v>40</v>
      </c>
      <c r="B22" s="168"/>
      <c r="C22" s="15">
        <f>SUM(C14:C21)</f>
        <v>0</v>
      </c>
      <c r="D22" s="172" t="s">
        <v>41</v>
      </c>
      <c r="E22" s="168"/>
      <c r="F22" s="15">
        <f>SUM(F14:F21)</f>
        <v>0</v>
      </c>
      <c r="G22" s="172" t="s">
        <v>42</v>
      </c>
      <c r="H22" s="168"/>
      <c r="I22" s="15">
        <f>SUM(I14:I21)</f>
        <v>0</v>
      </c>
    </row>
    <row r="23" spans="1:9" ht="15.5" x14ac:dyDescent="0.35">
      <c r="G23" s="128" t="s">
        <v>43</v>
      </c>
      <c r="H23" s="129"/>
      <c r="I23" s="10">
        <f>'VORN objektu (VORN)'!I36</f>
        <v>0</v>
      </c>
    </row>
    <row r="25" spans="1:9" ht="15.5" x14ac:dyDescent="0.35">
      <c r="A25" s="141" t="s">
        <v>44</v>
      </c>
      <c r="B25" s="132"/>
      <c r="C25" s="16">
        <f>SUM('Stavební rozpočet (VORN)'!AJ12:AJ885)</f>
        <v>0</v>
      </c>
    </row>
    <row r="26" spans="1:9" ht="15.5" x14ac:dyDescent="0.35">
      <c r="A26" s="130" t="s">
        <v>45</v>
      </c>
      <c r="B26" s="131"/>
      <c r="C26" s="17">
        <f>SUM('Stavební rozpočet (VORN)'!AK12:AK885)</f>
        <v>0</v>
      </c>
      <c r="D26" s="173" t="s">
        <v>46</v>
      </c>
      <c r="E26" s="132"/>
      <c r="F26" s="16">
        <f>ROUND(C26*(12/100),2)</f>
        <v>0</v>
      </c>
      <c r="G26" s="173" t="s">
        <v>47</v>
      </c>
      <c r="H26" s="132"/>
      <c r="I26" s="16">
        <f>SUM(C25:C27)</f>
        <v>0</v>
      </c>
    </row>
    <row r="27" spans="1:9" ht="15.5" x14ac:dyDescent="0.35">
      <c r="A27" s="130" t="s">
        <v>48</v>
      </c>
      <c r="B27" s="131"/>
      <c r="C27" s="17">
        <f>SUM('Stavební rozpočet (VORN)'!AL12:AL885)+(F22+I22+F23+I23+I24)</f>
        <v>0</v>
      </c>
      <c r="D27" s="174" t="s">
        <v>49</v>
      </c>
      <c r="E27" s="131"/>
      <c r="F27" s="17">
        <f>ROUND(C27*(21/100),2)</f>
        <v>0</v>
      </c>
      <c r="G27" s="174" t="s">
        <v>50</v>
      </c>
      <c r="H27" s="131"/>
      <c r="I27" s="17">
        <f>SUM(F26:F27)+I26</f>
        <v>0</v>
      </c>
    </row>
    <row r="29" spans="1:9" ht="15.5" x14ac:dyDescent="0.35">
      <c r="A29" s="142" t="s">
        <v>51</v>
      </c>
      <c r="B29" s="175"/>
      <c r="C29" s="144"/>
      <c r="D29" s="177" t="s">
        <v>52</v>
      </c>
      <c r="E29" s="175"/>
      <c r="F29" s="144"/>
      <c r="G29" s="177" t="s">
        <v>53</v>
      </c>
      <c r="H29" s="175"/>
      <c r="I29" s="144"/>
    </row>
    <row r="30" spans="1:9" ht="15.5" x14ac:dyDescent="0.35">
      <c r="A30" s="145" t="s">
        <v>10</v>
      </c>
      <c r="B30" s="176"/>
      <c r="C30" s="146"/>
      <c r="D30" s="178" t="s">
        <v>10</v>
      </c>
      <c r="E30" s="176"/>
      <c r="F30" s="146"/>
      <c r="G30" s="178" t="s">
        <v>10</v>
      </c>
      <c r="H30" s="176"/>
      <c r="I30" s="146"/>
    </row>
    <row r="31" spans="1:9" ht="15.5" x14ac:dyDescent="0.35">
      <c r="A31" s="145" t="s">
        <v>10</v>
      </c>
      <c r="B31" s="176"/>
      <c r="C31" s="146"/>
      <c r="D31" s="178" t="s">
        <v>10</v>
      </c>
      <c r="E31" s="176"/>
      <c r="F31" s="146"/>
      <c r="G31" s="178" t="s">
        <v>10</v>
      </c>
      <c r="H31" s="176"/>
      <c r="I31" s="146"/>
    </row>
    <row r="32" spans="1:9" ht="15.5" x14ac:dyDescent="0.35">
      <c r="A32" s="145" t="s">
        <v>10</v>
      </c>
      <c r="B32" s="176"/>
      <c r="C32" s="146"/>
      <c r="D32" s="178" t="s">
        <v>10</v>
      </c>
      <c r="E32" s="176"/>
      <c r="F32" s="146"/>
      <c r="G32" s="178" t="s">
        <v>10</v>
      </c>
      <c r="H32" s="176"/>
      <c r="I32" s="146"/>
    </row>
    <row r="33" spans="1:9" ht="15.5" x14ac:dyDescent="0.35">
      <c r="A33" s="147" t="s">
        <v>54</v>
      </c>
      <c r="B33" s="180"/>
      <c r="C33" s="149"/>
      <c r="D33" s="179" t="s">
        <v>54</v>
      </c>
      <c r="E33" s="180"/>
      <c r="F33" s="149"/>
      <c r="G33" s="179" t="s">
        <v>54</v>
      </c>
      <c r="H33" s="180"/>
      <c r="I33" s="149"/>
    </row>
    <row r="34" spans="1:9" ht="14.5" x14ac:dyDescent="0.35">
      <c r="A34" s="18" t="s">
        <v>55</v>
      </c>
    </row>
    <row r="35" spans="1:9" ht="12.75" customHeight="1" x14ac:dyDescent="0.35">
      <c r="A35" s="155" t="s">
        <v>10</v>
      </c>
      <c r="B35" s="153"/>
      <c r="C35" s="153"/>
      <c r="D35" s="153"/>
      <c r="E35" s="153"/>
      <c r="F35" s="153"/>
      <c r="G35" s="153"/>
      <c r="H35" s="153"/>
      <c r="I35" s="153"/>
    </row>
  </sheetData>
  <sheetProtection password="E512" sheet="1"/>
  <mergeCells count="80">
    <mergeCell ref="D32:F32"/>
    <mergeCell ref="D33:F33"/>
    <mergeCell ref="G32:I32"/>
    <mergeCell ref="G33:I33"/>
    <mergeCell ref="A35:I35"/>
    <mergeCell ref="A32:C32"/>
    <mergeCell ref="A33:C33"/>
    <mergeCell ref="G26:H26"/>
    <mergeCell ref="G27:H27"/>
    <mergeCell ref="A29:C29"/>
    <mergeCell ref="A30:C30"/>
    <mergeCell ref="A31:C31"/>
    <mergeCell ref="G29:I29"/>
    <mergeCell ref="G30:I30"/>
    <mergeCell ref="G31:I31"/>
    <mergeCell ref="D29:F29"/>
    <mergeCell ref="D30:F30"/>
    <mergeCell ref="D31:F31"/>
    <mergeCell ref="A25:B25"/>
    <mergeCell ref="A26:B26"/>
    <mergeCell ref="A27:B27"/>
    <mergeCell ref="D26:E26"/>
    <mergeCell ref="D27:E27"/>
    <mergeCell ref="G19:H19"/>
    <mergeCell ref="G20:H20"/>
    <mergeCell ref="G21:H21"/>
    <mergeCell ref="G22:H22"/>
    <mergeCell ref="G23:H23"/>
    <mergeCell ref="G14:H14"/>
    <mergeCell ref="G15:H15"/>
    <mergeCell ref="G16:H16"/>
    <mergeCell ref="G17:H17"/>
    <mergeCell ref="G18:H18"/>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A36" sqref="A36:E36"/>
    </sheetView>
  </sheetViews>
  <sheetFormatPr defaultColWidth="12.1796875" defaultRowHeight="15" customHeight="1" x14ac:dyDescent="0.35"/>
  <cols>
    <col min="1" max="1" width="9.1796875" customWidth="1"/>
    <col min="2" max="2" width="12.81640625" customWidth="1"/>
    <col min="3" max="3" width="22.81640625" customWidth="1"/>
    <col min="4" max="4" width="10" customWidth="1"/>
    <col min="5" max="5" width="14" customWidth="1"/>
    <col min="6" max="6" width="22.81640625" customWidth="1"/>
    <col min="7" max="7" width="9.1796875" customWidth="1"/>
    <col min="8" max="8" width="17.1796875" customWidth="1"/>
    <col min="9" max="9" width="22.81640625" customWidth="1"/>
  </cols>
  <sheetData>
    <row r="1" spans="1:9" ht="54.75" customHeight="1" x14ac:dyDescent="0.35">
      <c r="A1" s="150" t="s">
        <v>1807</v>
      </c>
      <c r="B1" s="151"/>
      <c r="C1" s="151"/>
      <c r="D1" s="151"/>
      <c r="E1" s="151"/>
      <c r="F1" s="151"/>
      <c r="G1" s="151"/>
      <c r="H1" s="151"/>
      <c r="I1" s="151"/>
    </row>
    <row r="2" spans="1:9" ht="14.5" x14ac:dyDescent="0.35">
      <c r="A2" s="106" t="s">
        <v>1</v>
      </c>
      <c r="B2" s="107"/>
      <c r="C2" s="110" t="str">
        <f>'Stavební rozpočet'!C2</f>
        <v>SOŠ,SOU Třešť - Rekonstrukce 4NP DM</v>
      </c>
      <c r="D2" s="111"/>
      <c r="E2" s="113" t="s">
        <v>2</v>
      </c>
      <c r="F2" s="113" t="str">
        <f>'Stavební rozpočet'!I2</f>
        <v>Kraj Vysočina</v>
      </c>
      <c r="G2" s="107"/>
      <c r="H2" s="113" t="s">
        <v>3</v>
      </c>
      <c r="I2" s="114" t="s">
        <v>4</v>
      </c>
    </row>
    <row r="3" spans="1:9" ht="15" customHeight="1" x14ac:dyDescent="0.35">
      <c r="A3" s="152"/>
      <c r="B3" s="153"/>
      <c r="C3" s="158"/>
      <c r="D3" s="158"/>
      <c r="E3" s="153"/>
      <c r="F3" s="153"/>
      <c r="G3" s="153"/>
      <c r="H3" s="153"/>
      <c r="I3" s="156"/>
    </row>
    <row r="4" spans="1:9" ht="14.5" x14ac:dyDescent="0.35">
      <c r="A4" s="154" t="s">
        <v>5</v>
      </c>
      <c r="B4" s="153"/>
      <c r="C4" s="155" t="str">
        <f>'Stavební rozpočet'!C4</f>
        <v xml:space="preserve"> </v>
      </c>
      <c r="D4" s="153"/>
      <c r="E4" s="155" t="s">
        <v>6</v>
      </c>
      <c r="F4" s="155" t="str">
        <f>'Stavební rozpočet'!I4</f>
        <v>Ing. Miroslav Korecký</v>
      </c>
      <c r="G4" s="153"/>
      <c r="H4" s="155" t="s">
        <v>3</v>
      </c>
      <c r="I4" s="156" t="s">
        <v>7</v>
      </c>
    </row>
    <row r="5" spans="1:9" ht="15" customHeight="1" x14ac:dyDescent="0.35">
      <c r="A5" s="152"/>
      <c r="B5" s="153"/>
      <c r="C5" s="153"/>
      <c r="D5" s="153"/>
      <c r="E5" s="153"/>
      <c r="F5" s="153"/>
      <c r="G5" s="153"/>
      <c r="H5" s="153"/>
      <c r="I5" s="156"/>
    </row>
    <row r="6" spans="1:9" ht="14.5" x14ac:dyDescent="0.35">
      <c r="A6" s="154" t="s">
        <v>8</v>
      </c>
      <c r="B6" s="153"/>
      <c r="C6" s="155" t="str">
        <f>'Stavební rozpočet'!C6</f>
        <v>Domov mládeže - Rekonstrukce 4NP</v>
      </c>
      <c r="D6" s="153"/>
      <c r="E6" s="155" t="s">
        <v>9</v>
      </c>
      <c r="F6" s="155" t="str">
        <f>'Stavební rozpočet'!I6</f>
        <v> </v>
      </c>
      <c r="G6" s="153"/>
      <c r="H6" s="155" t="s">
        <v>3</v>
      </c>
      <c r="I6" s="156" t="s">
        <v>10</v>
      </c>
    </row>
    <row r="7" spans="1:9" ht="15" customHeight="1" x14ac:dyDescent="0.35">
      <c r="A7" s="152"/>
      <c r="B7" s="153"/>
      <c r="C7" s="153"/>
      <c r="D7" s="153"/>
      <c r="E7" s="153"/>
      <c r="F7" s="153"/>
      <c r="G7" s="153"/>
      <c r="H7" s="153"/>
      <c r="I7" s="156"/>
    </row>
    <row r="8" spans="1:9" ht="14.5" x14ac:dyDescent="0.35">
      <c r="A8" s="154" t="s">
        <v>11</v>
      </c>
      <c r="B8" s="153"/>
      <c r="C8" s="155" t="str">
        <f>'Stavební rozpočet'!F4</f>
        <v>22.01.2025</v>
      </c>
      <c r="D8" s="153"/>
      <c r="E8" s="155" t="s">
        <v>12</v>
      </c>
      <c r="F8" s="155" t="str">
        <f>'Stavební rozpočet'!F6</f>
        <v xml:space="preserve"> </v>
      </c>
      <c r="G8" s="153"/>
      <c r="H8" s="153" t="s">
        <v>13</v>
      </c>
      <c r="I8" s="157">
        <v>9</v>
      </c>
    </row>
    <row r="9" spans="1:9" ht="14.5" x14ac:dyDescent="0.35">
      <c r="A9" s="152"/>
      <c r="B9" s="153"/>
      <c r="C9" s="153"/>
      <c r="D9" s="153"/>
      <c r="E9" s="153"/>
      <c r="F9" s="153"/>
      <c r="G9" s="153"/>
      <c r="H9" s="153"/>
      <c r="I9" s="156"/>
    </row>
    <row r="10" spans="1:9" ht="14.5" x14ac:dyDescent="0.35">
      <c r="A10" s="154" t="s">
        <v>14</v>
      </c>
      <c r="B10" s="153"/>
      <c r="C10" s="155" t="str">
        <f>'Stavební rozpočet'!C8</f>
        <v>801753</v>
      </c>
      <c r="D10" s="153"/>
      <c r="E10" s="155" t="s">
        <v>15</v>
      </c>
      <c r="F10" s="155" t="str">
        <f>'Stavební rozpočet'!I8</f>
        <v>Ing. Miroslav Korecký</v>
      </c>
      <c r="G10" s="153"/>
      <c r="H10" s="153" t="s">
        <v>16</v>
      </c>
      <c r="I10" s="160" t="str">
        <f>'Stavební rozpočet'!F8</f>
        <v>22.01.2025</v>
      </c>
    </row>
    <row r="11" spans="1:9" ht="14.5" x14ac:dyDescent="0.35">
      <c r="A11" s="165"/>
      <c r="B11" s="159"/>
      <c r="C11" s="159"/>
      <c r="D11" s="159"/>
      <c r="E11" s="159"/>
      <c r="F11" s="159"/>
      <c r="G11" s="159"/>
      <c r="H11" s="159"/>
      <c r="I11" s="161"/>
    </row>
    <row r="13" spans="1:9" ht="15.5" x14ac:dyDescent="0.35">
      <c r="A13" s="181" t="s">
        <v>57</v>
      </c>
      <c r="B13" s="181"/>
      <c r="C13" s="181"/>
      <c r="D13" s="181"/>
      <c r="E13" s="181"/>
    </row>
    <row r="14" spans="1:9" ht="14.5" x14ac:dyDescent="0.35">
      <c r="A14" s="182" t="s">
        <v>58</v>
      </c>
      <c r="B14" s="183"/>
      <c r="C14" s="183"/>
      <c r="D14" s="183"/>
      <c r="E14" s="184"/>
      <c r="F14" s="19" t="s">
        <v>59</v>
      </c>
      <c r="G14" s="19" t="s">
        <v>60</v>
      </c>
      <c r="H14" s="19" t="s">
        <v>61</v>
      </c>
      <c r="I14" s="19" t="s">
        <v>59</v>
      </c>
    </row>
    <row r="15" spans="1:9" ht="14.5" x14ac:dyDescent="0.35">
      <c r="A15" s="121" t="s">
        <v>26</v>
      </c>
      <c r="B15" s="122"/>
      <c r="C15" s="122"/>
      <c r="D15" s="122"/>
      <c r="E15" s="119"/>
      <c r="F15" s="20">
        <v>0</v>
      </c>
      <c r="G15" s="21" t="s">
        <v>10</v>
      </c>
      <c r="H15" s="21" t="s">
        <v>10</v>
      </c>
      <c r="I15" s="20">
        <f>F15</f>
        <v>0</v>
      </c>
    </row>
    <row r="16" spans="1:9" ht="14.5" x14ac:dyDescent="0.35">
      <c r="A16" s="121" t="s">
        <v>29</v>
      </c>
      <c r="B16" s="122"/>
      <c r="C16" s="122"/>
      <c r="D16" s="122"/>
      <c r="E16" s="119"/>
      <c r="F16" s="20">
        <v>0</v>
      </c>
      <c r="G16" s="21" t="s">
        <v>10</v>
      </c>
      <c r="H16" s="21" t="s">
        <v>10</v>
      </c>
      <c r="I16" s="20">
        <f>F16</f>
        <v>0</v>
      </c>
    </row>
    <row r="17" spans="1:9" ht="14.5" x14ac:dyDescent="0.35">
      <c r="A17" s="185" t="s">
        <v>32</v>
      </c>
      <c r="B17" s="186"/>
      <c r="C17" s="186"/>
      <c r="D17" s="186"/>
      <c r="E17" s="187"/>
      <c r="F17" s="22">
        <v>0</v>
      </c>
      <c r="G17" s="23" t="s">
        <v>10</v>
      </c>
      <c r="H17" s="23" t="s">
        <v>10</v>
      </c>
      <c r="I17" s="22">
        <f>F17</f>
        <v>0</v>
      </c>
    </row>
    <row r="18" spans="1:9" ht="14.5" x14ac:dyDescent="0.35">
      <c r="A18" s="188" t="s">
        <v>62</v>
      </c>
      <c r="B18" s="189"/>
      <c r="C18" s="189"/>
      <c r="D18" s="189"/>
      <c r="E18" s="190"/>
      <c r="F18" s="24" t="s">
        <v>10</v>
      </c>
      <c r="G18" s="25" t="s">
        <v>10</v>
      </c>
      <c r="H18" s="25" t="s">
        <v>10</v>
      </c>
      <c r="I18" s="26">
        <f>SUM(I15:I17)</f>
        <v>0</v>
      </c>
    </row>
    <row r="20" spans="1:9" ht="14.5" x14ac:dyDescent="0.35">
      <c r="A20" s="182" t="s">
        <v>23</v>
      </c>
      <c r="B20" s="183"/>
      <c r="C20" s="183"/>
      <c r="D20" s="183"/>
      <c r="E20" s="184"/>
      <c r="F20" s="19" t="s">
        <v>59</v>
      </c>
      <c r="G20" s="19" t="s">
        <v>60</v>
      </c>
      <c r="H20" s="19" t="s">
        <v>61</v>
      </c>
      <c r="I20" s="19" t="s">
        <v>59</v>
      </c>
    </row>
    <row r="21" spans="1:9" ht="14.5" x14ac:dyDescent="0.35">
      <c r="A21" s="121" t="s">
        <v>27</v>
      </c>
      <c r="B21" s="122"/>
      <c r="C21" s="122"/>
      <c r="D21" s="122"/>
      <c r="E21" s="119"/>
      <c r="F21" s="20">
        <v>0</v>
      </c>
      <c r="G21" s="21" t="s">
        <v>10</v>
      </c>
      <c r="H21" s="21" t="s">
        <v>10</v>
      </c>
      <c r="I21" s="20">
        <f t="shared" ref="I21:I26" si="0">F21</f>
        <v>0</v>
      </c>
    </row>
    <row r="22" spans="1:9" ht="14.5" x14ac:dyDescent="0.35">
      <c r="A22" s="121" t="s">
        <v>30</v>
      </c>
      <c r="B22" s="122"/>
      <c r="C22" s="122"/>
      <c r="D22" s="122"/>
      <c r="E22" s="119"/>
      <c r="F22" s="20">
        <v>0</v>
      </c>
      <c r="G22" s="21" t="s">
        <v>10</v>
      </c>
      <c r="H22" s="21" t="s">
        <v>10</v>
      </c>
      <c r="I22" s="20">
        <f t="shared" si="0"/>
        <v>0</v>
      </c>
    </row>
    <row r="23" spans="1:9" ht="14.5" x14ac:dyDescent="0.35">
      <c r="A23" s="121" t="s">
        <v>33</v>
      </c>
      <c r="B23" s="122"/>
      <c r="C23" s="122"/>
      <c r="D23" s="122"/>
      <c r="E23" s="119"/>
      <c r="F23" s="20">
        <v>0</v>
      </c>
      <c r="G23" s="21" t="s">
        <v>10</v>
      </c>
      <c r="H23" s="21" t="s">
        <v>10</v>
      </c>
      <c r="I23" s="20">
        <f t="shared" si="0"/>
        <v>0</v>
      </c>
    </row>
    <row r="24" spans="1:9" ht="14.5" x14ac:dyDescent="0.35">
      <c r="A24" s="121" t="s">
        <v>34</v>
      </c>
      <c r="B24" s="122"/>
      <c r="C24" s="122"/>
      <c r="D24" s="122"/>
      <c r="E24" s="119"/>
      <c r="F24" s="20">
        <v>0</v>
      </c>
      <c r="G24" s="21" t="s">
        <v>10</v>
      </c>
      <c r="H24" s="21" t="s">
        <v>10</v>
      </c>
      <c r="I24" s="20">
        <f t="shared" si="0"/>
        <v>0</v>
      </c>
    </row>
    <row r="25" spans="1:9" ht="14.5" x14ac:dyDescent="0.35">
      <c r="A25" s="121" t="s">
        <v>36</v>
      </c>
      <c r="B25" s="122"/>
      <c r="C25" s="122"/>
      <c r="D25" s="122"/>
      <c r="E25" s="119"/>
      <c r="F25" s="20">
        <v>0</v>
      </c>
      <c r="G25" s="21" t="s">
        <v>10</v>
      </c>
      <c r="H25" s="21" t="s">
        <v>10</v>
      </c>
      <c r="I25" s="20">
        <f t="shared" si="0"/>
        <v>0</v>
      </c>
    </row>
    <row r="26" spans="1:9" ht="14.5" x14ac:dyDescent="0.35">
      <c r="A26" s="185" t="s">
        <v>37</v>
      </c>
      <c r="B26" s="186"/>
      <c r="C26" s="186"/>
      <c r="D26" s="186"/>
      <c r="E26" s="187"/>
      <c r="F26" s="22">
        <v>0</v>
      </c>
      <c r="G26" s="23" t="s">
        <v>10</v>
      </c>
      <c r="H26" s="23" t="s">
        <v>10</v>
      </c>
      <c r="I26" s="22">
        <f t="shared" si="0"/>
        <v>0</v>
      </c>
    </row>
    <row r="27" spans="1:9" ht="14.5" x14ac:dyDescent="0.35">
      <c r="A27" s="188" t="s">
        <v>63</v>
      </c>
      <c r="B27" s="189"/>
      <c r="C27" s="189"/>
      <c r="D27" s="189"/>
      <c r="E27" s="190"/>
      <c r="F27" s="24" t="s">
        <v>10</v>
      </c>
      <c r="G27" s="25" t="s">
        <v>10</v>
      </c>
      <c r="H27" s="25" t="s">
        <v>10</v>
      </c>
      <c r="I27" s="26">
        <f>SUM(I21:I26)</f>
        <v>0</v>
      </c>
    </row>
    <row r="29" spans="1:9" ht="15.5" x14ac:dyDescent="0.35">
      <c r="A29" s="191" t="s">
        <v>64</v>
      </c>
      <c r="B29" s="192"/>
      <c r="C29" s="192"/>
      <c r="D29" s="192"/>
      <c r="E29" s="193"/>
      <c r="F29" s="194">
        <f>I18+I27</f>
        <v>0</v>
      </c>
      <c r="G29" s="195"/>
      <c r="H29" s="195"/>
      <c r="I29" s="196"/>
    </row>
    <row r="33" spans="1:9" ht="15.5" x14ac:dyDescent="0.35">
      <c r="A33" s="181" t="s">
        <v>65</v>
      </c>
      <c r="B33" s="181"/>
      <c r="C33" s="181"/>
      <c r="D33" s="181"/>
      <c r="E33" s="181"/>
    </row>
    <row r="34" spans="1:9" ht="14.5" x14ac:dyDescent="0.35">
      <c r="A34" s="182" t="s">
        <v>66</v>
      </c>
      <c r="B34" s="183"/>
      <c r="C34" s="183"/>
      <c r="D34" s="183"/>
      <c r="E34" s="184"/>
      <c r="F34" s="19" t="s">
        <v>59</v>
      </c>
      <c r="G34" s="19" t="s">
        <v>60</v>
      </c>
      <c r="H34" s="19" t="s">
        <v>61</v>
      </c>
      <c r="I34" s="19" t="s">
        <v>59</v>
      </c>
    </row>
    <row r="35" spans="1:9" ht="14.5" x14ac:dyDescent="0.35">
      <c r="A35" s="185" t="s">
        <v>10</v>
      </c>
      <c r="B35" s="186"/>
      <c r="C35" s="186"/>
      <c r="D35" s="186"/>
      <c r="E35" s="187"/>
      <c r="F35" s="22">
        <v>0</v>
      </c>
      <c r="G35" s="23" t="s">
        <v>10</v>
      </c>
      <c r="H35" s="23" t="s">
        <v>10</v>
      </c>
      <c r="I35" s="22">
        <f>F35</f>
        <v>0</v>
      </c>
    </row>
    <row r="36" spans="1:9" ht="14.5" x14ac:dyDescent="0.35">
      <c r="A36" s="188" t="s">
        <v>67</v>
      </c>
      <c r="B36" s="189"/>
      <c r="C36" s="189"/>
      <c r="D36" s="189"/>
      <c r="E36" s="190"/>
      <c r="F36" s="24" t="s">
        <v>10</v>
      </c>
      <c r="G36" s="25" t="s">
        <v>10</v>
      </c>
      <c r="H36" s="25" t="s">
        <v>10</v>
      </c>
      <c r="I36" s="26">
        <f>SUM(I35:I35)</f>
        <v>0</v>
      </c>
    </row>
  </sheetData>
  <sheetProtection password="E512" sheet="1"/>
  <mergeCells count="51">
    <mergeCell ref="A36:E36"/>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35"/>
  <sheetViews>
    <sheetView workbookViewId="0">
      <pane ySplit="11" topLeftCell="A12" activePane="bottomLeft" state="frozen"/>
      <selection activeCell="D43" sqref="D43:M43"/>
      <selection pane="bottomLeft" activeCell="H23" sqref="H23"/>
    </sheetView>
  </sheetViews>
  <sheetFormatPr defaultColWidth="12.1796875" defaultRowHeight="15" customHeight="1" x14ac:dyDescent="0.35"/>
  <cols>
    <col min="1" max="1" width="3.1796875" customWidth="1"/>
    <col min="2" max="2" width="9" customWidth="1"/>
    <col min="3" max="3" width="17.81640625" customWidth="1"/>
    <col min="4" max="4" width="28.54296875" customWidth="1"/>
    <col min="5" max="5" width="35.7265625" customWidth="1"/>
    <col min="6" max="6" width="10.7265625" customWidth="1"/>
    <col min="7" max="7" width="12.81640625" customWidth="1"/>
    <col min="8" max="8" width="12" customWidth="1"/>
    <col min="9" max="9" width="15.7265625" customWidth="1"/>
    <col min="10" max="12" width="11.7265625" customWidth="1"/>
    <col min="13" max="13" width="13.453125" customWidth="1"/>
    <col min="25" max="75" width="12.1796875" hidden="1"/>
    <col min="76" max="76" width="64.26953125" hidden="1" customWidth="1"/>
    <col min="77" max="78" width="12.1796875" hidden="1"/>
  </cols>
  <sheetData>
    <row r="1" spans="1:76" ht="54.75" customHeight="1" x14ac:dyDescent="0.35">
      <c r="A1" s="151" t="s">
        <v>1808</v>
      </c>
      <c r="B1" s="151"/>
      <c r="C1" s="151"/>
      <c r="D1" s="151"/>
      <c r="E1" s="151"/>
      <c r="F1" s="151"/>
      <c r="G1" s="151"/>
      <c r="H1" s="151"/>
      <c r="I1" s="151"/>
      <c r="J1" s="151"/>
      <c r="K1" s="151"/>
      <c r="L1" s="151"/>
      <c r="M1" s="151"/>
      <c r="AS1" s="27">
        <f>SUM(AJ1:AJ2)</f>
        <v>0</v>
      </c>
      <c r="AT1" s="27">
        <f>SUM(AK1:AK2)</f>
        <v>0</v>
      </c>
      <c r="AU1" s="27">
        <f>SUM(AL1:AL2)</f>
        <v>0</v>
      </c>
    </row>
    <row r="2" spans="1:76" ht="14.5" x14ac:dyDescent="0.35">
      <c r="A2" s="106" t="s">
        <v>1</v>
      </c>
      <c r="B2" s="107"/>
      <c r="C2" s="110" t="str">
        <f>'Stavební rozpočet'!C2</f>
        <v>SOŠ,SOU Třešť - Rekonstrukce 4NP DM</v>
      </c>
      <c r="D2" s="111"/>
      <c r="E2" s="107" t="s">
        <v>69</v>
      </c>
      <c r="F2" s="113" t="str">
        <f>'Stavební rozpočet'!F2</f>
        <v xml:space="preserve"> </v>
      </c>
      <c r="G2" s="113" t="s">
        <v>2</v>
      </c>
      <c r="H2" s="107"/>
      <c r="I2" s="113" t="str">
        <f>'Stavební rozpočet'!I2</f>
        <v>Kraj Vysočina</v>
      </c>
      <c r="J2" s="107"/>
      <c r="K2" s="107"/>
      <c r="L2" s="107"/>
      <c r="M2" s="114"/>
    </row>
    <row r="3" spans="1:76" ht="14.5" x14ac:dyDescent="0.35">
      <c r="A3" s="152"/>
      <c r="B3" s="153"/>
      <c r="C3" s="158"/>
      <c r="D3" s="158"/>
      <c r="E3" s="153"/>
      <c r="F3" s="153"/>
      <c r="G3" s="153"/>
      <c r="H3" s="153"/>
      <c r="I3" s="153"/>
      <c r="J3" s="153"/>
      <c r="K3" s="153"/>
      <c r="L3" s="153"/>
      <c r="M3" s="156"/>
    </row>
    <row r="4" spans="1:76" ht="14.5" x14ac:dyDescent="0.35">
      <c r="A4" s="154" t="s">
        <v>5</v>
      </c>
      <c r="B4" s="153"/>
      <c r="C4" s="155" t="str">
        <f>'Stavební rozpočet'!C4</f>
        <v xml:space="preserve"> </v>
      </c>
      <c r="D4" s="153"/>
      <c r="E4" s="153" t="s">
        <v>11</v>
      </c>
      <c r="F4" s="155" t="str">
        <f>'Stavební rozpočet'!F4</f>
        <v>22.01.2025</v>
      </c>
      <c r="G4" s="155" t="s">
        <v>6</v>
      </c>
      <c r="H4" s="153"/>
      <c r="I4" s="155" t="str">
        <f>'Stavební rozpočet'!I4</f>
        <v>Ing. Miroslav Korecký</v>
      </c>
      <c r="J4" s="153"/>
      <c r="K4" s="153"/>
      <c r="L4" s="153"/>
      <c r="M4" s="156"/>
    </row>
    <row r="5" spans="1:76" ht="14.5" x14ac:dyDescent="0.35">
      <c r="A5" s="152"/>
      <c r="B5" s="153"/>
      <c r="C5" s="153"/>
      <c r="D5" s="153"/>
      <c r="E5" s="153"/>
      <c r="F5" s="153"/>
      <c r="G5" s="153"/>
      <c r="H5" s="153"/>
      <c r="I5" s="153"/>
      <c r="J5" s="153"/>
      <c r="K5" s="153"/>
      <c r="L5" s="153"/>
      <c r="M5" s="156"/>
    </row>
    <row r="6" spans="1:76" ht="14.5" x14ac:dyDescent="0.35">
      <c r="A6" s="154" t="s">
        <v>8</v>
      </c>
      <c r="B6" s="153"/>
      <c r="C6" s="155" t="str">
        <f>'Stavební rozpočet'!C6</f>
        <v>Domov mládeže - Rekonstrukce 4NP</v>
      </c>
      <c r="D6" s="153"/>
      <c r="E6" s="153" t="s">
        <v>12</v>
      </c>
      <c r="F6" s="155" t="str">
        <f>'Stavební rozpočet'!F6</f>
        <v xml:space="preserve"> </v>
      </c>
      <c r="G6" s="155" t="s">
        <v>9</v>
      </c>
      <c r="H6" s="153"/>
      <c r="I6" s="155" t="str">
        <f>'Stavební rozpočet'!I6</f>
        <v> </v>
      </c>
      <c r="J6" s="153"/>
      <c r="K6" s="153"/>
      <c r="L6" s="153"/>
      <c r="M6" s="156"/>
    </row>
    <row r="7" spans="1:76" ht="14.5" x14ac:dyDescent="0.35">
      <c r="A7" s="152"/>
      <c r="B7" s="153"/>
      <c r="C7" s="153"/>
      <c r="D7" s="153"/>
      <c r="E7" s="153"/>
      <c r="F7" s="153"/>
      <c r="G7" s="153"/>
      <c r="H7" s="153"/>
      <c r="I7" s="153"/>
      <c r="J7" s="153"/>
      <c r="K7" s="153"/>
      <c r="L7" s="153"/>
      <c r="M7" s="156"/>
    </row>
    <row r="8" spans="1:76" ht="14.5" x14ac:dyDescent="0.35">
      <c r="A8" s="154" t="s">
        <v>14</v>
      </c>
      <c r="B8" s="153"/>
      <c r="C8" s="155" t="str">
        <f>'Stavební rozpočet'!C8</f>
        <v>801753</v>
      </c>
      <c r="D8" s="153"/>
      <c r="E8" s="153" t="s">
        <v>70</v>
      </c>
      <c r="F8" s="155" t="str">
        <f>'Stavební rozpočet'!F8</f>
        <v>22.01.2025</v>
      </c>
      <c r="G8" s="155" t="s">
        <v>15</v>
      </c>
      <c r="H8" s="153"/>
      <c r="I8" s="155" t="str">
        <f>'Stavební rozpočet'!I8</f>
        <v>Ing. Miroslav Korecký</v>
      </c>
      <c r="J8" s="153"/>
      <c r="K8" s="153"/>
      <c r="L8" s="153"/>
      <c r="M8" s="156"/>
    </row>
    <row r="9" spans="1:76" ht="14.5" x14ac:dyDescent="0.35">
      <c r="A9" s="197"/>
      <c r="B9" s="198"/>
      <c r="C9" s="198"/>
      <c r="D9" s="198"/>
      <c r="E9" s="198"/>
      <c r="F9" s="198"/>
      <c r="G9" s="198"/>
      <c r="H9" s="198"/>
      <c r="I9" s="198"/>
      <c r="J9" s="198"/>
      <c r="K9" s="198"/>
      <c r="L9" s="198"/>
      <c r="M9" s="208"/>
    </row>
    <row r="10" spans="1:76" ht="14.5" x14ac:dyDescent="0.35">
      <c r="A10" s="28" t="s">
        <v>71</v>
      </c>
      <c r="B10" s="29" t="s">
        <v>72</v>
      </c>
      <c r="C10" s="29" t="s">
        <v>73</v>
      </c>
      <c r="D10" s="209" t="s">
        <v>74</v>
      </c>
      <c r="E10" s="210"/>
      <c r="F10" s="29" t="s">
        <v>75</v>
      </c>
      <c r="G10" s="30" t="s">
        <v>76</v>
      </c>
      <c r="H10" s="31" t="s">
        <v>77</v>
      </c>
      <c r="I10" s="32" t="s">
        <v>78</v>
      </c>
      <c r="J10" s="201" t="s">
        <v>79</v>
      </c>
      <c r="K10" s="202"/>
      <c r="L10" s="203"/>
      <c r="M10" s="33" t="s">
        <v>80</v>
      </c>
      <c r="BK10" s="34" t="s">
        <v>81</v>
      </c>
      <c r="BL10" s="35" t="s">
        <v>82</v>
      </c>
      <c r="BW10" s="35" t="s">
        <v>83</v>
      </c>
    </row>
    <row r="11" spans="1:76" ht="14.5" x14ac:dyDescent="0.35">
      <c r="A11" s="36" t="s">
        <v>84</v>
      </c>
      <c r="B11" s="37" t="s">
        <v>84</v>
      </c>
      <c r="C11" s="37" t="s">
        <v>84</v>
      </c>
      <c r="D11" s="199" t="s">
        <v>85</v>
      </c>
      <c r="E11" s="200"/>
      <c r="F11" s="37" t="s">
        <v>84</v>
      </c>
      <c r="G11" s="37" t="s">
        <v>84</v>
      </c>
      <c r="H11" s="38" t="s">
        <v>86</v>
      </c>
      <c r="I11" s="39" t="s">
        <v>87</v>
      </c>
      <c r="J11" s="40" t="s">
        <v>88</v>
      </c>
      <c r="K11" s="41" t="s">
        <v>89</v>
      </c>
      <c r="L11" s="42" t="s">
        <v>87</v>
      </c>
      <c r="M11" s="43" t="s">
        <v>90</v>
      </c>
      <c r="Z11" s="34" t="s">
        <v>91</v>
      </c>
      <c r="AA11" s="34" t="s">
        <v>92</v>
      </c>
      <c r="AB11" s="34" t="s">
        <v>93</v>
      </c>
      <c r="AC11" s="34" t="s">
        <v>94</v>
      </c>
      <c r="AD11" s="34" t="s">
        <v>95</v>
      </c>
      <c r="AE11" s="34" t="s">
        <v>96</v>
      </c>
      <c r="AF11" s="34" t="s">
        <v>97</v>
      </c>
      <c r="AG11" s="34" t="s">
        <v>98</v>
      </c>
      <c r="AH11" s="34" t="s">
        <v>99</v>
      </c>
      <c r="BH11" s="34" t="s">
        <v>100</v>
      </c>
      <c r="BI11" s="34" t="s">
        <v>101</v>
      </c>
      <c r="BJ11" s="34" t="s">
        <v>102</v>
      </c>
    </row>
    <row r="12" spans="1:76" ht="14.5" x14ac:dyDescent="0.35">
      <c r="A12" s="44" t="s">
        <v>10</v>
      </c>
      <c r="B12" s="45" t="s">
        <v>1809</v>
      </c>
      <c r="C12" s="45" t="s">
        <v>10</v>
      </c>
      <c r="D12" s="204" t="s">
        <v>1810</v>
      </c>
      <c r="E12" s="205"/>
      <c r="F12" s="46" t="s">
        <v>84</v>
      </c>
      <c r="G12" s="46" t="s">
        <v>84</v>
      </c>
      <c r="H12" s="46" t="s">
        <v>84</v>
      </c>
      <c r="I12" s="47">
        <f>I13+I22</f>
        <v>0</v>
      </c>
      <c r="J12" s="48" t="s">
        <v>10</v>
      </c>
      <c r="K12" s="48" t="s">
        <v>10</v>
      </c>
      <c r="L12" s="47">
        <f>L13+L22</f>
        <v>0</v>
      </c>
      <c r="M12" s="49" t="s">
        <v>10</v>
      </c>
    </row>
    <row r="13" spans="1:76" ht="14.5" x14ac:dyDescent="0.35">
      <c r="A13" s="50" t="s">
        <v>10</v>
      </c>
      <c r="B13" s="51" t="s">
        <v>1809</v>
      </c>
      <c r="C13" s="51" t="s">
        <v>1811</v>
      </c>
      <c r="D13" s="206" t="s">
        <v>1812</v>
      </c>
      <c r="E13" s="207"/>
      <c r="F13" s="52" t="s">
        <v>84</v>
      </c>
      <c r="G13" s="52" t="s">
        <v>84</v>
      </c>
      <c r="H13" s="52" t="s">
        <v>84</v>
      </c>
      <c r="I13" s="27">
        <f>SUM(I14:I20)</f>
        <v>0</v>
      </c>
      <c r="J13" s="34" t="s">
        <v>10</v>
      </c>
      <c r="K13" s="34" t="s">
        <v>10</v>
      </c>
      <c r="L13" s="27">
        <f>SUM(L14:L20)</f>
        <v>0</v>
      </c>
      <c r="M13" s="53" t="s">
        <v>10</v>
      </c>
      <c r="AI13" s="34" t="s">
        <v>1809</v>
      </c>
      <c r="AS13" s="27">
        <f>SUM(AJ14:AJ20)</f>
        <v>0</v>
      </c>
      <c r="AT13" s="27">
        <f>SUM(AK14:AK20)</f>
        <v>0</v>
      </c>
      <c r="AU13" s="27">
        <f>SUM(AL14:AL20)</f>
        <v>0</v>
      </c>
    </row>
    <row r="14" spans="1:76" ht="14.5" x14ac:dyDescent="0.35">
      <c r="A14" s="1" t="s">
        <v>107</v>
      </c>
      <c r="B14" s="2" t="s">
        <v>1809</v>
      </c>
      <c r="C14" s="2" t="s">
        <v>1813</v>
      </c>
      <c r="D14" s="155" t="s">
        <v>34</v>
      </c>
      <c r="E14" s="153"/>
      <c r="F14" s="2" t="s">
        <v>1814</v>
      </c>
      <c r="G14" s="54">
        <f>'Stavební rozpočet'!G832</f>
        <v>1</v>
      </c>
      <c r="H14" s="94">
        <v>0</v>
      </c>
      <c r="I14" s="54">
        <f>G14*H14</f>
        <v>0</v>
      </c>
      <c r="J14" s="54">
        <f>'Stavební rozpočet'!J832</f>
        <v>0</v>
      </c>
      <c r="K14" s="54">
        <f>'Stavební rozpočet'!K832</f>
        <v>0</v>
      </c>
      <c r="L14" s="54">
        <f>G14*J14</f>
        <v>0</v>
      </c>
      <c r="M14" s="55" t="s">
        <v>10</v>
      </c>
      <c r="Z14" s="54">
        <f>IF(AQ14="5",BJ14,0)</f>
        <v>0</v>
      </c>
      <c r="AB14" s="54">
        <f>IF(AQ14="1",BH14,0)</f>
        <v>0</v>
      </c>
      <c r="AC14" s="54">
        <f>IF(AQ14="1",BI14,0)</f>
        <v>0</v>
      </c>
      <c r="AD14" s="54">
        <f>IF(AQ14="7",BH14,0)</f>
        <v>0</v>
      </c>
      <c r="AE14" s="54">
        <f>IF(AQ14="7",BI14,0)</f>
        <v>0</v>
      </c>
      <c r="AF14" s="54">
        <f>IF(AQ14="2",BH14,0)</f>
        <v>0</v>
      </c>
      <c r="AG14" s="54">
        <f>IF(AQ14="2",BI14,0)</f>
        <v>0</v>
      </c>
      <c r="AH14" s="54">
        <f>IF(AQ14="0",BJ14,0)</f>
        <v>0</v>
      </c>
      <c r="AI14" s="34" t="s">
        <v>1809</v>
      </c>
      <c r="AJ14" s="54">
        <f>IF(AN14=0,I14,0)</f>
        <v>0</v>
      </c>
      <c r="AK14" s="54">
        <f>IF(AN14=12,I14,0)</f>
        <v>0</v>
      </c>
      <c r="AL14" s="54">
        <f>IF(AN14=21,I14,0)</f>
        <v>0</v>
      </c>
      <c r="AN14" s="54">
        <v>21</v>
      </c>
      <c r="AO14" s="54">
        <f>H14*0</f>
        <v>0</v>
      </c>
      <c r="AP14" s="54">
        <f>H14*(1-0)</f>
        <v>0</v>
      </c>
      <c r="AQ14" s="56" t="s">
        <v>107</v>
      </c>
      <c r="AV14" s="54">
        <f>AW14+AX14</f>
        <v>0</v>
      </c>
      <c r="AW14" s="54">
        <f>G14*AO14</f>
        <v>0</v>
      </c>
      <c r="AX14" s="54">
        <f>G14*AP14</f>
        <v>0</v>
      </c>
      <c r="AY14" s="56" t="s">
        <v>1815</v>
      </c>
      <c r="AZ14" s="56" t="s">
        <v>1816</v>
      </c>
      <c r="BA14" s="34" t="s">
        <v>1817</v>
      </c>
      <c r="BC14" s="54">
        <f>AW14+AX14</f>
        <v>0</v>
      </c>
      <c r="BD14" s="54">
        <f>H14/(100-BE14)*100</f>
        <v>0</v>
      </c>
      <c r="BE14" s="54">
        <v>0</v>
      </c>
      <c r="BF14" s="54">
        <f>L14</f>
        <v>0</v>
      </c>
      <c r="BH14" s="54">
        <f>G14*AO14</f>
        <v>0</v>
      </c>
      <c r="BI14" s="54">
        <f>G14*AP14</f>
        <v>0</v>
      </c>
      <c r="BJ14" s="54">
        <f>G14*H14</f>
        <v>0</v>
      </c>
      <c r="BK14" s="54"/>
      <c r="BL14" s="54"/>
      <c r="BW14" s="54">
        <v>21</v>
      </c>
      <c r="BX14" s="3" t="s">
        <v>34</v>
      </c>
    </row>
    <row r="15" spans="1:76" ht="54" customHeight="1" x14ac:dyDescent="0.35">
      <c r="A15" s="57"/>
      <c r="C15" s="62" t="s">
        <v>122</v>
      </c>
      <c r="D15" s="214" t="s">
        <v>1818</v>
      </c>
      <c r="E15" s="215"/>
      <c r="F15" s="215"/>
      <c r="G15" s="215"/>
      <c r="H15" s="215"/>
      <c r="I15" s="215"/>
      <c r="J15" s="215"/>
      <c r="K15" s="215"/>
      <c r="L15" s="215"/>
      <c r="M15" s="216"/>
    </row>
    <row r="16" spans="1:76" ht="14.5" x14ac:dyDescent="0.35">
      <c r="A16" s="1" t="s">
        <v>119</v>
      </c>
      <c r="B16" s="2" t="s">
        <v>1809</v>
      </c>
      <c r="C16" s="2" t="s">
        <v>1819</v>
      </c>
      <c r="D16" s="155" t="s">
        <v>1820</v>
      </c>
      <c r="E16" s="153"/>
      <c r="F16" s="2" t="s">
        <v>1814</v>
      </c>
      <c r="G16" s="54">
        <f>'Stavební rozpočet'!G833</f>
        <v>1</v>
      </c>
      <c r="H16" s="94">
        <f>'Stavební rozpočet'!H833</f>
        <v>0</v>
      </c>
      <c r="I16" s="54">
        <f>G16*H16</f>
        <v>0</v>
      </c>
      <c r="J16" s="54">
        <f>'Stavební rozpočet'!J833</f>
        <v>0</v>
      </c>
      <c r="K16" s="54">
        <f>'Stavební rozpočet'!K833</f>
        <v>0</v>
      </c>
      <c r="L16" s="54">
        <f>G16*J16</f>
        <v>0</v>
      </c>
      <c r="M16" s="55" t="s">
        <v>10</v>
      </c>
      <c r="Z16" s="54">
        <f>IF(AQ16="5",BJ16,0)</f>
        <v>0</v>
      </c>
      <c r="AB16" s="54">
        <f>IF(AQ16="1",BH16,0)</f>
        <v>0</v>
      </c>
      <c r="AC16" s="54">
        <f>IF(AQ16="1",BI16,0)</f>
        <v>0</v>
      </c>
      <c r="AD16" s="54">
        <f>IF(AQ16="7",BH16,0)</f>
        <v>0</v>
      </c>
      <c r="AE16" s="54">
        <f>IF(AQ16="7",BI16,0)</f>
        <v>0</v>
      </c>
      <c r="AF16" s="54">
        <f>IF(AQ16="2",BH16,0)</f>
        <v>0</v>
      </c>
      <c r="AG16" s="54">
        <f>IF(AQ16="2",BI16,0)</f>
        <v>0</v>
      </c>
      <c r="AH16" s="54">
        <f>IF(AQ16="0",BJ16,0)</f>
        <v>0</v>
      </c>
      <c r="AI16" s="34" t="s">
        <v>1809</v>
      </c>
      <c r="AJ16" s="54">
        <f>IF(AN16=0,I16,0)</f>
        <v>0</v>
      </c>
      <c r="AK16" s="54">
        <f>IF(AN16=12,I16,0)</f>
        <v>0</v>
      </c>
      <c r="AL16" s="54">
        <f>IF(AN16=21,I16,0)</f>
        <v>0</v>
      </c>
      <c r="AN16" s="54">
        <v>21</v>
      </c>
      <c r="AO16" s="54">
        <f>H16*0</f>
        <v>0</v>
      </c>
      <c r="AP16" s="54">
        <f>H16*(1-0)</f>
        <v>0</v>
      </c>
      <c r="AQ16" s="56" t="s">
        <v>107</v>
      </c>
      <c r="AV16" s="54">
        <f>AW16+AX16</f>
        <v>0</v>
      </c>
      <c r="AW16" s="54">
        <f>G16*AO16</f>
        <v>0</v>
      </c>
      <c r="AX16" s="54">
        <f>G16*AP16</f>
        <v>0</v>
      </c>
      <c r="AY16" s="56" t="s">
        <v>1815</v>
      </c>
      <c r="AZ16" s="56" t="s">
        <v>1816</v>
      </c>
      <c r="BA16" s="34" t="s">
        <v>1817</v>
      </c>
      <c r="BC16" s="54">
        <f>AW16+AX16</f>
        <v>0</v>
      </c>
      <c r="BD16" s="54">
        <f>H16/(100-BE16)*100</f>
        <v>0</v>
      </c>
      <c r="BE16" s="54">
        <v>0</v>
      </c>
      <c r="BF16" s="54">
        <f>L16</f>
        <v>0</v>
      </c>
      <c r="BH16" s="54">
        <f>G16*AO16</f>
        <v>0</v>
      </c>
      <c r="BI16" s="54">
        <f>G16*AP16</f>
        <v>0</v>
      </c>
      <c r="BJ16" s="54">
        <f>G16*H16</f>
        <v>0</v>
      </c>
      <c r="BK16" s="54"/>
      <c r="BL16" s="54"/>
      <c r="BW16" s="54">
        <v>21</v>
      </c>
      <c r="BX16" s="3" t="s">
        <v>1820</v>
      </c>
    </row>
    <row r="17" spans="1:76" ht="13.5" customHeight="1" x14ac:dyDescent="0.35">
      <c r="A17" s="57"/>
      <c r="C17" s="62" t="s">
        <v>122</v>
      </c>
      <c r="D17" s="214" t="s">
        <v>1821</v>
      </c>
      <c r="E17" s="215"/>
      <c r="F17" s="215"/>
      <c r="G17" s="215"/>
      <c r="H17" s="215"/>
      <c r="I17" s="215"/>
      <c r="J17" s="215"/>
      <c r="K17" s="215"/>
      <c r="L17" s="215"/>
      <c r="M17" s="216"/>
    </row>
    <row r="18" spans="1:76" ht="14.5" x14ac:dyDescent="0.35">
      <c r="A18" s="1" t="s">
        <v>126</v>
      </c>
      <c r="B18" s="2" t="s">
        <v>1809</v>
      </c>
      <c r="C18" s="2" t="s">
        <v>1822</v>
      </c>
      <c r="D18" s="155" t="s">
        <v>1823</v>
      </c>
      <c r="E18" s="153"/>
      <c r="F18" s="2" t="s">
        <v>1814</v>
      </c>
      <c r="G18" s="54">
        <f>'Stavební rozpočet'!G834</f>
        <v>1</v>
      </c>
      <c r="H18" s="94">
        <f>'Stavební rozpočet'!H834</f>
        <v>0</v>
      </c>
      <c r="I18" s="54">
        <f>G18*H18</f>
        <v>0</v>
      </c>
      <c r="J18" s="54">
        <f>'Stavební rozpočet'!J834</f>
        <v>0</v>
      </c>
      <c r="K18" s="54">
        <f>'Stavební rozpočet'!K834</f>
        <v>0</v>
      </c>
      <c r="L18" s="54">
        <f>G18*J18</f>
        <v>0</v>
      </c>
      <c r="M18" s="55" t="s">
        <v>10</v>
      </c>
      <c r="Z18" s="54">
        <f>IF(AQ18="5",BJ18,0)</f>
        <v>0</v>
      </c>
      <c r="AB18" s="54">
        <f>IF(AQ18="1",BH18,0)</f>
        <v>0</v>
      </c>
      <c r="AC18" s="54">
        <f>IF(AQ18="1",BI18,0)</f>
        <v>0</v>
      </c>
      <c r="AD18" s="54">
        <f>IF(AQ18="7",BH18,0)</f>
        <v>0</v>
      </c>
      <c r="AE18" s="54">
        <f>IF(AQ18="7",BI18,0)</f>
        <v>0</v>
      </c>
      <c r="AF18" s="54">
        <f>IF(AQ18="2",BH18,0)</f>
        <v>0</v>
      </c>
      <c r="AG18" s="54">
        <f>IF(AQ18="2",BI18,0)</f>
        <v>0</v>
      </c>
      <c r="AH18" s="54">
        <f>IF(AQ18="0",BJ18,0)</f>
        <v>0</v>
      </c>
      <c r="AI18" s="34" t="s">
        <v>1809</v>
      </c>
      <c r="AJ18" s="54">
        <f>IF(AN18=0,I18,0)</f>
        <v>0</v>
      </c>
      <c r="AK18" s="54">
        <f>IF(AN18=12,I18,0)</f>
        <v>0</v>
      </c>
      <c r="AL18" s="54">
        <f>IF(AN18=21,I18,0)</f>
        <v>0</v>
      </c>
      <c r="AN18" s="54">
        <v>21</v>
      </c>
      <c r="AO18" s="54">
        <f>H18*0</f>
        <v>0</v>
      </c>
      <c r="AP18" s="54">
        <f>H18*(1-0)</f>
        <v>0</v>
      </c>
      <c r="AQ18" s="56" t="s">
        <v>107</v>
      </c>
      <c r="AV18" s="54">
        <f>AW18+AX18</f>
        <v>0</v>
      </c>
      <c r="AW18" s="54">
        <f>G18*AO18</f>
        <v>0</v>
      </c>
      <c r="AX18" s="54">
        <f>G18*AP18</f>
        <v>0</v>
      </c>
      <c r="AY18" s="56" t="s">
        <v>1815</v>
      </c>
      <c r="AZ18" s="56" t="s">
        <v>1816</v>
      </c>
      <c r="BA18" s="34" t="s">
        <v>1817</v>
      </c>
      <c r="BC18" s="54">
        <f>AW18+AX18</f>
        <v>0</v>
      </c>
      <c r="BD18" s="54">
        <f>H18/(100-BE18)*100</f>
        <v>0</v>
      </c>
      <c r="BE18" s="54">
        <v>0</v>
      </c>
      <c r="BF18" s="54">
        <f>L18</f>
        <v>0</v>
      </c>
      <c r="BH18" s="54">
        <f>G18*AO18</f>
        <v>0</v>
      </c>
      <c r="BI18" s="54">
        <f>G18*AP18</f>
        <v>0</v>
      </c>
      <c r="BJ18" s="54">
        <f>G18*H18</f>
        <v>0</v>
      </c>
      <c r="BK18" s="54"/>
      <c r="BL18" s="54"/>
      <c r="BW18" s="54">
        <v>21</v>
      </c>
      <c r="BX18" s="3" t="s">
        <v>1823</v>
      </c>
    </row>
    <row r="19" spans="1:76" ht="13.5" customHeight="1" x14ac:dyDescent="0.35">
      <c r="A19" s="57"/>
      <c r="C19" s="62" t="s">
        <v>122</v>
      </c>
      <c r="D19" s="214" t="s">
        <v>1824</v>
      </c>
      <c r="E19" s="215"/>
      <c r="F19" s="215"/>
      <c r="G19" s="215"/>
      <c r="H19" s="215"/>
      <c r="I19" s="215"/>
      <c r="J19" s="215"/>
      <c r="K19" s="215"/>
      <c r="L19" s="215"/>
      <c r="M19" s="216"/>
    </row>
    <row r="20" spans="1:76" ht="14.5" x14ac:dyDescent="0.35">
      <c r="A20" s="1" t="s">
        <v>144</v>
      </c>
      <c r="B20" s="2" t="s">
        <v>1809</v>
      </c>
      <c r="C20" s="2" t="s">
        <v>1825</v>
      </c>
      <c r="D20" s="155" t="s">
        <v>1533</v>
      </c>
      <c r="E20" s="153"/>
      <c r="F20" s="2" t="s">
        <v>1814</v>
      </c>
      <c r="G20" s="54">
        <f>'Stavební rozpočet'!G835</f>
        <v>1</v>
      </c>
      <c r="H20" s="94">
        <f>'Stavební rozpočet'!H835</f>
        <v>0</v>
      </c>
      <c r="I20" s="54">
        <f>G20*H20</f>
        <v>0</v>
      </c>
      <c r="J20" s="54">
        <f>'Stavební rozpočet'!J835</f>
        <v>0</v>
      </c>
      <c r="K20" s="54">
        <f>'Stavební rozpočet'!K835</f>
        <v>0</v>
      </c>
      <c r="L20" s="54">
        <f>G20*J20</f>
        <v>0</v>
      </c>
      <c r="M20" s="55" t="s">
        <v>10</v>
      </c>
      <c r="Z20" s="54">
        <f>IF(AQ20="5",BJ20,0)</f>
        <v>0</v>
      </c>
      <c r="AB20" s="54">
        <f>IF(AQ20="1",BH20,0)</f>
        <v>0</v>
      </c>
      <c r="AC20" s="54">
        <f>IF(AQ20="1",BI20,0)</f>
        <v>0</v>
      </c>
      <c r="AD20" s="54">
        <f>IF(AQ20="7",BH20,0)</f>
        <v>0</v>
      </c>
      <c r="AE20" s="54">
        <f>IF(AQ20="7",BI20,0)</f>
        <v>0</v>
      </c>
      <c r="AF20" s="54">
        <f>IF(AQ20="2",BH20,0)</f>
        <v>0</v>
      </c>
      <c r="AG20" s="54">
        <f>IF(AQ20="2",BI20,0)</f>
        <v>0</v>
      </c>
      <c r="AH20" s="54">
        <f>IF(AQ20="0",BJ20,0)</f>
        <v>0</v>
      </c>
      <c r="AI20" s="34" t="s">
        <v>1809</v>
      </c>
      <c r="AJ20" s="54">
        <f>IF(AN20=0,I20,0)</f>
        <v>0</v>
      </c>
      <c r="AK20" s="54">
        <f>IF(AN20=12,I20,0)</f>
        <v>0</v>
      </c>
      <c r="AL20" s="54">
        <f>IF(AN20=21,I20,0)</f>
        <v>0</v>
      </c>
      <c r="AN20" s="54">
        <v>21</v>
      </c>
      <c r="AO20" s="54">
        <f>H20*0</f>
        <v>0</v>
      </c>
      <c r="AP20" s="54">
        <f>H20*(1-0)</f>
        <v>0</v>
      </c>
      <c r="AQ20" s="56" t="s">
        <v>107</v>
      </c>
      <c r="AV20" s="54">
        <f>AW20+AX20</f>
        <v>0</v>
      </c>
      <c r="AW20" s="54">
        <f>G20*AO20</f>
        <v>0</v>
      </c>
      <c r="AX20" s="54">
        <f>G20*AP20</f>
        <v>0</v>
      </c>
      <c r="AY20" s="56" t="s">
        <v>1815</v>
      </c>
      <c r="AZ20" s="56" t="s">
        <v>1816</v>
      </c>
      <c r="BA20" s="34" t="s">
        <v>1817</v>
      </c>
      <c r="BC20" s="54">
        <f>AW20+AX20</f>
        <v>0</v>
      </c>
      <c r="BD20" s="54">
        <f>H20/(100-BE20)*100</f>
        <v>0</v>
      </c>
      <c r="BE20" s="54">
        <v>0</v>
      </c>
      <c r="BF20" s="54">
        <f>L20</f>
        <v>0</v>
      </c>
      <c r="BH20" s="54">
        <f>G20*AO20</f>
        <v>0</v>
      </c>
      <c r="BI20" s="54">
        <f>G20*AP20</f>
        <v>0</v>
      </c>
      <c r="BJ20" s="54">
        <f>G20*H20</f>
        <v>0</v>
      </c>
      <c r="BK20" s="54"/>
      <c r="BL20" s="54"/>
      <c r="BW20" s="54">
        <v>21</v>
      </c>
      <c r="BX20" s="3" t="s">
        <v>1533</v>
      </c>
    </row>
    <row r="21" spans="1:76" ht="13.5" customHeight="1" x14ac:dyDescent="0.35">
      <c r="A21" s="57"/>
      <c r="C21" s="62" t="s">
        <v>122</v>
      </c>
      <c r="D21" s="214" t="s">
        <v>1826</v>
      </c>
      <c r="E21" s="215"/>
      <c r="F21" s="215"/>
      <c r="G21" s="215"/>
      <c r="H21" s="215"/>
      <c r="I21" s="215"/>
      <c r="J21" s="215"/>
      <c r="K21" s="215"/>
      <c r="L21" s="215"/>
      <c r="M21" s="216"/>
    </row>
    <row r="22" spans="1:76" ht="14.5" x14ac:dyDescent="0.35">
      <c r="A22" s="50" t="s">
        <v>10</v>
      </c>
      <c r="B22" s="51" t="s">
        <v>1809</v>
      </c>
      <c r="C22" s="51" t="s">
        <v>1827</v>
      </c>
      <c r="D22" s="206" t="s">
        <v>1828</v>
      </c>
      <c r="E22" s="207"/>
      <c r="F22" s="52" t="s">
        <v>84</v>
      </c>
      <c r="G22" s="52" t="s">
        <v>84</v>
      </c>
      <c r="H22" s="52" t="s">
        <v>84</v>
      </c>
      <c r="I22" s="27">
        <f>SUM(I23:I31)</f>
        <v>0</v>
      </c>
      <c r="J22" s="34" t="s">
        <v>10</v>
      </c>
      <c r="K22" s="34" t="s">
        <v>10</v>
      </c>
      <c r="L22" s="27">
        <f>SUM(L23:L31)</f>
        <v>0</v>
      </c>
      <c r="M22" s="53" t="s">
        <v>10</v>
      </c>
      <c r="AI22" s="34" t="s">
        <v>1809</v>
      </c>
      <c r="AS22" s="27">
        <f>SUM(AJ23:AJ31)</f>
        <v>0</v>
      </c>
      <c r="AT22" s="27">
        <f>SUM(AK23:AK31)</f>
        <v>0</v>
      </c>
      <c r="AU22" s="27">
        <f>SUM(AL23:AL31)</f>
        <v>0</v>
      </c>
    </row>
    <row r="23" spans="1:76" ht="14.5" x14ac:dyDescent="0.35">
      <c r="A23" s="1" t="s">
        <v>150</v>
      </c>
      <c r="B23" s="2" t="s">
        <v>1809</v>
      </c>
      <c r="C23" s="2" t="s">
        <v>1829</v>
      </c>
      <c r="D23" s="155" t="s">
        <v>1830</v>
      </c>
      <c r="E23" s="153"/>
      <c r="F23" s="2" t="s">
        <v>1814</v>
      </c>
      <c r="G23" s="54">
        <f>'Stavební rozpočet'!G837</f>
        <v>1</v>
      </c>
      <c r="H23" s="94">
        <f>'Stavební rozpočet'!H837</f>
        <v>0</v>
      </c>
      <c r="I23" s="54">
        <f>G23*H23</f>
        <v>0</v>
      </c>
      <c r="J23" s="54">
        <f>'Stavební rozpočet'!J837</f>
        <v>0</v>
      </c>
      <c r="K23" s="54">
        <f>'Stavební rozpočet'!K837</f>
        <v>0</v>
      </c>
      <c r="L23" s="54">
        <f>G23*J23</f>
        <v>0</v>
      </c>
      <c r="M23" s="55" t="s">
        <v>10</v>
      </c>
      <c r="Z23" s="54">
        <f>IF(AQ23="5",BJ23,0)</f>
        <v>0</v>
      </c>
      <c r="AB23" s="54">
        <f>IF(AQ23="1",BH23,0)</f>
        <v>0</v>
      </c>
      <c r="AC23" s="54">
        <f>IF(AQ23="1",BI23,0)</f>
        <v>0</v>
      </c>
      <c r="AD23" s="54">
        <f>IF(AQ23="7",BH23,0)</f>
        <v>0</v>
      </c>
      <c r="AE23" s="54">
        <f>IF(AQ23="7",BI23,0)</f>
        <v>0</v>
      </c>
      <c r="AF23" s="54">
        <f>IF(AQ23="2",BH23,0)</f>
        <v>0</v>
      </c>
      <c r="AG23" s="54">
        <f>IF(AQ23="2",BI23,0)</f>
        <v>0</v>
      </c>
      <c r="AH23" s="54">
        <f>IF(AQ23="0",BJ23,0)</f>
        <v>0</v>
      </c>
      <c r="AI23" s="34" t="s">
        <v>1809</v>
      </c>
      <c r="AJ23" s="54">
        <f>IF(AN23=0,I23,0)</f>
        <v>0</v>
      </c>
      <c r="AK23" s="54">
        <f>IF(AN23=12,I23,0)</f>
        <v>0</v>
      </c>
      <c r="AL23" s="54">
        <f>IF(AN23=21,I23,0)</f>
        <v>0</v>
      </c>
      <c r="AN23" s="54">
        <v>21</v>
      </c>
      <c r="AO23" s="54">
        <f>H23*0</f>
        <v>0</v>
      </c>
      <c r="AP23" s="54">
        <f>H23*(1-0)</f>
        <v>0</v>
      </c>
      <c r="AQ23" s="56" t="s">
        <v>107</v>
      </c>
      <c r="AV23" s="54">
        <f>AW23+AX23</f>
        <v>0</v>
      </c>
      <c r="AW23" s="54">
        <f>G23*AO23</f>
        <v>0</v>
      </c>
      <c r="AX23" s="54">
        <f>G23*AP23</f>
        <v>0</v>
      </c>
      <c r="AY23" s="56" t="s">
        <v>1831</v>
      </c>
      <c r="AZ23" s="56" t="s">
        <v>1816</v>
      </c>
      <c r="BA23" s="34" t="s">
        <v>1817</v>
      </c>
      <c r="BC23" s="54">
        <f>AW23+AX23</f>
        <v>0</v>
      </c>
      <c r="BD23" s="54">
        <f>H23/(100-BE23)*100</f>
        <v>0</v>
      </c>
      <c r="BE23" s="54">
        <v>0</v>
      </c>
      <c r="BF23" s="54">
        <f>L23</f>
        <v>0</v>
      </c>
      <c r="BH23" s="54">
        <f>G23*AO23</f>
        <v>0</v>
      </c>
      <c r="BI23" s="54">
        <f>G23*AP23</f>
        <v>0</v>
      </c>
      <c r="BJ23" s="54">
        <f>G23*H23</f>
        <v>0</v>
      </c>
      <c r="BK23" s="54"/>
      <c r="BL23" s="54"/>
      <c r="BW23" s="54">
        <v>21</v>
      </c>
      <c r="BX23" s="3" t="s">
        <v>1830</v>
      </c>
    </row>
    <row r="24" spans="1:76" ht="13.5" customHeight="1" x14ac:dyDescent="0.35">
      <c r="A24" s="57"/>
      <c r="C24" s="62" t="s">
        <v>122</v>
      </c>
      <c r="D24" s="214" t="s">
        <v>1832</v>
      </c>
      <c r="E24" s="215"/>
      <c r="F24" s="215"/>
      <c r="G24" s="215"/>
      <c r="H24" s="215"/>
      <c r="I24" s="215"/>
      <c r="J24" s="215"/>
      <c r="K24" s="215"/>
      <c r="L24" s="215"/>
      <c r="M24" s="216"/>
    </row>
    <row r="25" spans="1:76" ht="14.5" x14ac:dyDescent="0.35">
      <c r="A25" s="1" t="s">
        <v>160</v>
      </c>
      <c r="B25" s="2" t="s">
        <v>1809</v>
      </c>
      <c r="C25" s="2" t="s">
        <v>1833</v>
      </c>
      <c r="D25" s="155" t="s">
        <v>1834</v>
      </c>
      <c r="E25" s="153"/>
      <c r="F25" s="2" t="s">
        <v>1814</v>
      </c>
      <c r="G25" s="54">
        <f>'Stavební rozpočet'!G838</f>
        <v>1</v>
      </c>
      <c r="H25" s="94">
        <f>'Stavební rozpočet'!H838</f>
        <v>0</v>
      </c>
      <c r="I25" s="54">
        <f>G25*H25</f>
        <v>0</v>
      </c>
      <c r="J25" s="54">
        <f>'Stavební rozpočet'!J838</f>
        <v>0</v>
      </c>
      <c r="K25" s="54">
        <f>'Stavební rozpočet'!K838</f>
        <v>0</v>
      </c>
      <c r="L25" s="54">
        <f>G25*J25</f>
        <v>0</v>
      </c>
      <c r="M25" s="55" t="s">
        <v>10</v>
      </c>
      <c r="Z25" s="54">
        <f>IF(AQ25="5",BJ25,0)</f>
        <v>0</v>
      </c>
      <c r="AB25" s="54">
        <f>IF(AQ25="1",BH25,0)</f>
        <v>0</v>
      </c>
      <c r="AC25" s="54">
        <f>IF(AQ25="1",BI25,0)</f>
        <v>0</v>
      </c>
      <c r="AD25" s="54">
        <f>IF(AQ25="7",BH25,0)</f>
        <v>0</v>
      </c>
      <c r="AE25" s="54">
        <f>IF(AQ25="7",BI25,0)</f>
        <v>0</v>
      </c>
      <c r="AF25" s="54">
        <f>IF(AQ25="2",BH25,0)</f>
        <v>0</v>
      </c>
      <c r="AG25" s="54">
        <f>IF(AQ25="2",BI25,0)</f>
        <v>0</v>
      </c>
      <c r="AH25" s="54">
        <f>IF(AQ25="0",BJ25,0)</f>
        <v>0</v>
      </c>
      <c r="AI25" s="34" t="s">
        <v>1809</v>
      </c>
      <c r="AJ25" s="54">
        <f>IF(AN25=0,I25,0)</f>
        <v>0</v>
      </c>
      <c r="AK25" s="54">
        <f>IF(AN25=12,I25,0)</f>
        <v>0</v>
      </c>
      <c r="AL25" s="54">
        <f>IF(AN25=21,I25,0)</f>
        <v>0</v>
      </c>
      <c r="AN25" s="54">
        <v>21</v>
      </c>
      <c r="AO25" s="54">
        <f>H25*0</f>
        <v>0</v>
      </c>
      <c r="AP25" s="54">
        <f>H25*(1-0)</f>
        <v>0</v>
      </c>
      <c r="AQ25" s="56" t="s">
        <v>107</v>
      </c>
      <c r="AV25" s="54">
        <f>AW25+AX25</f>
        <v>0</v>
      </c>
      <c r="AW25" s="54">
        <f>G25*AO25</f>
        <v>0</v>
      </c>
      <c r="AX25" s="54">
        <f>G25*AP25</f>
        <v>0</v>
      </c>
      <c r="AY25" s="56" t="s">
        <v>1831</v>
      </c>
      <c r="AZ25" s="56" t="s">
        <v>1816</v>
      </c>
      <c r="BA25" s="34" t="s">
        <v>1817</v>
      </c>
      <c r="BC25" s="54">
        <f>AW25+AX25</f>
        <v>0</v>
      </c>
      <c r="BD25" s="54">
        <f>H25/(100-BE25)*100</f>
        <v>0</v>
      </c>
      <c r="BE25" s="54">
        <v>0</v>
      </c>
      <c r="BF25" s="54">
        <f>L25</f>
        <v>0</v>
      </c>
      <c r="BH25" s="54">
        <f>G25*AO25</f>
        <v>0</v>
      </c>
      <c r="BI25" s="54">
        <f>G25*AP25</f>
        <v>0</v>
      </c>
      <c r="BJ25" s="54">
        <f>G25*H25</f>
        <v>0</v>
      </c>
      <c r="BK25" s="54"/>
      <c r="BL25" s="54"/>
      <c r="BW25" s="54">
        <v>21</v>
      </c>
      <c r="BX25" s="3" t="s">
        <v>1834</v>
      </c>
    </row>
    <row r="26" spans="1:76" ht="13.5" customHeight="1" x14ac:dyDescent="0.35">
      <c r="A26" s="57"/>
      <c r="C26" s="62" t="s">
        <v>122</v>
      </c>
      <c r="D26" s="214" t="s">
        <v>1835</v>
      </c>
      <c r="E26" s="215"/>
      <c r="F26" s="215"/>
      <c r="G26" s="215"/>
      <c r="H26" s="215"/>
      <c r="I26" s="215"/>
      <c r="J26" s="215"/>
      <c r="K26" s="215"/>
      <c r="L26" s="215"/>
      <c r="M26" s="216"/>
    </row>
    <row r="27" spans="1:76" ht="14.5" x14ac:dyDescent="0.35">
      <c r="A27" s="1" t="s">
        <v>168</v>
      </c>
      <c r="B27" s="2" t="s">
        <v>1809</v>
      </c>
      <c r="C27" s="2" t="s">
        <v>1836</v>
      </c>
      <c r="D27" s="155" t="s">
        <v>1837</v>
      </c>
      <c r="E27" s="153"/>
      <c r="F27" s="2" t="s">
        <v>1814</v>
      </c>
      <c r="G27" s="54">
        <f>'Stavební rozpočet'!G839</f>
        <v>1</v>
      </c>
      <c r="H27" s="94">
        <f>'Stavební rozpočet'!H839</f>
        <v>0</v>
      </c>
      <c r="I27" s="54">
        <f>G27*H27</f>
        <v>0</v>
      </c>
      <c r="J27" s="54">
        <f>'Stavební rozpočet'!J839</f>
        <v>0</v>
      </c>
      <c r="K27" s="54">
        <f>'Stavební rozpočet'!K839</f>
        <v>0</v>
      </c>
      <c r="L27" s="54">
        <f>G27*J27</f>
        <v>0</v>
      </c>
      <c r="M27" s="55" t="s">
        <v>10</v>
      </c>
      <c r="Z27" s="54">
        <f>IF(AQ27="5",BJ27,0)</f>
        <v>0</v>
      </c>
      <c r="AB27" s="54">
        <f>IF(AQ27="1",BH27,0)</f>
        <v>0</v>
      </c>
      <c r="AC27" s="54">
        <f>IF(AQ27="1",BI27,0)</f>
        <v>0</v>
      </c>
      <c r="AD27" s="54">
        <f>IF(AQ27="7",BH27,0)</f>
        <v>0</v>
      </c>
      <c r="AE27" s="54">
        <f>IF(AQ27="7",BI27,0)</f>
        <v>0</v>
      </c>
      <c r="AF27" s="54">
        <f>IF(AQ27="2",BH27,0)</f>
        <v>0</v>
      </c>
      <c r="AG27" s="54">
        <f>IF(AQ27="2",BI27,0)</f>
        <v>0</v>
      </c>
      <c r="AH27" s="54">
        <f>IF(AQ27="0",BJ27,0)</f>
        <v>0</v>
      </c>
      <c r="AI27" s="34" t="s">
        <v>1809</v>
      </c>
      <c r="AJ27" s="54">
        <f>IF(AN27=0,I27,0)</f>
        <v>0</v>
      </c>
      <c r="AK27" s="54">
        <f>IF(AN27=12,I27,0)</f>
        <v>0</v>
      </c>
      <c r="AL27" s="54">
        <f>IF(AN27=21,I27,0)</f>
        <v>0</v>
      </c>
      <c r="AN27" s="54">
        <v>21</v>
      </c>
      <c r="AO27" s="54">
        <f>H27*0</f>
        <v>0</v>
      </c>
      <c r="AP27" s="54">
        <f>H27*(1-0)</f>
        <v>0</v>
      </c>
      <c r="AQ27" s="56" t="s">
        <v>107</v>
      </c>
      <c r="AV27" s="54">
        <f>AW27+AX27</f>
        <v>0</v>
      </c>
      <c r="AW27" s="54">
        <f>G27*AO27</f>
        <v>0</v>
      </c>
      <c r="AX27" s="54">
        <f>G27*AP27</f>
        <v>0</v>
      </c>
      <c r="AY27" s="56" t="s">
        <v>1831</v>
      </c>
      <c r="AZ27" s="56" t="s">
        <v>1816</v>
      </c>
      <c r="BA27" s="34" t="s">
        <v>1817</v>
      </c>
      <c r="BC27" s="54">
        <f>AW27+AX27</f>
        <v>0</v>
      </c>
      <c r="BD27" s="54">
        <f>H27/(100-BE27)*100</f>
        <v>0</v>
      </c>
      <c r="BE27" s="54">
        <v>0</v>
      </c>
      <c r="BF27" s="54">
        <f>L27</f>
        <v>0</v>
      </c>
      <c r="BH27" s="54">
        <f>G27*AO27</f>
        <v>0</v>
      </c>
      <c r="BI27" s="54">
        <f>G27*AP27</f>
        <v>0</v>
      </c>
      <c r="BJ27" s="54">
        <f>G27*H27</f>
        <v>0</v>
      </c>
      <c r="BK27" s="54"/>
      <c r="BL27" s="54"/>
      <c r="BW27" s="54">
        <v>21</v>
      </c>
      <c r="BX27" s="3" t="s">
        <v>1837</v>
      </c>
    </row>
    <row r="28" spans="1:76" ht="13.5" customHeight="1" x14ac:dyDescent="0.35">
      <c r="A28" s="57"/>
      <c r="C28" s="62" t="s">
        <v>122</v>
      </c>
      <c r="D28" s="214" t="s">
        <v>1838</v>
      </c>
      <c r="E28" s="215"/>
      <c r="F28" s="215"/>
      <c r="G28" s="215"/>
      <c r="H28" s="215"/>
      <c r="I28" s="215"/>
      <c r="J28" s="215"/>
      <c r="K28" s="215"/>
      <c r="L28" s="215"/>
      <c r="M28" s="216"/>
    </row>
    <row r="29" spans="1:76" ht="14.5" x14ac:dyDescent="0.35">
      <c r="A29" s="1" t="s">
        <v>181</v>
      </c>
      <c r="B29" s="2" t="s">
        <v>1809</v>
      </c>
      <c r="C29" s="2" t="s">
        <v>1839</v>
      </c>
      <c r="D29" s="155" t="s">
        <v>1840</v>
      </c>
      <c r="E29" s="153"/>
      <c r="F29" s="2" t="s">
        <v>1814</v>
      </c>
      <c r="G29" s="54">
        <f>'Stavební rozpočet'!G840</f>
        <v>1</v>
      </c>
      <c r="H29" s="94">
        <f>'Stavební rozpočet'!H840</f>
        <v>0</v>
      </c>
      <c r="I29" s="54">
        <f>G29*H29</f>
        <v>0</v>
      </c>
      <c r="J29" s="54">
        <f>'Stavební rozpočet'!J840</f>
        <v>0</v>
      </c>
      <c r="K29" s="54">
        <f>'Stavební rozpočet'!K840</f>
        <v>0</v>
      </c>
      <c r="L29" s="54">
        <f>G29*J29</f>
        <v>0</v>
      </c>
      <c r="M29" s="55" t="s">
        <v>10</v>
      </c>
      <c r="Z29" s="54">
        <f>IF(AQ29="5",BJ29,0)</f>
        <v>0</v>
      </c>
      <c r="AB29" s="54">
        <f>IF(AQ29="1",BH29,0)</f>
        <v>0</v>
      </c>
      <c r="AC29" s="54">
        <f>IF(AQ29="1",BI29,0)</f>
        <v>0</v>
      </c>
      <c r="AD29" s="54">
        <f>IF(AQ29="7",BH29,0)</f>
        <v>0</v>
      </c>
      <c r="AE29" s="54">
        <f>IF(AQ29="7",BI29,0)</f>
        <v>0</v>
      </c>
      <c r="AF29" s="54">
        <f>IF(AQ29="2",BH29,0)</f>
        <v>0</v>
      </c>
      <c r="AG29" s="54">
        <f>IF(AQ29="2",BI29,0)</f>
        <v>0</v>
      </c>
      <c r="AH29" s="54">
        <f>IF(AQ29="0",BJ29,0)</f>
        <v>0</v>
      </c>
      <c r="AI29" s="34" t="s">
        <v>1809</v>
      </c>
      <c r="AJ29" s="54">
        <f>IF(AN29=0,I29,0)</f>
        <v>0</v>
      </c>
      <c r="AK29" s="54">
        <f>IF(AN29=12,I29,0)</f>
        <v>0</v>
      </c>
      <c r="AL29" s="54">
        <f>IF(AN29=21,I29,0)</f>
        <v>0</v>
      </c>
      <c r="AN29" s="54">
        <v>21</v>
      </c>
      <c r="AO29" s="54">
        <f>H29*0</f>
        <v>0</v>
      </c>
      <c r="AP29" s="54">
        <f>H29*(1-0)</f>
        <v>0</v>
      </c>
      <c r="AQ29" s="56" t="s">
        <v>107</v>
      </c>
      <c r="AV29" s="54">
        <f>AW29+AX29</f>
        <v>0</v>
      </c>
      <c r="AW29" s="54">
        <f>G29*AO29</f>
        <v>0</v>
      </c>
      <c r="AX29" s="54">
        <f>G29*AP29</f>
        <v>0</v>
      </c>
      <c r="AY29" s="56" t="s">
        <v>1831</v>
      </c>
      <c r="AZ29" s="56" t="s">
        <v>1816</v>
      </c>
      <c r="BA29" s="34" t="s">
        <v>1817</v>
      </c>
      <c r="BC29" s="54">
        <f>AW29+AX29</f>
        <v>0</v>
      </c>
      <c r="BD29" s="54">
        <f>H29/(100-BE29)*100</f>
        <v>0</v>
      </c>
      <c r="BE29" s="54">
        <v>0</v>
      </c>
      <c r="BF29" s="54">
        <f>L29</f>
        <v>0</v>
      </c>
      <c r="BH29" s="54">
        <f>G29*AO29</f>
        <v>0</v>
      </c>
      <c r="BI29" s="54">
        <f>G29*AP29</f>
        <v>0</v>
      </c>
      <c r="BJ29" s="54">
        <f>G29*H29</f>
        <v>0</v>
      </c>
      <c r="BK29" s="54"/>
      <c r="BL29" s="54"/>
      <c r="BW29" s="54">
        <v>21</v>
      </c>
      <c r="BX29" s="3" t="s">
        <v>1840</v>
      </c>
    </row>
    <row r="30" spans="1:76" ht="27" customHeight="1" x14ac:dyDescent="0.35">
      <c r="A30" s="57"/>
      <c r="C30" s="62" t="s">
        <v>122</v>
      </c>
      <c r="D30" s="214" t="s">
        <v>1841</v>
      </c>
      <c r="E30" s="215"/>
      <c r="F30" s="215"/>
      <c r="G30" s="215"/>
      <c r="H30" s="215"/>
      <c r="I30" s="215"/>
      <c r="J30" s="215"/>
      <c r="K30" s="215"/>
      <c r="L30" s="215"/>
      <c r="M30" s="216"/>
    </row>
    <row r="31" spans="1:76" ht="14.5" x14ac:dyDescent="0.35">
      <c r="A31" s="1" t="s">
        <v>187</v>
      </c>
      <c r="B31" s="2" t="s">
        <v>1809</v>
      </c>
      <c r="C31" s="2" t="s">
        <v>1842</v>
      </c>
      <c r="D31" s="155" t="s">
        <v>1843</v>
      </c>
      <c r="E31" s="153"/>
      <c r="F31" s="2" t="s">
        <v>1814</v>
      </c>
      <c r="G31" s="54">
        <f>'Stavební rozpočet'!G841</f>
        <v>1</v>
      </c>
      <c r="H31" s="94">
        <f>'Stavební rozpočet'!H841</f>
        <v>0</v>
      </c>
      <c r="I31" s="54">
        <f>G31*H31</f>
        <v>0</v>
      </c>
      <c r="J31" s="54">
        <f>'Stavební rozpočet'!J841</f>
        <v>0</v>
      </c>
      <c r="K31" s="54">
        <f>'Stavební rozpočet'!K841</f>
        <v>0</v>
      </c>
      <c r="L31" s="54">
        <f>G31*J31</f>
        <v>0</v>
      </c>
      <c r="M31" s="55" t="s">
        <v>10</v>
      </c>
      <c r="Z31" s="54">
        <f>IF(AQ31="5",BJ31,0)</f>
        <v>0</v>
      </c>
      <c r="AB31" s="54">
        <f>IF(AQ31="1",BH31,0)</f>
        <v>0</v>
      </c>
      <c r="AC31" s="54">
        <f>IF(AQ31="1",BI31,0)</f>
        <v>0</v>
      </c>
      <c r="AD31" s="54">
        <f>IF(AQ31="7",BH31,0)</f>
        <v>0</v>
      </c>
      <c r="AE31" s="54">
        <f>IF(AQ31="7",BI31,0)</f>
        <v>0</v>
      </c>
      <c r="AF31" s="54">
        <f>IF(AQ31="2",BH31,0)</f>
        <v>0</v>
      </c>
      <c r="AG31" s="54">
        <f>IF(AQ31="2",BI31,0)</f>
        <v>0</v>
      </c>
      <c r="AH31" s="54">
        <f>IF(AQ31="0",BJ31,0)</f>
        <v>0</v>
      </c>
      <c r="AI31" s="34" t="s">
        <v>1809</v>
      </c>
      <c r="AJ31" s="54">
        <f>IF(AN31=0,I31,0)</f>
        <v>0</v>
      </c>
      <c r="AK31" s="54">
        <f>IF(AN31=12,I31,0)</f>
        <v>0</v>
      </c>
      <c r="AL31" s="54">
        <f>IF(AN31=21,I31,0)</f>
        <v>0</v>
      </c>
      <c r="AN31" s="54">
        <v>21</v>
      </c>
      <c r="AO31" s="54">
        <f>H31*0</f>
        <v>0</v>
      </c>
      <c r="AP31" s="54">
        <f>H31*(1-0)</f>
        <v>0</v>
      </c>
      <c r="AQ31" s="56" t="s">
        <v>107</v>
      </c>
      <c r="AV31" s="54">
        <f>AW31+AX31</f>
        <v>0</v>
      </c>
      <c r="AW31" s="54">
        <f>G31*AO31</f>
        <v>0</v>
      </c>
      <c r="AX31" s="54">
        <f>G31*AP31</f>
        <v>0</v>
      </c>
      <c r="AY31" s="56" t="s">
        <v>1831</v>
      </c>
      <c r="AZ31" s="56" t="s">
        <v>1816</v>
      </c>
      <c r="BA31" s="34" t="s">
        <v>1817</v>
      </c>
      <c r="BC31" s="54">
        <f>AW31+AX31</f>
        <v>0</v>
      </c>
      <c r="BD31" s="54">
        <f>H31/(100-BE31)*100</f>
        <v>0</v>
      </c>
      <c r="BE31" s="54">
        <v>0</v>
      </c>
      <c r="BF31" s="54">
        <f>L31</f>
        <v>0</v>
      </c>
      <c r="BH31" s="54">
        <f>G31*AO31</f>
        <v>0</v>
      </c>
      <c r="BI31" s="54">
        <f>G31*AP31</f>
        <v>0</v>
      </c>
      <c r="BJ31" s="54">
        <f>G31*H31</f>
        <v>0</v>
      </c>
      <c r="BK31" s="54"/>
      <c r="BL31" s="54"/>
      <c r="BW31" s="54">
        <v>21</v>
      </c>
      <c r="BX31" s="3" t="s">
        <v>1843</v>
      </c>
    </row>
    <row r="32" spans="1:76" ht="13.5" customHeight="1" x14ac:dyDescent="0.35">
      <c r="A32" s="73"/>
      <c r="B32" s="74"/>
      <c r="C32" s="75" t="s">
        <v>122</v>
      </c>
      <c r="D32" s="222" t="s">
        <v>1844</v>
      </c>
      <c r="E32" s="223"/>
      <c r="F32" s="223"/>
      <c r="G32" s="223"/>
      <c r="H32" s="223"/>
      <c r="I32" s="223"/>
      <c r="J32" s="223"/>
      <c r="K32" s="223"/>
      <c r="L32" s="223"/>
      <c r="M32" s="224"/>
    </row>
    <row r="33" spans="1:13" ht="14.5" x14ac:dyDescent="0.35">
      <c r="I33" s="76">
        <f>I13+I22</f>
        <v>0</v>
      </c>
    </row>
    <row r="34" spans="1:13" ht="14.5" x14ac:dyDescent="0.35">
      <c r="A34" s="77" t="s">
        <v>55</v>
      </c>
    </row>
    <row r="35" spans="1:13" ht="12.75" customHeight="1" x14ac:dyDescent="0.35">
      <c r="A35" s="155" t="s">
        <v>10</v>
      </c>
      <c r="B35" s="153"/>
      <c r="C35" s="153"/>
      <c r="D35" s="153"/>
      <c r="E35" s="153"/>
      <c r="F35" s="153"/>
      <c r="G35" s="153"/>
      <c r="H35" s="153"/>
      <c r="I35" s="153"/>
      <c r="J35" s="153"/>
      <c r="K35" s="153"/>
      <c r="L35" s="153"/>
      <c r="M35" s="153"/>
    </row>
  </sheetData>
  <sheetProtection password="E512" sheet="1" objects="1" scenarios="1"/>
  <mergeCells count="50">
    <mergeCell ref="D30:M30"/>
    <mergeCell ref="D31:E31"/>
    <mergeCell ref="D32:M32"/>
    <mergeCell ref="A35:M35"/>
    <mergeCell ref="D25:E25"/>
    <mergeCell ref="D26:M26"/>
    <mergeCell ref="D27:E27"/>
    <mergeCell ref="D28:M28"/>
    <mergeCell ref="D29:E29"/>
    <mergeCell ref="D20:E20"/>
    <mergeCell ref="D21:M21"/>
    <mergeCell ref="D22:E22"/>
    <mergeCell ref="D23:E23"/>
    <mergeCell ref="D24:M24"/>
    <mergeCell ref="D15:M15"/>
    <mergeCell ref="D16:E16"/>
    <mergeCell ref="D17:M17"/>
    <mergeCell ref="D18:E18"/>
    <mergeCell ref="D19:M19"/>
    <mergeCell ref="D11:E11"/>
    <mergeCell ref="J10:L10"/>
    <mergeCell ref="D12:E12"/>
    <mergeCell ref="D13:E13"/>
    <mergeCell ref="D14:E14"/>
    <mergeCell ref="I2:M3"/>
    <mergeCell ref="I4:M5"/>
    <mergeCell ref="I6:M7"/>
    <mergeCell ref="I8:M9"/>
    <mergeCell ref="D10:E10"/>
    <mergeCell ref="C8:D9"/>
    <mergeCell ref="F2:F3"/>
    <mergeCell ref="F4:F5"/>
    <mergeCell ref="F6:F7"/>
    <mergeCell ref="F8:F9"/>
    <mergeCell ref="A1:M1"/>
    <mergeCell ref="A2:B3"/>
    <mergeCell ref="A4:B5"/>
    <mergeCell ref="A6:B7"/>
    <mergeCell ref="A8:B9"/>
    <mergeCell ref="E2:E3"/>
    <mergeCell ref="E4:E5"/>
    <mergeCell ref="E6:E7"/>
    <mergeCell ref="E8:E9"/>
    <mergeCell ref="G2:H3"/>
    <mergeCell ref="G4:H5"/>
    <mergeCell ref="G6:H7"/>
    <mergeCell ref="G8:H9"/>
    <mergeCell ref="C2:D3"/>
    <mergeCell ref="C4:D5"/>
    <mergeCell ref="C6:D7"/>
  </mergeCells>
  <pageMargins left="0.393999993801117" right="0.393999993801117" top="0.59100002050399802" bottom="0.59100002050399802" header="0" footer="0"/>
  <pageSetup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44"/>
  <sheetViews>
    <sheetView workbookViewId="0">
      <pane ySplit="11" topLeftCell="A12" activePane="bottomLeft" state="frozen"/>
      <selection pane="bottomLeft" activeCell="A844" sqref="A844:M844"/>
    </sheetView>
  </sheetViews>
  <sheetFormatPr defaultColWidth="12.1796875" defaultRowHeight="15" customHeight="1" x14ac:dyDescent="0.35"/>
  <cols>
    <col min="1" max="1" width="3.1796875" customWidth="1"/>
    <col min="2" max="2" width="12.1796875" customWidth="1"/>
    <col min="3" max="3" width="17.81640625" customWidth="1"/>
    <col min="4" max="4" width="42.81640625" customWidth="1"/>
    <col min="5" max="5" width="35.7265625" customWidth="1"/>
    <col min="6" max="6" width="9.81640625" customWidth="1"/>
    <col min="7" max="7" width="12.81640625" customWidth="1"/>
    <col min="8" max="8" width="12" customWidth="1"/>
    <col min="9" max="9" width="15.7265625" customWidth="1"/>
    <col min="10" max="12" width="11.7265625" customWidth="1"/>
    <col min="13" max="13" width="17.81640625" customWidth="1"/>
    <col min="25" max="75" width="12.1796875" hidden="1"/>
    <col min="76" max="76" width="78.54296875" hidden="1" customWidth="1"/>
    <col min="77" max="78" width="12.1796875" hidden="1"/>
  </cols>
  <sheetData>
    <row r="1" spans="1:76" ht="54.75" customHeight="1" x14ac:dyDescent="0.35">
      <c r="A1" s="151" t="s">
        <v>1845</v>
      </c>
      <c r="B1" s="151"/>
      <c r="C1" s="151"/>
      <c r="D1" s="151"/>
      <c r="E1" s="232"/>
      <c r="F1" s="233">
        <f>'Krycí list rozpočtu (D11-D14)'!F22+'Krycí list rozpočtu (D14c)'!F22+'Krycí list rozpočtu (D14d)'!F22+'Krycí list rozpočtu (VORN)'!F22</f>
        <v>0</v>
      </c>
      <c r="G1" s="105"/>
      <c r="H1" s="232"/>
      <c r="I1" s="233">
        <f>'Krycí list rozpočtu (D11-D14)'!I22+'Krycí list rozpočtu (D14c)'!I22+'Krycí list rozpočtu (D14d)'!I22+'Krycí list rozpočtu (VORN)'!I22</f>
        <v>0</v>
      </c>
      <c r="J1" s="105"/>
      <c r="K1" s="151"/>
      <c r="L1" s="151"/>
      <c r="M1" s="151"/>
      <c r="AS1" s="27">
        <f>SUM(AJ1:AJ2)</f>
        <v>0</v>
      </c>
      <c r="AT1" s="27">
        <f>SUM(AK1:AK2)</f>
        <v>0</v>
      </c>
      <c r="AU1" s="27">
        <f>SUM(AL1:AL2)</f>
        <v>0</v>
      </c>
    </row>
    <row r="2" spans="1:76" ht="14.5" x14ac:dyDescent="0.35">
      <c r="A2" s="106" t="s">
        <v>1</v>
      </c>
      <c r="B2" s="107"/>
      <c r="C2" s="110" t="s">
        <v>1846</v>
      </c>
      <c r="D2" s="111"/>
      <c r="E2" s="107" t="s">
        <v>69</v>
      </c>
      <c r="F2" s="231" t="s">
        <v>84</v>
      </c>
      <c r="G2" s="113" t="s">
        <v>2</v>
      </c>
      <c r="H2" s="231"/>
      <c r="I2" s="113" t="s">
        <v>1847</v>
      </c>
      <c r="J2" s="107"/>
      <c r="K2" s="107"/>
      <c r="L2" s="107"/>
      <c r="M2" s="114"/>
    </row>
    <row r="3" spans="1:76" ht="14.5" x14ac:dyDescent="0.35">
      <c r="A3" s="152"/>
      <c r="B3" s="153"/>
      <c r="C3" s="158"/>
      <c r="D3" s="158"/>
      <c r="E3" s="153"/>
      <c r="F3" s="226"/>
      <c r="G3" s="153"/>
      <c r="H3" s="226"/>
      <c r="I3" s="153"/>
      <c r="J3" s="153"/>
      <c r="K3" s="153"/>
      <c r="L3" s="153"/>
      <c r="M3" s="156"/>
    </row>
    <row r="4" spans="1:76" ht="14.5" x14ac:dyDescent="0.35">
      <c r="A4" s="154" t="s">
        <v>5</v>
      </c>
      <c r="B4" s="153"/>
      <c r="C4" s="155" t="s">
        <v>84</v>
      </c>
      <c r="D4" s="153"/>
      <c r="E4" s="153" t="s">
        <v>11</v>
      </c>
      <c r="F4" s="226" t="s">
        <v>1848</v>
      </c>
      <c r="G4" s="155" t="s">
        <v>6</v>
      </c>
      <c r="H4" s="226"/>
      <c r="I4" s="155" t="s">
        <v>1849</v>
      </c>
      <c r="J4" s="153"/>
      <c r="K4" s="153"/>
      <c r="L4" s="153"/>
      <c r="M4" s="156"/>
    </row>
    <row r="5" spans="1:76" ht="14.5" x14ac:dyDescent="0.35">
      <c r="A5" s="152"/>
      <c r="B5" s="153"/>
      <c r="C5" s="153"/>
      <c r="D5" s="153"/>
      <c r="E5" s="153"/>
      <c r="F5" s="226"/>
      <c r="G5" s="153"/>
      <c r="H5" s="226"/>
      <c r="I5" s="153"/>
      <c r="J5" s="153"/>
      <c r="K5" s="153"/>
      <c r="L5" s="153"/>
      <c r="M5" s="156"/>
    </row>
    <row r="6" spans="1:76" ht="14.5" x14ac:dyDescent="0.35">
      <c r="A6" s="154" t="s">
        <v>8</v>
      </c>
      <c r="B6" s="153"/>
      <c r="C6" s="155" t="s">
        <v>1850</v>
      </c>
      <c r="D6" s="153"/>
      <c r="E6" s="153" t="s">
        <v>12</v>
      </c>
      <c r="F6" s="226" t="s">
        <v>84</v>
      </c>
      <c r="G6" s="155" t="s">
        <v>9</v>
      </c>
      <c r="H6" s="226"/>
      <c r="I6" s="226" t="s">
        <v>1851</v>
      </c>
      <c r="J6" s="226"/>
      <c r="K6" s="226"/>
      <c r="L6" s="226"/>
      <c r="M6" s="227"/>
    </row>
    <row r="7" spans="1:76" ht="14.5" x14ac:dyDescent="0.35">
      <c r="A7" s="152"/>
      <c r="B7" s="153"/>
      <c r="C7" s="153"/>
      <c r="D7" s="153"/>
      <c r="E7" s="153"/>
      <c r="F7" s="226"/>
      <c r="G7" s="153"/>
      <c r="H7" s="226"/>
      <c r="I7" s="226"/>
      <c r="J7" s="226"/>
      <c r="K7" s="226"/>
      <c r="L7" s="226"/>
      <c r="M7" s="227"/>
    </row>
    <row r="8" spans="1:76" ht="14.5" x14ac:dyDescent="0.35">
      <c r="A8" s="154" t="s">
        <v>14</v>
      </c>
      <c r="B8" s="153"/>
      <c r="C8" s="155" t="s">
        <v>1852</v>
      </c>
      <c r="D8" s="153"/>
      <c r="E8" s="153" t="s">
        <v>70</v>
      </c>
      <c r="F8" s="226" t="s">
        <v>1848</v>
      </c>
      <c r="G8" s="155" t="s">
        <v>15</v>
      </c>
      <c r="H8" s="226"/>
      <c r="I8" s="228" t="s">
        <v>1849</v>
      </c>
      <c r="J8" s="226"/>
      <c r="K8" s="226"/>
      <c r="L8" s="226"/>
      <c r="M8" s="227"/>
    </row>
    <row r="9" spans="1:76" ht="14.5" x14ac:dyDescent="0.35">
      <c r="A9" s="197"/>
      <c r="B9" s="198"/>
      <c r="C9" s="198"/>
      <c r="D9" s="198"/>
      <c r="E9" s="198"/>
      <c r="F9" s="229"/>
      <c r="G9" s="198"/>
      <c r="H9" s="229"/>
      <c r="I9" s="229"/>
      <c r="J9" s="229"/>
      <c r="K9" s="229"/>
      <c r="L9" s="229"/>
      <c r="M9" s="230"/>
    </row>
    <row r="10" spans="1:76" ht="14.5" x14ac:dyDescent="0.35">
      <c r="A10" s="28" t="s">
        <v>71</v>
      </c>
      <c r="B10" s="29" t="s">
        <v>72</v>
      </c>
      <c r="C10" s="29" t="s">
        <v>73</v>
      </c>
      <c r="D10" s="209" t="s">
        <v>1853</v>
      </c>
      <c r="E10" s="210"/>
      <c r="F10" s="29" t="s">
        <v>75</v>
      </c>
      <c r="G10" s="30" t="s">
        <v>76</v>
      </c>
      <c r="H10" s="80" t="s">
        <v>77</v>
      </c>
      <c r="I10" s="32" t="s">
        <v>78</v>
      </c>
      <c r="J10" s="201" t="s">
        <v>79</v>
      </c>
      <c r="K10" s="202"/>
      <c r="L10" s="203"/>
      <c r="M10" s="33" t="s">
        <v>80</v>
      </c>
      <c r="BK10" s="34" t="s">
        <v>81</v>
      </c>
      <c r="BL10" s="35" t="s">
        <v>82</v>
      </c>
      <c r="BW10" s="35" t="s">
        <v>83</v>
      </c>
    </row>
    <row r="11" spans="1:76" ht="14.5" x14ac:dyDescent="0.35">
      <c r="A11" s="36" t="s">
        <v>84</v>
      </c>
      <c r="B11" s="37" t="s">
        <v>84</v>
      </c>
      <c r="C11" s="37" t="s">
        <v>84</v>
      </c>
      <c r="D11" s="199" t="s">
        <v>85</v>
      </c>
      <c r="E11" s="200"/>
      <c r="F11" s="37" t="s">
        <v>84</v>
      </c>
      <c r="G11" s="37" t="s">
        <v>84</v>
      </c>
      <c r="H11" s="81" t="s">
        <v>86</v>
      </c>
      <c r="I11" s="39" t="s">
        <v>87</v>
      </c>
      <c r="J11" s="40" t="s">
        <v>88</v>
      </c>
      <c r="K11" s="41" t="s">
        <v>89</v>
      </c>
      <c r="L11" s="42" t="s">
        <v>87</v>
      </c>
      <c r="M11" s="43" t="s">
        <v>90</v>
      </c>
      <c r="Z11" s="34" t="s">
        <v>91</v>
      </c>
      <c r="AA11" s="34" t="s">
        <v>92</v>
      </c>
      <c r="AB11" s="34" t="s">
        <v>93</v>
      </c>
      <c r="AC11" s="34" t="s">
        <v>94</v>
      </c>
      <c r="AD11" s="34" t="s">
        <v>95</v>
      </c>
      <c r="AE11" s="34" t="s">
        <v>96</v>
      </c>
      <c r="AF11" s="34" t="s">
        <v>97</v>
      </c>
      <c r="AG11" s="34" t="s">
        <v>98</v>
      </c>
      <c r="AH11" s="34" t="s">
        <v>99</v>
      </c>
      <c r="BH11" s="34" t="s">
        <v>100</v>
      </c>
      <c r="BI11" s="34" t="s">
        <v>101</v>
      </c>
      <c r="BJ11" s="34" t="s">
        <v>102</v>
      </c>
    </row>
    <row r="12" spans="1:76" ht="14.5" x14ac:dyDescent="0.35">
      <c r="A12" s="44" t="s">
        <v>10</v>
      </c>
      <c r="B12" s="45" t="s">
        <v>103</v>
      </c>
      <c r="C12" s="45" t="s">
        <v>10</v>
      </c>
      <c r="D12" s="204" t="s">
        <v>104</v>
      </c>
      <c r="E12" s="205"/>
      <c r="F12" s="46" t="s">
        <v>84</v>
      </c>
      <c r="G12" s="46" t="s">
        <v>84</v>
      </c>
      <c r="H12" s="82" t="s">
        <v>84</v>
      </c>
      <c r="I12" s="47">
        <f>I13+I48+I69+I101+I110+I119+I139+I177+I260+I297+I303+I325+I374+I378+I424+I430+I479+I524+I556+I576+I611+I621+I624+I668+I682+I684+I691</f>
        <v>0</v>
      </c>
      <c r="J12" s="48" t="s">
        <v>10</v>
      </c>
      <c r="K12" s="48" t="s">
        <v>10</v>
      </c>
      <c r="L12" s="47">
        <f>L13+L48+L69+L101+L110+L119+L139+L177+L260+L297+L303+L325+L374+L378+L424+L430+L479+L524+L556+L576+L611+L621+L624+L668+L682+L684+L691</f>
        <v>144.11448484999997</v>
      </c>
      <c r="M12" s="49" t="s">
        <v>10</v>
      </c>
    </row>
    <row r="13" spans="1:76" ht="14.5" x14ac:dyDescent="0.35">
      <c r="A13" s="50" t="s">
        <v>10</v>
      </c>
      <c r="B13" s="51" t="s">
        <v>103</v>
      </c>
      <c r="C13" s="51" t="s">
        <v>105</v>
      </c>
      <c r="D13" s="206" t="s">
        <v>106</v>
      </c>
      <c r="E13" s="207"/>
      <c r="F13" s="52" t="s">
        <v>84</v>
      </c>
      <c r="G13" s="52" t="s">
        <v>84</v>
      </c>
      <c r="H13" s="83" t="s">
        <v>84</v>
      </c>
      <c r="I13" s="27">
        <f>SUM(I14:I46)</f>
        <v>0</v>
      </c>
      <c r="J13" s="34" t="s">
        <v>10</v>
      </c>
      <c r="K13" s="34" t="s">
        <v>10</v>
      </c>
      <c r="L13" s="27">
        <f>SUM(L14:L46)</f>
        <v>35.041085569999993</v>
      </c>
      <c r="M13" s="53" t="s">
        <v>10</v>
      </c>
      <c r="AI13" s="34" t="s">
        <v>103</v>
      </c>
      <c r="AS13" s="27">
        <f>SUM(AJ14:AJ46)</f>
        <v>0</v>
      </c>
      <c r="AT13" s="27">
        <f>SUM(AK14:AK46)</f>
        <v>0</v>
      </c>
      <c r="AU13" s="27">
        <f>SUM(AL14:AL46)</f>
        <v>0</v>
      </c>
    </row>
    <row r="14" spans="1:76" ht="14.5" x14ac:dyDescent="0.35">
      <c r="A14" s="1" t="s">
        <v>107</v>
      </c>
      <c r="B14" s="2" t="s">
        <v>103</v>
      </c>
      <c r="C14" s="2" t="s">
        <v>108</v>
      </c>
      <c r="D14" s="155" t="s">
        <v>109</v>
      </c>
      <c r="E14" s="153"/>
      <c r="F14" s="2" t="s">
        <v>110</v>
      </c>
      <c r="G14" s="54">
        <v>25.696999999999999</v>
      </c>
      <c r="H14" s="84">
        <v>0</v>
      </c>
      <c r="I14" s="54">
        <f>G14*H14</f>
        <v>0</v>
      </c>
      <c r="J14" s="54">
        <v>0.11600000000000001</v>
      </c>
      <c r="K14" s="54">
        <v>0</v>
      </c>
      <c r="L14" s="54">
        <f>G14*J14</f>
        <v>2.9808520000000001</v>
      </c>
      <c r="M14" s="55" t="s">
        <v>111</v>
      </c>
      <c r="Z14" s="54">
        <f>IF(AQ14="5",BJ14,0)</f>
        <v>0</v>
      </c>
      <c r="AB14" s="54">
        <f>IF(AQ14="1",BH14,0)</f>
        <v>0</v>
      </c>
      <c r="AC14" s="54">
        <f>IF(AQ14="1",BI14,0)</f>
        <v>0</v>
      </c>
      <c r="AD14" s="54">
        <f>IF(AQ14="7",BH14,0)</f>
        <v>0</v>
      </c>
      <c r="AE14" s="54">
        <f>IF(AQ14="7",BI14,0)</f>
        <v>0</v>
      </c>
      <c r="AF14" s="54">
        <f>IF(AQ14="2",BH14,0)</f>
        <v>0</v>
      </c>
      <c r="AG14" s="54">
        <f>IF(AQ14="2",BI14,0)</f>
        <v>0</v>
      </c>
      <c r="AH14" s="54">
        <f>IF(AQ14="0",BJ14,0)</f>
        <v>0</v>
      </c>
      <c r="AI14" s="34" t="s">
        <v>103</v>
      </c>
      <c r="AJ14" s="54">
        <f>IF(AN14=0,I14,0)</f>
        <v>0</v>
      </c>
      <c r="AK14" s="54">
        <f>IF(AN14=12,I14,0)</f>
        <v>0</v>
      </c>
      <c r="AL14" s="54">
        <f>IF(AN14=21,I14,0)</f>
        <v>0</v>
      </c>
      <c r="AN14" s="54">
        <v>21</v>
      </c>
      <c r="AO14" s="54">
        <f>H14*0.631233396</f>
        <v>0</v>
      </c>
      <c r="AP14" s="54">
        <f>H14*(1-0.631233396)</f>
        <v>0</v>
      </c>
      <c r="AQ14" s="56" t="s">
        <v>107</v>
      </c>
      <c r="AV14" s="54">
        <f>AW14+AX14</f>
        <v>0</v>
      </c>
      <c r="AW14" s="54">
        <f>G14*AO14</f>
        <v>0</v>
      </c>
      <c r="AX14" s="54">
        <f>G14*AP14</f>
        <v>0</v>
      </c>
      <c r="AY14" s="56" t="s">
        <v>112</v>
      </c>
      <c r="AZ14" s="56" t="s">
        <v>113</v>
      </c>
      <c r="BA14" s="34" t="s">
        <v>114</v>
      </c>
      <c r="BC14" s="54">
        <f>AW14+AX14</f>
        <v>0</v>
      </c>
      <c r="BD14" s="54">
        <f>H14/(100-BE14)*100</f>
        <v>0</v>
      </c>
      <c r="BE14" s="54">
        <v>0</v>
      </c>
      <c r="BF14" s="54">
        <f>L14</f>
        <v>2.9808520000000001</v>
      </c>
      <c r="BH14" s="54">
        <f>G14*AO14</f>
        <v>0</v>
      </c>
      <c r="BI14" s="54">
        <f>G14*AP14</f>
        <v>0</v>
      </c>
      <c r="BJ14" s="54">
        <f>G14*H14</f>
        <v>0</v>
      </c>
      <c r="BK14" s="54"/>
      <c r="BL14" s="54">
        <v>34</v>
      </c>
      <c r="BW14" s="54">
        <v>21</v>
      </c>
      <c r="BX14" s="3" t="s">
        <v>109</v>
      </c>
    </row>
    <row r="15" spans="1:76" ht="14.5" x14ac:dyDescent="0.35">
      <c r="A15" s="57"/>
      <c r="D15" s="58" t="s">
        <v>115</v>
      </c>
      <c r="E15" s="59" t="s">
        <v>116</v>
      </c>
      <c r="G15" s="60">
        <v>33.357999999999997</v>
      </c>
      <c r="M15" s="61"/>
    </row>
    <row r="16" spans="1:76" ht="14.5" x14ac:dyDescent="0.35">
      <c r="A16" s="57"/>
      <c r="D16" s="58" t="s">
        <v>117</v>
      </c>
      <c r="E16" s="59" t="s">
        <v>118</v>
      </c>
      <c r="G16" s="60">
        <v>-7.6609999999999996</v>
      </c>
      <c r="M16" s="61"/>
    </row>
    <row r="17" spans="1:76" ht="14.5" x14ac:dyDescent="0.35">
      <c r="A17" s="1" t="s">
        <v>119</v>
      </c>
      <c r="B17" s="2" t="s">
        <v>103</v>
      </c>
      <c r="C17" s="2" t="s">
        <v>120</v>
      </c>
      <c r="D17" s="155" t="s">
        <v>121</v>
      </c>
      <c r="E17" s="153"/>
      <c r="F17" s="2" t="s">
        <v>110</v>
      </c>
      <c r="G17" s="54">
        <v>52.39</v>
      </c>
      <c r="H17" s="84">
        <v>0</v>
      </c>
      <c r="I17" s="54">
        <f>G17*H17</f>
        <v>0</v>
      </c>
      <c r="J17" s="54">
        <v>4.6460000000000001E-2</v>
      </c>
      <c r="K17" s="54">
        <v>0</v>
      </c>
      <c r="L17" s="54">
        <f>G17*J17</f>
        <v>2.4340394000000001</v>
      </c>
      <c r="M17" s="55" t="s">
        <v>111</v>
      </c>
      <c r="Z17" s="54">
        <f>IF(AQ17="5",BJ17,0)</f>
        <v>0</v>
      </c>
      <c r="AB17" s="54">
        <f>IF(AQ17="1",BH17,0)</f>
        <v>0</v>
      </c>
      <c r="AC17" s="54">
        <f>IF(AQ17="1",BI17,0)</f>
        <v>0</v>
      </c>
      <c r="AD17" s="54">
        <f>IF(AQ17="7",BH17,0)</f>
        <v>0</v>
      </c>
      <c r="AE17" s="54">
        <f>IF(AQ17="7",BI17,0)</f>
        <v>0</v>
      </c>
      <c r="AF17" s="54">
        <f>IF(AQ17="2",BH17,0)</f>
        <v>0</v>
      </c>
      <c r="AG17" s="54">
        <f>IF(AQ17="2",BI17,0)</f>
        <v>0</v>
      </c>
      <c r="AH17" s="54">
        <f>IF(AQ17="0",BJ17,0)</f>
        <v>0</v>
      </c>
      <c r="AI17" s="34" t="s">
        <v>103</v>
      </c>
      <c r="AJ17" s="54">
        <f>IF(AN17=0,I17,0)</f>
        <v>0</v>
      </c>
      <c r="AK17" s="54">
        <f>IF(AN17=12,I17,0)</f>
        <v>0</v>
      </c>
      <c r="AL17" s="54">
        <f>IF(AN17=21,I17,0)</f>
        <v>0</v>
      </c>
      <c r="AN17" s="54">
        <v>21</v>
      </c>
      <c r="AO17" s="54">
        <f>H17*0.528742095</f>
        <v>0</v>
      </c>
      <c r="AP17" s="54">
        <f>H17*(1-0.528742095)</f>
        <v>0</v>
      </c>
      <c r="AQ17" s="56" t="s">
        <v>107</v>
      </c>
      <c r="AV17" s="54">
        <f>AW17+AX17</f>
        <v>0</v>
      </c>
      <c r="AW17" s="54">
        <f>G17*AO17</f>
        <v>0</v>
      </c>
      <c r="AX17" s="54">
        <f>G17*AP17</f>
        <v>0</v>
      </c>
      <c r="AY17" s="56" t="s">
        <v>112</v>
      </c>
      <c r="AZ17" s="56" t="s">
        <v>113</v>
      </c>
      <c r="BA17" s="34" t="s">
        <v>114</v>
      </c>
      <c r="BC17" s="54">
        <f>AW17+AX17</f>
        <v>0</v>
      </c>
      <c r="BD17" s="54">
        <f>H17/(100-BE17)*100</f>
        <v>0</v>
      </c>
      <c r="BE17" s="54">
        <v>0</v>
      </c>
      <c r="BF17" s="54">
        <f>L17</f>
        <v>2.4340394000000001</v>
      </c>
      <c r="BH17" s="54">
        <f>G17*AO17</f>
        <v>0</v>
      </c>
      <c r="BI17" s="54">
        <f>G17*AP17</f>
        <v>0</v>
      </c>
      <c r="BJ17" s="54">
        <f>G17*H17</f>
        <v>0</v>
      </c>
      <c r="BK17" s="54"/>
      <c r="BL17" s="54">
        <v>34</v>
      </c>
      <c r="BW17" s="54">
        <v>21</v>
      </c>
      <c r="BX17" s="3" t="s">
        <v>121</v>
      </c>
    </row>
    <row r="18" spans="1:76" ht="14.5" x14ac:dyDescent="0.35">
      <c r="A18" s="57"/>
      <c r="D18" s="58" t="s">
        <v>124</v>
      </c>
      <c r="E18" s="59" t="s">
        <v>125</v>
      </c>
      <c r="G18" s="60">
        <v>52.39</v>
      </c>
      <c r="M18" s="61"/>
    </row>
    <row r="19" spans="1:76" ht="14.5" x14ac:dyDescent="0.35">
      <c r="A19" s="1" t="s">
        <v>126</v>
      </c>
      <c r="B19" s="2" t="s">
        <v>103</v>
      </c>
      <c r="C19" s="2" t="s">
        <v>127</v>
      </c>
      <c r="D19" s="155" t="s">
        <v>128</v>
      </c>
      <c r="E19" s="153"/>
      <c r="F19" s="2" t="s">
        <v>110</v>
      </c>
      <c r="G19" s="54">
        <v>436.55500000000001</v>
      </c>
      <c r="H19" s="84">
        <v>0</v>
      </c>
      <c r="I19" s="54">
        <f>G19*H19</f>
        <v>0</v>
      </c>
      <c r="J19" s="54">
        <v>5.7099999999999998E-2</v>
      </c>
      <c r="K19" s="54">
        <v>0</v>
      </c>
      <c r="L19" s="54">
        <f>G19*J19</f>
        <v>24.927290499999998</v>
      </c>
      <c r="M19" s="55" t="s">
        <v>111</v>
      </c>
      <c r="Z19" s="54">
        <f>IF(AQ19="5",BJ19,0)</f>
        <v>0</v>
      </c>
      <c r="AB19" s="54">
        <f>IF(AQ19="1",BH19,0)</f>
        <v>0</v>
      </c>
      <c r="AC19" s="54">
        <f>IF(AQ19="1",BI19,0)</f>
        <v>0</v>
      </c>
      <c r="AD19" s="54">
        <f>IF(AQ19="7",BH19,0)</f>
        <v>0</v>
      </c>
      <c r="AE19" s="54">
        <f>IF(AQ19="7",BI19,0)</f>
        <v>0</v>
      </c>
      <c r="AF19" s="54">
        <f>IF(AQ19="2",BH19,0)</f>
        <v>0</v>
      </c>
      <c r="AG19" s="54">
        <f>IF(AQ19="2",BI19,0)</f>
        <v>0</v>
      </c>
      <c r="AH19" s="54">
        <f>IF(AQ19="0",BJ19,0)</f>
        <v>0</v>
      </c>
      <c r="AI19" s="34" t="s">
        <v>103</v>
      </c>
      <c r="AJ19" s="54">
        <f>IF(AN19=0,I19,0)</f>
        <v>0</v>
      </c>
      <c r="AK19" s="54">
        <f>IF(AN19=12,I19,0)</f>
        <v>0</v>
      </c>
      <c r="AL19" s="54">
        <f>IF(AN19=21,I19,0)</f>
        <v>0</v>
      </c>
      <c r="AN19" s="54">
        <v>21</v>
      </c>
      <c r="AO19" s="54">
        <f>H19*0.597767962</f>
        <v>0</v>
      </c>
      <c r="AP19" s="54">
        <f>H19*(1-0.597767962)</f>
        <v>0</v>
      </c>
      <c r="AQ19" s="56" t="s">
        <v>107</v>
      </c>
      <c r="AV19" s="54">
        <f>AW19+AX19</f>
        <v>0</v>
      </c>
      <c r="AW19" s="54">
        <f>G19*AO19</f>
        <v>0</v>
      </c>
      <c r="AX19" s="54">
        <f>G19*AP19</f>
        <v>0</v>
      </c>
      <c r="AY19" s="56" t="s">
        <v>112</v>
      </c>
      <c r="AZ19" s="56" t="s">
        <v>113</v>
      </c>
      <c r="BA19" s="34" t="s">
        <v>114</v>
      </c>
      <c r="BC19" s="54">
        <f>AW19+AX19</f>
        <v>0</v>
      </c>
      <c r="BD19" s="54">
        <f>H19/(100-BE19)*100</f>
        <v>0</v>
      </c>
      <c r="BE19" s="54">
        <v>0</v>
      </c>
      <c r="BF19" s="54">
        <f>L19</f>
        <v>24.927290499999998</v>
      </c>
      <c r="BH19" s="54">
        <f>G19*AO19</f>
        <v>0</v>
      </c>
      <c r="BI19" s="54">
        <f>G19*AP19</f>
        <v>0</v>
      </c>
      <c r="BJ19" s="54">
        <f>G19*H19</f>
        <v>0</v>
      </c>
      <c r="BK19" s="54"/>
      <c r="BL19" s="54">
        <v>34</v>
      </c>
      <c r="BW19" s="54">
        <v>21</v>
      </c>
      <c r="BX19" s="3" t="s">
        <v>128</v>
      </c>
    </row>
    <row r="20" spans="1:76" ht="14.5" x14ac:dyDescent="0.35">
      <c r="A20" s="57"/>
      <c r="D20" s="58" t="s">
        <v>130</v>
      </c>
      <c r="E20" s="59" t="s">
        <v>131</v>
      </c>
      <c r="G20" s="60">
        <v>174.76300000000001</v>
      </c>
      <c r="M20" s="61"/>
    </row>
    <row r="21" spans="1:76" ht="14.5" x14ac:dyDescent="0.35">
      <c r="A21" s="57"/>
      <c r="D21" s="58" t="s">
        <v>132</v>
      </c>
      <c r="E21" s="59" t="s">
        <v>133</v>
      </c>
      <c r="G21" s="60">
        <v>65.995000000000005</v>
      </c>
      <c r="M21" s="61"/>
    </row>
    <row r="22" spans="1:76" ht="14.5" x14ac:dyDescent="0.35">
      <c r="A22" s="57"/>
      <c r="D22" s="58" t="s">
        <v>134</v>
      </c>
      <c r="E22" s="59" t="s">
        <v>135</v>
      </c>
      <c r="G22" s="60">
        <v>28.404</v>
      </c>
      <c r="M22" s="61"/>
    </row>
    <row r="23" spans="1:76" ht="14.5" x14ac:dyDescent="0.35">
      <c r="A23" s="57"/>
      <c r="D23" s="58" t="s">
        <v>136</v>
      </c>
      <c r="E23" s="59" t="s">
        <v>137</v>
      </c>
      <c r="G23" s="60">
        <v>27.934000000000001</v>
      </c>
      <c r="M23" s="61"/>
    </row>
    <row r="24" spans="1:76" ht="14.5" x14ac:dyDescent="0.35">
      <c r="A24" s="57"/>
      <c r="D24" s="58" t="s">
        <v>138</v>
      </c>
      <c r="E24" s="59" t="s">
        <v>139</v>
      </c>
      <c r="G24" s="60">
        <v>56.808</v>
      </c>
      <c r="M24" s="61"/>
    </row>
    <row r="25" spans="1:76" ht="14.5" x14ac:dyDescent="0.35">
      <c r="A25" s="57"/>
      <c r="D25" s="58" t="s">
        <v>140</v>
      </c>
      <c r="E25" s="59" t="s">
        <v>141</v>
      </c>
      <c r="G25" s="60">
        <v>79.531000000000006</v>
      </c>
      <c r="M25" s="61"/>
    </row>
    <row r="26" spans="1:76" ht="14.5" x14ac:dyDescent="0.35">
      <c r="A26" s="57"/>
      <c r="D26" s="58" t="s">
        <v>142</v>
      </c>
      <c r="E26" s="59" t="s">
        <v>143</v>
      </c>
      <c r="G26" s="60">
        <v>3.12</v>
      </c>
      <c r="M26" s="61"/>
    </row>
    <row r="27" spans="1:76" ht="14.5" x14ac:dyDescent="0.35">
      <c r="A27" s="1" t="s">
        <v>144</v>
      </c>
      <c r="B27" s="2" t="s">
        <v>103</v>
      </c>
      <c r="C27" s="2" t="s">
        <v>145</v>
      </c>
      <c r="D27" s="155" t="s">
        <v>146</v>
      </c>
      <c r="E27" s="153"/>
      <c r="F27" s="2" t="s">
        <v>110</v>
      </c>
      <c r="G27" s="54">
        <v>51.048000000000002</v>
      </c>
      <c r="H27" s="84">
        <v>0</v>
      </c>
      <c r="I27" s="54">
        <f>G27*H27</f>
        <v>0</v>
      </c>
      <c r="J27" s="54">
        <v>7.5340000000000004E-2</v>
      </c>
      <c r="K27" s="54">
        <v>0</v>
      </c>
      <c r="L27" s="54">
        <f>G27*J27</f>
        <v>3.8459563200000004</v>
      </c>
      <c r="M27" s="55" t="s">
        <v>111</v>
      </c>
      <c r="Z27" s="54">
        <f>IF(AQ27="5",BJ27,0)</f>
        <v>0</v>
      </c>
      <c r="AB27" s="54">
        <f>IF(AQ27="1",BH27,0)</f>
        <v>0</v>
      </c>
      <c r="AC27" s="54">
        <f>IF(AQ27="1",BI27,0)</f>
        <v>0</v>
      </c>
      <c r="AD27" s="54">
        <f>IF(AQ27="7",BH27,0)</f>
        <v>0</v>
      </c>
      <c r="AE27" s="54">
        <f>IF(AQ27="7",BI27,0)</f>
        <v>0</v>
      </c>
      <c r="AF27" s="54">
        <f>IF(AQ27="2",BH27,0)</f>
        <v>0</v>
      </c>
      <c r="AG27" s="54">
        <f>IF(AQ27="2",BI27,0)</f>
        <v>0</v>
      </c>
      <c r="AH27" s="54">
        <f>IF(AQ27="0",BJ27,0)</f>
        <v>0</v>
      </c>
      <c r="AI27" s="34" t="s">
        <v>103</v>
      </c>
      <c r="AJ27" s="54">
        <f>IF(AN27=0,I27,0)</f>
        <v>0</v>
      </c>
      <c r="AK27" s="54">
        <f>IF(AN27=12,I27,0)</f>
        <v>0</v>
      </c>
      <c r="AL27" s="54">
        <f>IF(AN27=21,I27,0)</f>
        <v>0</v>
      </c>
      <c r="AN27" s="54">
        <v>21</v>
      </c>
      <c r="AO27" s="54">
        <f>H27*0.631105713</f>
        <v>0</v>
      </c>
      <c r="AP27" s="54">
        <f>H27*(1-0.631105713)</f>
        <v>0</v>
      </c>
      <c r="AQ27" s="56" t="s">
        <v>107</v>
      </c>
      <c r="AV27" s="54">
        <f>AW27+AX27</f>
        <v>0</v>
      </c>
      <c r="AW27" s="54">
        <f>G27*AO27</f>
        <v>0</v>
      </c>
      <c r="AX27" s="54">
        <f>G27*AP27</f>
        <v>0</v>
      </c>
      <c r="AY27" s="56" t="s">
        <v>112</v>
      </c>
      <c r="AZ27" s="56" t="s">
        <v>113</v>
      </c>
      <c r="BA27" s="34" t="s">
        <v>114</v>
      </c>
      <c r="BC27" s="54">
        <f>AW27+AX27</f>
        <v>0</v>
      </c>
      <c r="BD27" s="54">
        <f>H27/(100-BE27)*100</f>
        <v>0</v>
      </c>
      <c r="BE27" s="54">
        <v>0</v>
      </c>
      <c r="BF27" s="54">
        <f>L27</f>
        <v>3.8459563200000004</v>
      </c>
      <c r="BH27" s="54">
        <f>G27*AO27</f>
        <v>0</v>
      </c>
      <c r="BI27" s="54">
        <f>G27*AP27</f>
        <v>0</v>
      </c>
      <c r="BJ27" s="54">
        <f>G27*H27</f>
        <v>0</v>
      </c>
      <c r="BK27" s="54"/>
      <c r="BL27" s="54">
        <v>34</v>
      </c>
      <c r="BW27" s="54">
        <v>21</v>
      </c>
      <c r="BX27" s="3" t="s">
        <v>146</v>
      </c>
    </row>
    <row r="28" spans="1:76" ht="14.5" x14ac:dyDescent="0.35">
      <c r="A28" s="57"/>
      <c r="D28" s="58" t="s">
        <v>138</v>
      </c>
      <c r="E28" s="59" t="s">
        <v>147</v>
      </c>
      <c r="G28" s="60">
        <v>56.808</v>
      </c>
      <c r="M28" s="61"/>
    </row>
    <row r="29" spans="1:76" ht="14.5" x14ac:dyDescent="0.35">
      <c r="A29" s="57"/>
      <c r="D29" s="58" t="s">
        <v>148</v>
      </c>
      <c r="E29" s="59" t="s">
        <v>149</v>
      </c>
      <c r="G29" s="60">
        <v>-5.76</v>
      </c>
      <c r="M29" s="61"/>
    </row>
    <row r="30" spans="1:76" ht="14.5" x14ac:dyDescent="0.35">
      <c r="A30" s="1" t="s">
        <v>150</v>
      </c>
      <c r="B30" s="2" t="s">
        <v>103</v>
      </c>
      <c r="C30" s="2" t="s">
        <v>151</v>
      </c>
      <c r="D30" s="155" t="s">
        <v>152</v>
      </c>
      <c r="E30" s="153"/>
      <c r="F30" s="2" t="s">
        <v>153</v>
      </c>
      <c r="G30" s="54">
        <v>187.92</v>
      </c>
      <c r="H30" s="84">
        <v>0</v>
      </c>
      <c r="I30" s="54">
        <f>G30*H30</f>
        <v>0</v>
      </c>
      <c r="J30" s="54">
        <v>1.0499999999999999E-3</v>
      </c>
      <c r="K30" s="54">
        <v>0</v>
      </c>
      <c r="L30" s="54">
        <f>G30*J30</f>
        <v>0.19731599999999996</v>
      </c>
      <c r="M30" s="55" t="s">
        <v>111</v>
      </c>
      <c r="Z30" s="54">
        <f>IF(AQ30="5",BJ30,0)</f>
        <v>0</v>
      </c>
      <c r="AB30" s="54">
        <f>IF(AQ30="1",BH30,0)</f>
        <v>0</v>
      </c>
      <c r="AC30" s="54">
        <f>IF(AQ30="1",BI30,0)</f>
        <v>0</v>
      </c>
      <c r="AD30" s="54">
        <f>IF(AQ30="7",BH30,0)</f>
        <v>0</v>
      </c>
      <c r="AE30" s="54">
        <f>IF(AQ30="7",BI30,0)</f>
        <v>0</v>
      </c>
      <c r="AF30" s="54">
        <f>IF(AQ30="2",BH30,0)</f>
        <v>0</v>
      </c>
      <c r="AG30" s="54">
        <f>IF(AQ30="2",BI30,0)</f>
        <v>0</v>
      </c>
      <c r="AH30" s="54">
        <f>IF(AQ30="0",BJ30,0)</f>
        <v>0</v>
      </c>
      <c r="AI30" s="34" t="s">
        <v>103</v>
      </c>
      <c r="AJ30" s="54">
        <f>IF(AN30=0,I30,0)</f>
        <v>0</v>
      </c>
      <c r="AK30" s="54">
        <f>IF(AN30=12,I30,0)</f>
        <v>0</v>
      </c>
      <c r="AL30" s="54">
        <f>IF(AN30=21,I30,0)</f>
        <v>0</v>
      </c>
      <c r="AN30" s="54">
        <v>21</v>
      </c>
      <c r="AO30" s="54">
        <f>H30*0.346839827</f>
        <v>0</v>
      </c>
      <c r="AP30" s="54">
        <f>H30*(1-0.346839827)</f>
        <v>0</v>
      </c>
      <c r="AQ30" s="56" t="s">
        <v>107</v>
      </c>
      <c r="AV30" s="54">
        <f>AW30+AX30</f>
        <v>0</v>
      </c>
      <c r="AW30" s="54">
        <f>G30*AO30</f>
        <v>0</v>
      </c>
      <c r="AX30" s="54">
        <f>G30*AP30</f>
        <v>0</v>
      </c>
      <c r="AY30" s="56" t="s">
        <v>112</v>
      </c>
      <c r="AZ30" s="56" t="s">
        <v>113</v>
      </c>
      <c r="BA30" s="34" t="s">
        <v>114</v>
      </c>
      <c r="BC30" s="54">
        <f>AW30+AX30</f>
        <v>0</v>
      </c>
      <c r="BD30" s="54">
        <f>H30/(100-BE30)*100</f>
        <v>0</v>
      </c>
      <c r="BE30" s="54">
        <v>0</v>
      </c>
      <c r="BF30" s="54">
        <f>L30</f>
        <v>0.19731599999999996</v>
      </c>
      <c r="BH30" s="54">
        <f>G30*AO30</f>
        <v>0</v>
      </c>
      <c r="BI30" s="54">
        <f>G30*AP30</f>
        <v>0</v>
      </c>
      <c r="BJ30" s="54">
        <f>G30*H30</f>
        <v>0</v>
      </c>
      <c r="BK30" s="54"/>
      <c r="BL30" s="54">
        <v>34</v>
      </c>
      <c r="BW30" s="54">
        <v>21</v>
      </c>
      <c r="BX30" s="3" t="s">
        <v>152</v>
      </c>
    </row>
    <row r="31" spans="1:76" ht="14.5" x14ac:dyDescent="0.35">
      <c r="A31" s="57"/>
      <c r="D31" s="58" t="s">
        <v>154</v>
      </c>
      <c r="E31" s="59" t="s">
        <v>155</v>
      </c>
      <c r="G31" s="60">
        <v>125.28</v>
      </c>
      <c r="M31" s="61"/>
    </row>
    <row r="32" spans="1:76" ht="14.5" x14ac:dyDescent="0.35">
      <c r="A32" s="57"/>
      <c r="D32" s="58" t="s">
        <v>158</v>
      </c>
      <c r="E32" s="59" t="s">
        <v>159</v>
      </c>
      <c r="G32" s="60">
        <v>62.64</v>
      </c>
      <c r="M32" s="61"/>
    </row>
    <row r="33" spans="1:76" ht="14.5" x14ac:dyDescent="0.35">
      <c r="A33" s="1" t="s">
        <v>160</v>
      </c>
      <c r="B33" s="2" t="s">
        <v>103</v>
      </c>
      <c r="C33" s="2" t="s">
        <v>161</v>
      </c>
      <c r="D33" s="155" t="s">
        <v>162</v>
      </c>
      <c r="E33" s="153"/>
      <c r="F33" s="2" t="s">
        <v>153</v>
      </c>
      <c r="G33" s="54">
        <v>122.88</v>
      </c>
      <c r="H33" s="84">
        <v>0</v>
      </c>
      <c r="I33" s="54">
        <f>G33*H33</f>
        <v>0</v>
      </c>
      <c r="J33" s="54">
        <v>5.1999999999999995E-4</v>
      </c>
      <c r="K33" s="54">
        <v>0</v>
      </c>
      <c r="L33" s="54">
        <f>G33*J33</f>
        <v>6.3897599999999999E-2</v>
      </c>
      <c r="M33" s="55" t="s">
        <v>111</v>
      </c>
      <c r="Z33" s="54">
        <f>IF(AQ33="5",BJ33,0)</f>
        <v>0</v>
      </c>
      <c r="AB33" s="54">
        <f>IF(AQ33="1",BH33,0)</f>
        <v>0</v>
      </c>
      <c r="AC33" s="54">
        <f>IF(AQ33="1",BI33,0)</f>
        <v>0</v>
      </c>
      <c r="AD33" s="54">
        <f>IF(AQ33="7",BH33,0)</f>
        <v>0</v>
      </c>
      <c r="AE33" s="54">
        <f>IF(AQ33="7",BI33,0)</f>
        <v>0</v>
      </c>
      <c r="AF33" s="54">
        <f>IF(AQ33="2",BH33,0)</f>
        <v>0</v>
      </c>
      <c r="AG33" s="54">
        <f>IF(AQ33="2",BI33,0)</f>
        <v>0</v>
      </c>
      <c r="AH33" s="54">
        <f>IF(AQ33="0",BJ33,0)</f>
        <v>0</v>
      </c>
      <c r="AI33" s="34" t="s">
        <v>103</v>
      </c>
      <c r="AJ33" s="54">
        <f>IF(AN33=0,I33,0)</f>
        <v>0</v>
      </c>
      <c r="AK33" s="54">
        <f>IF(AN33=12,I33,0)</f>
        <v>0</v>
      </c>
      <c r="AL33" s="54">
        <f>IF(AN33=21,I33,0)</f>
        <v>0</v>
      </c>
      <c r="AN33" s="54">
        <v>21</v>
      </c>
      <c r="AO33" s="54">
        <f>H33*0.317379683</f>
        <v>0</v>
      </c>
      <c r="AP33" s="54">
        <f>H33*(1-0.317379683)</f>
        <v>0</v>
      </c>
      <c r="AQ33" s="56" t="s">
        <v>107</v>
      </c>
      <c r="AV33" s="54">
        <f>AW33+AX33</f>
        <v>0</v>
      </c>
      <c r="AW33" s="54">
        <f>G33*AO33</f>
        <v>0</v>
      </c>
      <c r="AX33" s="54">
        <f>G33*AP33</f>
        <v>0</v>
      </c>
      <c r="AY33" s="56" t="s">
        <v>112</v>
      </c>
      <c r="AZ33" s="56" t="s">
        <v>113</v>
      </c>
      <c r="BA33" s="34" t="s">
        <v>114</v>
      </c>
      <c r="BC33" s="54">
        <f>AW33+AX33</f>
        <v>0</v>
      </c>
      <c r="BD33" s="54">
        <f>H33/(100-BE33)*100</f>
        <v>0</v>
      </c>
      <c r="BE33" s="54">
        <v>0</v>
      </c>
      <c r="BF33" s="54">
        <f>L33</f>
        <v>6.3897599999999999E-2</v>
      </c>
      <c r="BH33" s="54">
        <f>G33*AO33</f>
        <v>0</v>
      </c>
      <c r="BI33" s="54">
        <f>G33*AP33</f>
        <v>0</v>
      </c>
      <c r="BJ33" s="54">
        <f>G33*H33</f>
        <v>0</v>
      </c>
      <c r="BK33" s="54"/>
      <c r="BL33" s="54">
        <v>34</v>
      </c>
      <c r="BW33" s="54">
        <v>21</v>
      </c>
      <c r="BX33" s="3" t="s">
        <v>162</v>
      </c>
    </row>
    <row r="34" spans="1:76" ht="14.5" x14ac:dyDescent="0.35">
      <c r="A34" s="57"/>
      <c r="D34" s="58" t="s">
        <v>163</v>
      </c>
      <c r="E34" s="59" t="s">
        <v>164</v>
      </c>
      <c r="G34" s="60">
        <v>83.04</v>
      </c>
      <c r="M34" s="61"/>
    </row>
    <row r="35" spans="1:76" ht="14.5" x14ac:dyDescent="0.35">
      <c r="A35" s="57"/>
      <c r="D35" s="58" t="s">
        <v>166</v>
      </c>
      <c r="E35" s="59" t="s">
        <v>167</v>
      </c>
      <c r="G35" s="60">
        <v>39.840000000000003</v>
      </c>
      <c r="M35" s="61"/>
    </row>
    <row r="36" spans="1:76" ht="14.5" x14ac:dyDescent="0.35">
      <c r="A36" s="1" t="s">
        <v>168</v>
      </c>
      <c r="B36" s="2" t="s">
        <v>103</v>
      </c>
      <c r="C36" s="2" t="s">
        <v>169</v>
      </c>
      <c r="D36" s="155" t="s">
        <v>170</v>
      </c>
      <c r="E36" s="153"/>
      <c r="F36" s="2" t="s">
        <v>110</v>
      </c>
      <c r="G36" s="54">
        <v>15.5</v>
      </c>
      <c r="H36" s="84">
        <v>0</v>
      </c>
      <c r="I36" s="54">
        <f>G36*H36</f>
        <v>0</v>
      </c>
      <c r="J36" s="54">
        <v>1.188E-2</v>
      </c>
      <c r="K36" s="54">
        <v>0</v>
      </c>
      <c r="L36" s="54">
        <f>G36*J36</f>
        <v>0.18414</v>
      </c>
      <c r="M36" s="55" t="s">
        <v>111</v>
      </c>
      <c r="Z36" s="54">
        <f>IF(AQ36="5",BJ36,0)</f>
        <v>0</v>
      </c>
      <c r="AB36" s="54">
        <f>IF(AQ36="1",BH36,0)</f>
        <v>0</v>
      </c>
      <c r="AC36" s="54">
        <f>IF(AQ36="1",BI36,0)</f>
        <v>0</v>
      </c>
      <c r="AD36" s="54">
        <f>IF(AQ36="7",BH36,0)</f>
        <v>0</v>
      </c>
      <c r="AE36" s="54">
        <f>IF(AQ36="7",BI36,0)</f>
        <v>0</v>
      </c>
      <c r="AF36" s="54">
        <f>IF(AQ36="2",BH36,0)</f>
        <v>0</v>
      </c>
      <c r="AG36" s="54">
        <f>IF(AQ36="2",BI36,0)</f>
        <v>0</v>
      </c>
      <c r="AH36" s="54">
        <f>IF(AQ36="0",BJ36,0)</f>
        <v>0</v>
      </c>
      <c r="AI36" s="34" t="s">
        <v>103</v>
      </c>
      <c r="AJ36" s="54">
        <f>IF(AN36=0,I36,0)</f>
        <v>0</v>
      </c>
      <c r="AK36" s="54">
        <f>IF(AN36=12,I36,0)</f>
        <v>0</v>
      </c>
      <c r="AL36" s="54">
        <f>IF(AN36=21,I36,0)</f>
        <v>0</v>
      </c>
      <c r="AN36" s="54">
        <v>21</v>
      </c>
      <c r="AO36" s="54">
        <f>H36*0.466477273</f>
        <v>0</v>
      </c>
      <c r="AP36" s="54">
        <f>H36*(1-0.466477273)</f>
        <v>0</v>
      </c>
      <c r="AQ36" s="56" t="s">
        <v>107</v>
      </c>
      <c r="AV36" s="54">
        <f>AW36+AX36</f>
        <v>0</v>
      </c>
      <c r="AW36" s="54">
        <f>G36*AO36</f>
        <v>0</v>
      </c>
      <c r="AX36" s="54">
        <f>G36*AP36</f>
        <v>0</v>
      </c>
      <c r="AY36" s="56" t="s">
        <v>112</v>
      </c>
      <c r="AZ36" s="56" t="s">
        <v>113</v>
      </c>
      <c r="BA36" s="34" t="s">
        <v>114</v>
      </c>
      <c r="BC36" s="54">
        <f>AW36+AX36</f>
        <v>0</v>
      </c>
      <c r="BD36" s="54">
        <f>H36/(100-BE36)*100</f>
        <v>0</v>
      </c>
      <c r="BE36" s="54">
        <v>0</v>
      </c>
      <c r="BF36" s="54">
        <f>L36</f>
        <v>0.18414</v>
      </c>
      <c r="BH36" s="54">
        <f>G36*AO36</f>
        <v>0</v>
      </c>
      <c r="BI36" s="54">
        <f>G36*AP36</f>
        <v>0</v>
      </c>
      <c r="BJ36" s="54">
        <f>G36*H36</f>
        <v>0</v>
      </c>
      <c r="BK36" s="54"/>
      <c r="BL36" s="54">
        <v>34</v>
      </c>
      <c r="BW36" s="54">
        <v>21</v>
      </c>
      <c r="BX36" s="3" t="s">
        <v>170</v>
      </c>
    </row>
    <row r="37" spans="1:76" ht="14.5" x14ac:dyDescent="0.35">
      <c r="A37" s="57"/>
      <c r="D37" s="58" t="s">
        <v>172</v>
      </c>
      <c r="E37" s="59" t="s">
        <v>173</v>
      </c>
      <c r="G37" s="60">
        <v>2.6</v>
      </c>
      <c r="M37" s="61"/>
    </row>
    <row r="38" spans="1:76" ht="14.5" x14ac:dyDescent="0.35">
      <c r="A38" s="57"/>
      <c r="D38" s="58" t="s">
        <v>172</v>
      </c>
      <c r="E38" s="59" t="s">
        <v>174</v>
      </c>
      <c r="G38" s="60">
        <v>2.6</v>
      </c>
      <c r="M38" s="61"/>
    </row>
    <row r="39" spans="1:76" ht="14.5" x14ac:dyDescent="0.35">
      <c r="A39" s="57"/>
      <c r="D39" s="58" t="s">
        <v>172</v>
      </c>
      <c r="E39" s="59" t="s">
        <v>175</v>
      </c>
      <c r="G39" s="60">
        <v>2.6</v>
      </c>
      <c r="M39" s="61"/>
    </row>
    <row r="40" spans="1:76" ht="14.5" x14ac:dyDescent="0.35">
      <c r="A40" s="57"/>
      <c r="D40" s="58" t="s">
        <v>176</v>
      </c>
      <c r="E40" s="59" t="s">
        <v>177</v>
      </c>
      <c r="G40" s="60">
        <v>2.5</v>
      </c>
      <c r="M40" s="61"/>
    </row>
    <row r="41" spans="1:76" ht="14.5" x14ac:dyDescent="0.35">
      <c r="A41" s="57"/>
      <c r="D41" s="58" t="s">
        <v>179</v>
      </c>
      <c r="E41" s="59" t="s">
        <v>180</v>
      </c>
      <c r="G41" s="60">
        <v>5.2</v>
      </c>
      <c r="M41" s="61"/>
    </row>
    <row r="42" spans="1:76" ht="14.5" x14ac:dyDescent="0.35">
      <c r="A42" s="1" t="s">
        <v>181</v>
      </c>
      <c r="B42" s="2" t="s">
        <v>103</v>
      </c>
      <c r="C42" s="2" t="s">
        <v>182</v>
      </c>
      <c r="D42" s="155" t="s">
        <v>183</v>
      </c>
      <c r="E42" s="153"/>
      <c r="F42" s="2" t="s">
        <v>110</v>
      </c>
      <c r="G42" s="54">
        <v>4.335</v>
      </c>
      <c r="H42" s="84">
        <v>0</v>
      </c>
      <c r="I42" s="54">
        <f>G42*H42</f>
        <v>0</v>
      </c>
      <c r="J42" s="54">
        <v>1.627E-2</v>
      </c>
      <c r="K42" s="54">
        <v>0</v>
      </c>
      <c r="L42" s="54">
        <f>G42*J42</f>
        <v>7.0530449999999995E-2</v>
      </c>
      <c r="M42" s="55" t="s">
        <v>111</v>
      </c>
      <c r="Z42" s="54">
        <f>IF(AQ42="5",BJ42,0)</f>
        <v>0</v>
      </c>
      <c r="AB42" s="54">
        <f>IF(AQ42="1",BH42,0)</f>
        <v>0</v>
      </c>
      <c r="AC42" s="54">
        <f>IF(AQ42="1",BI42,0)</f>
        <v>0</v>
      </c>
      <c r="AD42" s="54">
        <f>IF(AQ42="7",BH42,0)</f>
        <v>0</v>
      </c>
      <c r="AE42" s="54">
        <f>IF(AQ42="7",BI42,0)</f>
        <v>0</v>
      </c>
      <c r="AF42" s="54">
        <f>IF(AQ42="2",BH42,0)</f>
        <v>0</v>
      </c>
      <c r="AG42" s="54">
        <f>IF(AQ42="2",BI42,0)</f>
        <v>0</v>
      </c>
      <c r="AH42" s="54">
        <f>IF(AQ42="0",BJ42,0)</f>
        <v>0</v>
      </c>
      <c r="AI42" s="34" t="s">
        <v>103</v>
      </c>
      <c r="AJ42" s="54">
        <f>IF(AN42=0,I42,0)</f>
        <v>0</v>
      </c>
      <c r="AK42" s="54">
        <f>IF(AN42=12,I42,0)</f>
        <v>0</v>
      </c>
      <c r="AL42" s="54">
        <f>IF(AN42=21,I42,0)</f>
        <v>0</v>
      </c>
      <c r="AN42" s="54">
        <v>21</v>
      </c>
      <c r="AO42" s="54">
        <f>H42*0.552643908</f>
        <v>0</v>
      </c>
      <c r="AP42" s="54">
        <f>H42*(1-0.552643908)</f>
        <v>0</v>
      </c>
      <c r="AQ42" s="56" t="s">
        <v>107</v>
      </c>
      <c r="AV42" s="54">
        <f>AW42+AX42</f>
        <v>0</v>
      </c>
      <c r="AW42" s="54">
        <f>G42*AO42</f>
        <v>0</v>
      </c>
      <c r="AX42" s="54">
        <f>G42*AP42</f>
        <v>0</v>
      </c>
      <c r="AY42" s="56" t="s">
        <v>112</v>
      </c>
      <c r="AZ42" s="56" t="s">
        <v>113</v>
      </c>
      <c r="BA42" s="34" t="s">
        <v>114</v>
      </c>
      <c r="BC42" s="54">
        <f>AW42+AX42</f>
        <v>0</v>
      </c>
      <c r="BD42" s="54">
        <f>H42/(100-BE42)*100</f>
        <v>0</v>
      </c>
      <c r="BE42" s="54">
        <v>0</v>
      </c>
      <c r="BF42" s="54">
        <f>L42</f>
        <v>7.0530449999999995E-2</v>
      </c>
      <c r="BH42" s="54">
        <f>G42*AO42</f>
        <v>0</v>
      </c>
      <c r="BI42" s="54">
        <f>G42*AP42</f>
        <v>0</v>
      </c>
      <c r="BJ42" s="54">
        <f>G42*H42</f>
        <v>0</v>
      </c>
      <c r="BK42" s="54"/>
      <c r="BL42" s="54">
        <v>34</v>
      </c>
      <c r="BW42" s="54">
        <v>21</v>
      </c>
      <c r="BX42" s="3" t="s">
        <v>183</v>
      </c>
    </row>
    <row r="43" spans="1:76" ht="14.5" x14ac:dyDescent="0.35">
      <c r="A43" s="57"/>
      <c r="D43" s="58" t="s">
        <v>184</v>
      </c>
      <c r="E43" s="59" t="s">
        <v>185</v>
      </c>
      <c r="G43" s="60">
        <v>4.335</v>
      </c>
      <c r="M43" s="61"/>
    </row>
    <row r="44" spans="1:76" ht="14.5" x14ac:dyDescent="0.35">
      <c r="A44" s="1" t="s">
        <v>187</v>
      </c>
      <c r="B44" s="2" t="s">
        <v>103</v>
      </c>
      <c r="C44" s="2" t="s">
        <v>188</v>
      </c>
      <c r="D44" s="155" t="s">
        <v>189</v>
      </c>
      <c r="E44" s="153"/>
      <c r="F44" s="2" t="s">
        <v>110</v>
      </c>
      <c r="G44" s="54">
        <v>5.59</v>
      </c>
      <c r="H44" s="84">
        <v>0</v>
      </c>
      <c r="I44" s="54">
        <f>G44*H44</f>
        <v>0</v>
      </c>
      <c r="J44" s="54">
        <v>2.887E-2</v>
      </c>
      <c r="K44" s="54">
        <v>0</v>
      </c>
      <c r="L44" s="54">
        <f>G44*J44</f>
        <v>0.16138330000000001</v>
      </c>
      <c r="M44" s="55" t="s">
        <v>111</v>
      </c>
      <c r="Z44" s="54">
        <f>IF(AQ44="5",BJ44,0)</f>
        <v>0</v>
      </c>
      <c r="AB44" s="54">
        <f>IF(AQ44="1",BH44,0)</f>
        <v>0</v>
      </c>
      <c r="AC44" s="54">
        <f>IF(AQ44="1",BI44,0)</f>
        <v>0</v>
      </c>
      <c r="AD44" s="54">
        <f>IF(AQ44="7",BH44,0)</f>
        <v>0</v>
      </c>
      <c r="AE44" s="54">
        <f>IF(AQ44="7",BI44,0)</f>
        <v>0</v>
      </c>
      <c r="AF44" s="54">
        <f>IF(AQ44="2",BH44,0)</f>
        <v>0</v>
      </c>
      <c r="AG44" s="54">
        <f>IF(AQ44="2",BI44,0)</f>
        <v>0</v>
      </c>
      <c r="AH44" s="54">
        <f>IF(AQ44="0",BJ44,0)</f>
        <v>0</v>
      </c>
      <c r="AI44" s="34" t="s">
        <v>103</v>
      </c>
      <c r="AJ44" s="54">
        <f>IF(AN44=0,I44,0)</f>
        <v>0</v>
      </c>
      <c r="AK44" s="54">
        <f>IF(AN44=12,I44,0)</f>
        <v>0</v>
      </c>
      <c r="AL44" s="54">
        <f>IF(AN44=21,I44,0)</f>
        <v>0</v>
      </c>
      <c r="AN44" s="54">
        <v>21</v>
      </c>
      <c r="AO44" s="54">
        <f>H44*0.499573297</f>
        <v>0</v>
      </c>
      <c r="AP44" s="54">
        <f>H44*(1-0.499573297)</f>
        <v>0</v>
      </c>
      <c r="AQ44" s="56" t="s">
        <v>107</v>
      </c>
      <c r="AV44" s="54">
        <f>AW44+AX44</f>
        <v>0</v>
      </c>
      <c r="AW44" s="54">
        <f>G44*AO44</f>
        <v>0</v>
      </c>
      <c r="AX44" s="54">
        <f>G44*AP44</f>
        <v>0</v>
      </c>
      <c r="AY44" s="56" t="s">
        <v>112</v>
      </c>
      <c r="AZ44" s="56" t="s">
        <v>113</v>
      </c>
      <c r="BA44" s="34" t="s">
        <v>114</v>
      </c>
      <c r="BC44" s="54">
        <f>AW44+AX44</f>
        <v>0</v>
      </c>
      <c r="BD44" s="54">
        <f>H44/(100-BE44)*100</f>
        <v>0</v>
      </c>
      <c r="BE44" s="54">
        <v>0</v>
      </c>
      <c r="BF44" s="54">
        <f>L44</f>
        <v>0.16138330000000001</v>
      </c>
      <c r="BH44" s="54">
        <f>G44*AO44</f>
        <v>0</v>
      </c>
      <c r="BI44" s="54">
        <f>G44*AP44</f>
        <v>0</v>
      </c>
      <c r="BJ44" s="54">
        <f>G44*H44</f>
        <v>0</v>
      </c>
      <c r="BK44" s="54"/>
      <c r="BL44" s="54">
        <v>34</v>
      </c>
      <c r="BW44" s="54">
        <v>21</v>
      </c>
      <c r="BX44" s="3" t="s">
        <v>189</v>
      </c>
    </row>
    <row r="45" spans="1:76" ht="14.5" x14ac:dyDescent="0.35">
      <c r="A45" s="57"/>
      <c r="D45" s="58" t="s">
        <v>190</v>
      </c>
      <c r="E45" s="59" t="s">
        <v>191</v>
      </c>
      <c r="G45" s="60">
        <v>5.59</v>
      </c>
      <c r="M45" s="61"/>
    </row>
    <row r="46" spans="1:76" ht="14.5" x14ac:dyDescent="0.35">
      <c r="A46" s="1" t="s">
        <v>193</v>
      </c>
      <c r="B46" s="2" t="s">
        <v>103</v>
      </c>
      <c r="C46" s="2" t="s">
        <v>194</v>
      </c>
      <c r="D46" s="155" t="s">
        <v>195</v>
      </c>
      <c r="E46" s="153"/>
      <c r="F46" s="2" t="s">
        <v>196</v>
      </c>
      <c r="G46" s="54">
        <v>24</v>
      </c>
      <c r="H46" s="84">
        <v>0</v>
      </c>
      <c r="I46" s="54">
        <f>G46*H46</f>
        <v>0</v>
      </c>
      <c r="J46" s="54">
        <v>7.3200000000000001E-3</v>
      </c>
      <c r="K46" s="54">
        <v>0</v>
      </c>
      <c r="L46" s="54">
        <f>G46*J46</f>
        <v>0.17568</v>
      </c>
      <c r="M46" s="55" t="s">
        <v>111</v>
      </c>
      <c r="Z46" s="54">
        <f>IF(AQ46="5",BJ46,0)</f>
        <v>0</v>
      </c>
      <c r="AB46" s="54">
        <f>IF(AQ46="1",BH46,0)</f>
        <v>0</v>
      </c>
      <c r="AC46" s="54">
        <f>IF(AQ46="1",BI46,0)</f>
        <v>0</v>
      </c>
      <c r="AD46" s="54">
        <f>IF(AQ46="7",BH46,0)</f>
        <v>0</v>
      </c>
      <c r="AE46" s="54">
        <f>IF(AQ46="7",BI46,0)</f>
        <v>0</v>
      </c>
      <c r="AF46" s="54">
        <f>IF(AQ46="2",BH46,0)</f>
        <v>0</v>
      </c>
      <c r="AG46" s="54">
        <f>IF(AQ46="2",BI46,0)</f>
        <v>0</v>
      </c>
      <c r="AH46" s="54">
        <f>IF(AQ46="0",BJ46,0)</f>
        <v>0</v>
      </c>
      <c r="AI46" s="34" t="s">
        <v>103</v>
      </c>
      <c r="AJ46" s="54">
        <f>IF(AN46=0,I46,0)</f>
        <v>0</v>
      </c>
      <c r="AK46" s="54">
        <f>IF(AN46=12,I46,0)</f>
        <v>0</v>
      </c>
      <c r="AL46" s="54">
        <f>IF(AN46=21,I46,0)</f>
        <v>0</v>
      </c>
      <c r="AN46" s="54">
        <v>21</v>
      </c>
      <c r="AO46" s="54">
        <f>H46*0.904</f>
        <v>0</v>
      </c>
      <c r="AP46" s="54">
        <f>H46*(1-0.904)</f>
        <v>0</v>
      </c>
      <c r="AQ46" s="56" t="s">
        <v>107</v>
      </c>
      <c r="AV46" s="54">
        <f>AW46+AX46</f>
        <v>0</v>
      </c>
      <c r="AW46" s="54">
        <f>G46*AO46</f>
        <v>0</v>
      </c>
      <c r="AX46" s="54">
        <f>G46*AP46</f>
        <v>0</v>
      </c>
      <c r="AY46" s="56" t="s">
        <v>112</v>
      </c>
      <c r="AZ46" s="56" t="s">
        <v>113</v>
      </c>
      <c r="BA46" s="34" t="s">
        <v>114</v>
      </c>
      <c r="BC46" s="54">
        <f>AW46+AX46</f>
        <v>0</v>
      </c>
      <c r="BD46" s="54">
        <f>H46/(100-BE46)*100</f>
        <v>0</v>
      </c>
      <c r="BE46" s="54">
        <v>0</v>
      </c>
      <c r="BF46" s="54">
        <f>L46</f>
        <v>0.17568</v>
      </c>
      <c r="BH46" s="54">
        <f>G46*AO46</f>
        <v>0</v>
      </c>
      <c r="BI46" s="54">
        <f>G46*AP46</f>
        <v>0</v>
      </c>
      <c r="BJ46" s="54">
        <f>G46*H46</f>
        <v>0</v>
      </c>
      <c r="BK46" s="54"/>
      <c r="BL46" s="54">
        <v>34</v>
      </c>
      <c r="BW46" s="54">
        <v>21</v>
      </c>
      <c r="BX46" s="3" t="s">
        <v>195</v>
      </c>
    </row>
    <row r="47" spans="1:76" ht="14.5" x14ac:dyDescent="0.35">
      <c r="A47" s="57"/>
      <c r="D47" s="58" t="s">
        <v>198</v>
      </c>
      <c r="E47" s="59" t="s">
        <v>199</v>
      </c>
      <c r="G47" s="60">
        <v>24</v>
      </c>
      <c r="M47" s="61"/>
    </row>
    <row r="48" spans="1:76" ht="14.5" x14ac:dyDescent="0.35">
      <c r="A48" s="50" t="s">
        <v>10</v>
      </c>
      <c r="B48" s="51" t="s">
        <v>103</v>
      </c>
      <c r="C48" s="51" t="s">
        <v>201</v>
      </c>
      <c r="D48" s="206" t="s">
        <v>202</v>
      </c>
      <c r="E48" s="207"/>
      <c r="F48" s="52" t="s">
        <v>84</v>
      </c>
      <c r="G48" s="52" t="s">
        <v>84</v>
      </c>
      <c r="H48" s="83" t="s">
        <v>84</v>
      </c>
      <c r="I48" s="27">
        <f>SUM(I49:I67)</f>
        <v>0</v>
      </c>
      <c r="J48" s="34" t="s">
        <v>10</v>
      </c>
      <c r="K48" s="34" t="s">
        <v>10</v>
      </c>
      <c r="L48" s="27">
        <f>SUM(L49:L67)</f>
        <v>2.2973348000000002</v>
      </c>
      <c r="M48" s="53" t="s">
        <v>10</v>
      </c>
      <c r="AI48" s="34" t="s">
        <v>103</v>
      </c>
      <c r="AS48" s="27">
        <f>SUM(AJ49:AJ67)</f>
        <v>0</v>
      </c>
      <c r="AT48" s="27">
        <f>SUM(AK49:AK67)</f>
        <v>0</v>
      </c>
      <c r="AU48" s="27">
        <f>SUM(AL49:AL67)</f>
        <v>0</v>
      </c>
    </row>
    <row r="49" spans="1:76" ht="14.5" x14ac:dyDescent="0.35">
      <c r="A49" s="1" t="s">
        <v>203</v>
      </c>
      <c r="B49" s="2" t="s">
        <v>103</v>
      </c>
      <c r="C49" s="2" t="s">
        <v>204</v>
      </c>
      <c r="D49" s="155" t="s">
        <v>205</v>
      </c>
      <c r="E49" s="153"/>
      <c r="F49" s="2" t="s">
        <v>110</v>
      </c>
      <c r="G49" s="54">
        <v>51.12</v>
      </c>
      <c r="H49" s="84">
        <v>0</v>
      </c>
      <c r="I49" s="54">
        <f>G49*H49</f>
        <v>0</v>
      </c>
      <c r="J49" s="54">
        <v>1.1690000000000001E-2</v>
      </c>
      <c r="K49" s="54">
        <v>0</v>
      </c>
      <c r="L49" s="54">
        <f>G49*J49</f>
        <v>0.59759280000000004</v>
      </c>
      <c r="M49" s="55" t="s">
        <v>111</v>
      </c>
      <c r="Z49" s="54">
        <f>IF(AQ49="5",BJ49,0)</f>
        <v>0</v>
      </c>
      <c r="AB49" s="54">
        <f>IF(AQ49="1",BH49,0)</f>
        <v>0</v>
      </c>
      <c r="AC49" s="54">
        <f>IF(AQ49="1",BI49,0)</f>
        <v>0</v>
      </c>
      <c r="AD49" s="54">
        <f>IF(AQ49="7",BH49,0)</f>
        <v>0</v>
      </c>
      <c r="AE49" s="54">
        <f>IF(AQ49="7",BI49,0)</f>
        <v>0</v>
      </c>
      <c r="AF49" s="54">
        <f>IF(AQ49="2",BH49,0)</f>
        <v>0</v>
      </c>
      <c r="AG49" s="54">
        <f>IF(AQ49="2",BI49,0)</f>
        <v>0</v>
      </c>
      <c r="AH49" s="54">
        <f>IF(AQ49="0",BJ49,0)</f>
        <v>0</v>
      </c>
      <c r="AI49" s="34" t="s">
        <v>103</v>
      </c>
      <c r="AJ49" s="54">
        <f>IF(AN49=0,I49,0)</f>
        <v>0</v>
      </c>
      <c r="AK49" s="54">
        <f>IF(AN49=12,I49,0)</f>
        <v>0</v>
      </c>
      <c r="AL49" s="54">
        <f>IF(AN49=21,I49,0)</f>
        <v>0</v>
      </c>
      <c r="AN49" s="54">
        <v>21</v>
      </c>
      <c r="AO49" s="54">
        <f>H49*0.317060669</f>
        <v>0</v>
      </c>
      <c r="AP49" s="54">
        <f>H49*(1-0.317060669)</f>
        <v>0</v>
      </c>
      <c r="AQ49" s="56" t="s">
        <v>107</v>
      </c>
      <c r="AV49" s="54">
        <f>AW49+AX49</f>
        <v>0</v>
      </c>
      <c r="AW49" s="54">
        <f>G49*AO49</f>
        <v>0</v>
      </c>
      <c r="AX49" s="54">
        <f>G49*AP49</f>
        <v>0</v>
      </c>
      <c r="AY49" s="56" t="s">
        <v>206</v>
      </c>
      <c r="AZ49" s="56" t="s">
        <v>207</v>
      </c>
      <c r="BA49" s="34" t="s">
        <v>114</v>
      </c>
      <c r="BC49" s="54">
        <f>AW49+AX49</f>
        <v>0</v>
      </c>
      <c r="BD49" s="54">
        <f>H49/(100-BE49)*100</f>
        <v>0</v>
      </c>
      <c r="BE49" s="54">
        <v>0</v>
      </c>
      <c r="BF49" s="54">
        <f>L49</f>
        <v>0.59759280000000004</v>
      </c>
      <c r="BH49" s="54">
        <f>G49*AO49</f>
        <v>0</v>
      </c>
      <c r="BI49" s="54">
        <f>G49*AP49</f>
        <v>0</v>
      </c>
      <c r="BJ49" s="54">
        <f>G49*H49</f>
        <v>0</v>
      </c>
      <c r="BK49" s="54"/>
      <c r="BL49" s="54">
        <v>41</v>
      </c>
      <c r="BW49" s="54">
        <v>21</v>
      </c>
      <c r="BX49" s="3" t="s">
        <v>205</v>
      </c>
    </row>
    <row r="50" spans="1:76" ht="14.5" x14ac:dyDescent="0.35">
      <c r="A50" s="57"/>
      <c r="D50" s="58" t="s">
        <v>208</v>
      </c>
      <c r="E50" s="59" t="s">
        <v>209</v>
      </c>
      <c r="G50" s="60">
        <v>0</v>
      </c>
      <c r="M50" s="61"/>
    </row>
    <row r="51" spans="1:76" ht="14.5" x14ac:dyDescent="0.35">
      <c r="A51" s="57"/>
      <c r="D51" s="58" t="s">
        <v>211</v>
      </c>
      <c r="E51" s="59" t="s">
        <v>212</v>
      </c>
      <c r="G51" s="60">
        <v>51.12</v>
      </c>
      <c r="M51" s="61"/>
    </row>
    <row r="52" spans="1:76" ht="14.5" x14ac:dyDescent="0.35">
      <c r="A52" s="1" t="s">
        <v>213</v>
      </c>
      <c r="B52" s="2" t="s">
        <v>103</v>
      </c>
      <c r="C52" s="2" t="s">
        <v>214</v>
      </c>
      <c r="D52" s="155" t="s">
        <v>215</v>
      </c>
      <c r="E52" s="153"/>
      <c r="F52" s="2" t="s">
        <v>110</v>
      </c>
      <c r="G52" s="54">
        <v>61.68</v>
      </c>
      <c r="H52" s="84">
        <v>0</v>
      </c>
      <c r="I52" s="54">
        <f>G52*H52</f>
        <v>0</v>
      </c>
      <c r="J52" s="54">
        <v>1.201E-2</v>
      </c>
      <c r="K52" s="54">
        <v>0</v>
      </c>
      <c r="L52" s="54">
        <f>G52*J52</f>
        <v>0.74077680000000001</v>
      </c>
      <c r="M52" s="55" t="s">
        <v>111</v>
      </c>
      <c r="Z52" s="54">
        <f>IF(AQ52="5",BJ52,0)</f>
        <v>0</v>
      </c>
      <c r="AB52" s="54">
        <f>IF(AQ52="1",BH52,0)</f>
        <v>0</v>
      </c>
      <c r="AC52" s="54">
        <f>IF(AQ52="1",BI52,0)</f>
        <v>0</v>
      </c>
      <c r="AD52" s="54">
        <f>IF(AQ52="7",BH52,0)</f>
        <v>0</v>
      </c>
      <c r="AE52" s="54">
        <f>IF(AQ52="7",BI52,0)</f>
        <v>0</v>
      </c>
      <c r="AF52" s="54">
        <f>IF(AQ52="2",BH52,0)</f>
        <v>0</v>
      </c>
      <c r="AG52" s="54">
        <f>IF(AQ52="2",BI52,0)</f>
        <v>0</v>
      </c>
      <c r="AH52" s="54">
        <f>IF(AQ52="0",BJ52,0)</f>
        <v>0</v>
      </c>
      <c r="AI52" s="34" t="s">
        <v>103</v>
      </c>
      <c r="AJ52" s="54">
        <f>IF(AN52=0,I52,0)</f>
        <v>0</v>
      </c>
      <c r="AK52" s="54">
        <f>IF(AN52=12,I52,0)</f>
        <v>0</v>
      </c>
      <c r="AL52" s="54">
        <f>IF(AN52=21,I52,0)</f>
        <v>0</v>
      </c>
      <c r="AN52" s="54">
        <v>21</v>
      </c>
      <c r="AO52" s="54">
        <f>H52*0.364274586</f>
        <v>0</v>
      </c>
      <c r="AP52" s="54">
        <f>H52*(1-0.364274586)</f>
        <v>0</v>
      </c>
      <c r="AQ52" s="56" t="s">
        <v>107</v>
      </c>
      <c r="AV52" s="54">
        <f>AW52+AX52</f>
        <v>0</v>
      </c>
      <c r="AW52" s="54">
        <f>G52*AO52</f>
        <v>0</v>
      </c>
      <c r="AX52" s="54">
        <f>G52*AP52</f>
        <v>0</v>
      </c>
      <c r="AY52" s="56" t="s">
        <v>206</v>
      </c>
      <c r="AZ52" s="56" t="s">
        <v>207</v>
      </c>
      <c r="BA52" s="34" t="s">
        <v>114</v>
      </c>
      <c r="BC52" s="54">
        <f>AW52+AX52</f>
        <v>0</v>
      </c>
      <c r="BD52" s="54">
        <f>H52/(100-BE52)*100</f>
        <v>0</v>
      </c>
      <c r="BE52" s="54">
        <v>0</v>
      </c>
      <c r="BF52" s="54">
        <f>L52</f>
        <v>0.74077680000000001</v>
      </c>
      <c r="BH52" s="54">
        <f>G52*AO52</f>
        <v>0</v>
      </c>
      <c r="BI52" s="54">
        <f>G52*AP52</f>
        <v>0</v>
      </c>
      <c r="BJ52" s="54">
        <f>G52*H52</f>
        <v>0</v>
      </c>
      <c r="BK52" s="54"/>
      <c r="BL52" s="54">
        <v>41</v>
      </c>
      <c r="BW52" s="54">
        <v>21</v>
      </c>
      <c r="BX52" s="3" t="s">
        <v>215</v>
      </c>
    </row>
    <row r="53" spans="1:76" ht="14.5" x14ac:dyDescent="0.35">
      <c r="A53" s="57"/>
      <c r="D53" s="58" t="s">
        <v>208</v>
      </c>
      <c r="E53" s="59" t="s">
        <v>216</v>
      </c>
      <c r="G53" s="60">
        <v>0</v>
      </c>
      <c r="M53" s="61"/>
    </row>
    <row r="54" spans="1:76" ht="14.5" x14ac:dyDescent="0.35">
      <c r="A54" s="57"/>
      <c r="D54" s="58" t="s">
        <v>218</v>
      </c>
      <c r="E54" s="59" t="s">
        <v>219</v>
      </c>
      <c r="G54" s="60">
        <v>61.68</v>
      </c>
      <c r="M54" s="61"/>
    </row>
    <row r="55" spans="1:76" ht="14.5" x14ac:dyDescent="0.35">
      <c r="A55" s="1" t="s">
        <v>220</v>
      </c>
      <c r="B55" s="2" t="s">
        <v>103</v>
      </c>
      <c r="C55" s="2" t="s">
        <v>221</v>
      </c>
      <c r="D55" s="155" t="s">
        <v>222</v>
      </c>
      <c r="E55" s="153"/>
      <c r="F55" s="2" t="s">
        <v>110</v>
      </c>
      <c r="G55" s="54">
        <v>112.8</v>
      </c>
      <c r="H55" s="84">
        <v>0</v>
      </c>
      <c r="I55" s="54">
        <f>G55*H55</f>
        <v>0</v>
      </c>
      <c r="J55" s="54">
        <v>0</v>
      </c>
      <c r="K55" s="54">
        <v>0</v>
      </c>
      <c r="L55" s="54">
        <f>G55*J55</f>
        <v>0</v>
      </c>
      <c r="M55" s="55" t="s">
        <v>111</v>
      </c>
      <c r="Z55" s="54">
        <f>IF(AQ55="5",BJ55,0)</f>
        <v>0</v>
      </c>
      <c r="AB55" s="54">
        <f>IF(AQ55="1",BH55,0)</f>
        <v>0</v>
      </c>
      <c r="AC55" s="54">
        <f>IF(AQ55="1",BI55,0)</f>
        <v>0</v>
      </c>
      <c r="AD55" s="54">
        <f>IF(AQ55="7",BH55,0)</f>
        <v>0</v>
      </c>
      <c r="AE55" s="54">
        <f>IF(AQ55="7",BI55,0)</f>
        <v>0</v>
      </c>
      <c r="AF55" s="54">
        <f>IF(AQ55="2",BH55,0)</f>
        <v>0</v>
      </c>
      <c r="AG55" s="54">
        <f>IF(AQ55="2",BI55,0)</f>
        <v>0</v>
      </c>
      <c r="AH55" s="54">
        <f>IF(AQ55="0",BJ55,0)</f>
        <v>0</v>
      </c>
      <c r="AI55" s="34" t="s">
        <v>103</v>
      </c>
      <c r="AJ55" s="54">
        <f>IF(AN55=0,I55,0)</f>
        <v>0</v>
      </c>
      <c r="AK55" s="54">
        <f>IF(AN55=12,I55,0)</f>
        <v>0</v>
      </c>
      <c r="AL55" s="54">
        <f>IF(AN55=21,I55,0)</f>
        <v>0</v>
      </c>
      <c r="AN55" s="54">
        <v>21</v>
      </c>
      <c r="AO55" s="54">
        <f>H55*0</f>
        <v>0</v>
      </c>
      <c r="AP55" s="54">
        <f>H55*(1-0)</f>
        <v>0</v>
      </c>
      <c r="AQ55" s="56" t="s">
        <v>107</v>
      </c>
      <c r="AV55" s="54">
        <f>AW55+AX55</f>
        <v>0</v>
      </c>
      <c r="AW55" s="54">
        <f>G55*AO55</f>
        <v>0</v>
      </c>
      <c r="AX55" s="54">
        <f>G55*AP55</f>
        <v>0</v>
      </c>
      <c r="AY55" s="56" t="s">
        <v>206</v>
      </c>
      <c r="AZ55" s="56" t="s">
        <v>207</v>
      </c>
      <c r="BA55" s="34" t="s">
        <v>114</v>
      </c>
      <c r="BC55" s="54">
        <f>AW55+AX55</f>
        <v>0</v>
      </c>
      <c r="BD55" s="54">
        <f>H55/(100-BE55)*100</f>
        <v>0</v>
      </c>
      <c r="BE55" s="54">
        <v>0</v>
      </c>
      <c r="BF55" s="54">
        <f>L55</f>
        <v>0</v>
      </c>
      <c r="BH55" s="54">
        <f>G55*AO55</f>
        <v>0</v>
      </c>
      <c r="BI55" s="54">
        <f>G55*AP55</f>
        <v>0</v>
      </c>
      <c r="BJ55" s="54">
        <f>G55*H55</f>
        <v>0</v>
      </c>
      <c r="BK55" s="54"/>
      <c r="BL55" s="54">
        <v>41</v>
      </c>
      <c r="BW55" s="54">
        <v>21</v>
      </c>
      <c r="BX55" s="3" t="s">
        <v>222</v>
      </c>
    </row>
    <row r="56" spans="1:76" ht="14.5" x14ac:dyDescent="0.35">
      <c r="A56" s="57"/>
      <c r="D56" s="58" t="s">
        <v>218</v>
      </c>
      <c r="E56" s="59" t="s">
        <v>224</v>
      </c>
      <c r="G56" s="60">
        <v>61.68</v>
      </c>
      <c r="M56" s="61"/>
    </row>
    <row r="57" spans="1:76" ht="14.5" x14ac:dyDescent="0.35">
      <c r="A57" s="57"/>
      <c r="D57" s="58" t="s">
        <v>211</v>
      </c>
      <c r="E57" s="59" t="s">
        <v>212</v>
      </c>
      <c r="G57" s="60">
        <v>51.12</v>
      </c>
      <c r="M57" s="61"/>
    </row>
    <row r="58" spans="1:76" ht="25" x14ac:dyDescent="0.35">
      <c r="A58" s="1" t="s">
        <v>226</v>
      </c>
      <c r="B58" s="2" t="s">
        <v>103</v>
      </c>
      <c r="C58" s="2" t="s">
        <v>227</v>
      </c>
      <c r="D58" s="155" t="s">
        <v>228</v>
      </c>
      <c r="E58" s="153"/>
      <c r="F58" s="2" t="s">
        <v>153</v>
      </c>
      <c r="G58" s="54">
        <v>308.64</v>
      </c>
      <c r="H58" s="84">
        <v>0</v>
      </c>
      <c r="I58" s="54">
        <f>G58*H58</f>
        <v>0</v>
      </c>
      <c r="J58" s="54">
        <v>1.3999999999999999E-4</v>
      </c>
      <c r="K58" s="54">
        <v>0</v>
      </c>
      <c r="L58" s="54">
        <f>G58*J58</f>
        <v>4.3209599999999994E-2</v>
      </c>
      <c r="M58" s="55" t="s">
        <v>111</v>
      </c>
      <c r="Z58" s="54">
        <f>IF(AQ58="5",BJ58,0)</f>
        <v>0</v>
      </c>
      <c r="AB58" s="54">
        <f>IF(AQ58="1",BH58,0)</f>
        <v>0</v>
      </c>
      <c r="AC58" s="54">
        <f>IF(AQ58="1",BI58,0)</f>
        <v>0</v>
      </c>
      <c r="AD58" s="54">
        <f>IF(AQ58="7",BH58,0)</f>
        <v>0</v>
      </c>
      <c r="AE58" s="54">
        <f>IF(AQ58="7",BI58,0)</f>
        <v>0</v>
      </c>
      <c r="AF58" s="54">
        <f>IF(AQ58="2",BH58,0)</f>
        <v>0</v>
      </c>
      <c r="AG58" s="54">
        <f>IF(AQ58="2",BI58,0)</f>
        <v>0</v>
      </c>
      <c r="AH58" s="54">
        <f>IF(AQ58="0",BJ58,0)</f>
        <v>0</v>
      </c>
      <c r="AI58" s="34" t="s">
        <v>103</v>
      </c>
      <c r="AJ58" s="54">
        <f>IF(AN58=0,I58,0)</f>
        <v>0</v>
      </c>
      <c r="AK58" s="54">
        <f>IF(AN58=12,I58,0)</f>
        <v>0</v>
      </c>
      <c r="AL58" s="54">
        <f>IF(AN58=21,I58,0)</f>
        <v>0</v>
      </c>
      <c r="AN58" s="54">
        <v>21</v>
      </c>
      <c r="AO58" s="54">
        <f>H58*0.392101146</f>
        <v>0</v>
      </c>
      <c r="AP58" s="54">
        <f>H58*(1-0.392101146)</f>
        <v>0</v>
      </c>
      <c r="AQ58" s="56" t="s">
        <v>107</v>
      </c>
      <c r="AV58" s="54">
        <f>AW58+AX58</f>
        <v>0</v>
      </c>
      <c r="AW58" s="54">
        <f>G58*AO58</f>
        <v>0</v>
      </c>
      <c r="AX58" s="54">
        <f>G58*AP58</f>
        <v>0</v>
      </c>
      <c r="AY58" s="56" t="s">
        <v>206</v>
      </c>
      <c r="AZ58" s="56" t="s">
        <v>207</v>
      </c>
      <c r="BA58" s="34" t="s">
        <v>114</v>
      </c>
      <c r="BC58" s="54">
        <f>AW58+AX58</f>
        <v>0</v>
      </c>
      <c r="BD58" s="54">
        <f>H58/(100-BE58)*100</f>
        <v>0</v>
      </c>
      <c r="BE58" s="54">
        <v>0</v>
      </c>
      <c r="BF58" s="54">
        <f>L58</f>
        <v>4.3209599999999994E-2</v>
      </c>
      <c r="BH58" s="54">
        <f>G58*AO58</f>
        <v>0</v>
      </c>
      <c r="BI58" s="54">
        <f>G58*AP58</f>
        <v>0</v>
      </c>
      <c r="BJ58" s="54">
        <f>G58*H58</f>
        <v>0</v>
      </c>
      <c r="BK58" s="54"/>
      <c r="BL58" s="54">
        <v>41</v>
      </c>
      <c r="BW58" s="54">
        <v>21</v>
      </c>
      <c r="BX58" s="3" t="s">
        <v>228</v>
      </c>
    </row>
    <row r="59" spans="1:76" ht="14.5" x14ac:dyDescent="0.35">
      <c r="A59" s="57"/>
      <c r="D59" s="58" t="s">
        <v>230</v>
      </c>
      <c r="E59" s="59" t="s">
        <v>231</v>
      </c>
      <c r="G59" s="60">
        <v>141.36000000000001</v>
      </c>
      <c r="M59" s="61"/>
    </row>
    <row r="60" spans="1:76" ht="14.5" x14ac:dyDescent="0.35">
      <c r="A60" s="57"/>
      <c r="D60" s="58" t="s">
        <v>232</v>
      </c>
      <c r="E60" s="59" t="s">
        <v>233</v>
      </c>
      <c r="G60" s="60">
        <v>167.28</v>
      </c>
      <c r="M60" s="61"/>
    </row>
    <row r="61" spans="1:76" ht="14.5" x14ac:dyDescent="0.35">
      <c r="A61" s="1" t="s">
        <v>234</v>
      </c>
      <c r="B61" s="2" t="s">
        <v>103</v>
      </c>
      <c r="C61" s="2" t="s">
        <v>235</v>
      </c>
      <c r="D61" s="155" t="s">
        <v>236</v>
      </c>
      <c r="E61" s="153"/>
      <c r="F61" s="2" t="s">
        <v>110</v>
      </c>
      <c r="G61" s="54">
        <v>43.56</v>
      </c>
      <c r="H61" s="84">
        <v>0</v>
      </c>
      <c r="I61" s="54">
        <f>G61*H61</f>
        <v>0</v>
      </c>
      <c r="J61" s="54">
        <v>9.6500000000000006E-3</v>
      </c>
      <c r="K61" s="54">
        <v>0</v>
      </c>
      <c r="L61" s="54">
        <f>G61*J61</f>
        <v>0.42035400000000006</v>
      </c>
      <c r="M61" s="55" t="s">
        <v>111</v>
      </c>
      <c r="Z61" s="54">
        <f>IF(AQ61="5",BJ61,0)</f>
        <v>0</v>
      </c>
      <c r="AB61" s="54">
        <f>IF(AQ61="1",BH61,0)</f>
        <v>0</v>
      </c>
      <c r="AC61" s="54">
        <f>IF(AQ61="1",BI61,0)</f>
        <v>0</v>
      </c>
      <c r="AD61" s="54">
        <f>IF(AQ61="7",BH61,0)</f>
        <v>0</v>
      </c>
      <c r="AE61" s="54">
        <f>IF(AQ61="7",BI61,0)</f>
        <v>0</v>
      </c>
      <c r="AF61" s="54">
        <f>IF(AQ61="2",BH61,0)</f>
        <v>0</v>
      </c>
      <c r="AG61" s="54">
        <f>IF(AQ61="2",BI61,0)</f>
        <v>0</v>
      </c>
      <c r="AH61" s="54">
        <f>IF(AQ61="0",BJ61,0)</f>
        <v>0</v>
      </c>
      <c r="AI61" s="34" t="s">
        <v>103</v>
      </c>
      <c r="AJ61" s="54">
        <f>IF(AN61=0,I61,0)</f>
        <v>0</v>
      </c>
      <c r="AK61" s="54">
        <f>IF(AN61=12,I61,0)</f>
        <v>0</v>
      </c>
      <c r="AL61" s="54">
        <f>IF(AN61=21,I61,0)</f>
        <v>0</v>
      </c>
      <c r="AN61" s="54">
        <v>21</v>
      </c>
      <c r="AO61" s="54">
        <f>H61*0.776287657</f>
        <v>0</v>
      </c>
      <c r="AP61" s="54">
        <f>H61*(1-0.776287657)</f>
        <v>0</v>
      </c>
      <c r="AQ61" s="56" t="s">
        <v>107</v>
      </c>
      <c r="AV61" s="54">
        <f>AW61+AX61</f>
        <v>0</v>
      </c>
      <c r="AW61" s="54">
        <f>G61*AO61</f>
        <v>0</v>
      </c>
      <c r="AX61" s="54">
        <f>G61*AP61</f>
        <v>0</v>
      </c>
      <c r="AY61" s="56" t="s">
        <v>206</v>
      </c>
      <c r="AZ61" s="56" t="s">
        <v>207</v>
      </c>
      <c r="BA61" s="34" t="s">
        <v>114</v>
      </c>
      <c r="BC61" s="54">
        <f>AW61+AX61</f>
        <v>0</v>
      </c>
      <c r="BD61" s="54">
        <f>H61/(100-BE61)*100</f>
        <v>0</v>
      </c>
      <c r="BE61" s="54">
        <v>0</v>
      </c>
      <c r="BF61" s="54">
        <f>L61</f>
        <v>0.42035400000000006</v>
      </c>
      <c r="BH61" s="54">
        <f>G61*AO61</f>
        <v>0</v>
      </c>
      <c r="BI61" s="54">
        <f>G61*AP61</f>
        <v>0</v>
      </c>
      <c r="BJ61" s="54">
        <f>G61*H61</f>
        <v>0</v>
      </c>
      <c r="BK61" s="54"/>
      <c r="BL61" s="54">
        <v>41</v>
      </c>
      <c r="BW61" s="54">
        <v>21</v>
      </c>
      <c r="BX61" s="3" t="s">
        <v>236</v>
      </c>
    </row>
    <row r="62" spans="1:76" ht="14.5" x14ac:dyDescent="0.35">
      <c r="A62" s="57"/>
      <c r="D62" s="58" t="s">
        <v>10</v>
      </c>
      <c r="E62" s="59" t="s">
        <v>237</v>
      </c>
      <c r="G62" s="60">
        <v>0</v>
      </c>
      <c r="M62" s="61"/>
    </row>
    <row r="63" spans="1:76" ht="14.5" x14ac:dyDescent="0.35">
      <c r="A63" s="57"/>
      <c r="D63" s="58" t="s">
        <v>239</v>
      </c>
      <c r="E63" s="59" t="s">
        <v>240</v>
      </c>
      <c r="G63" s="60">
        <v>43.56</v>
      </c>
      <c r="M63" s="61"/>
    </row>
    <row r="64" spans="1:76" ht="14.5" x14ac:dyDescent="0.35">
      <c r="A64" s="1" t="s">
        <v>241</v>
      </c>
      <c r="B64" s="2" t="s">
        <v>103</v>
      </c>
      <c r="C64" s="2" t="s">
        <v>242</v>
      </c>
      <c r="D64" s="155" t="s">
        <v>243</v>
      </c>
      <c r="E64" s="153"/>
      <c r="F64" s="2" t="s">
        <v>110</v>
      </c>
      <c r="G64" s="54">
        <v>47.52</v>
      </c>
      <c r="H64" s="84">
        <v>0</v>
      </c>
      <c r="I64" s="54">
        <f>G64*H64</f>
        <v>0</v>
      </c>
      <c r="J64" s="54">
        <v>1.039E-2</v>
      </c>
      <c r="K64" s="54">
        <v>0</v>
      </c>
      <c r="L64" s="54">
        <f>G64*J64</f>
        <v>0.49373280000000003</v>
      </c>
      <c r="M64" s="55" t="s">
        <v>111</v>
      </c>
      <c r="Z64" s="54">
        <f>IF(AQ64="5",BJ64,0)</f>
        <v>0</v>
      </c>
      <c r="AB64" s="54">
        <f>IF(AQ64="1",BH64,0)</f>
        <v>0</v>
      </c>
      <c r="AC64" s="54">
        <f>IF(AQ64="1",BI64,0)</f>
        <v>0</v>
      </c>
      <c r="AD64" s="54">
        <f>IF(AQ64="7",BH64,0)</f>
        <v>0</v>
      </c>
      <c r="AE64" s="54">
        <f>IF(AQ64="7",BI64,0)</f>
        <v>0</v>
      </c>
      <c r="AF64" s="54">
        <f>IF(AQ64="2",BH64,0)</f>
        <v>0</v>
      </c>
      <c r="AG64" s="54">
        <f>IF(AQ64="2",BI64,0)</f>
        <v>0</v>
      </c>
      <c r="AH64" s="54">
        <f>IF(AQ64="0",BJ64,0)</f>
        <v>0</v>
      </c>
      <c r="AI64" s="34" t="s">
        <v>103</v>
      </c>
      <c r="AJ64" s="54">
        <f>IF(AN64=0,I64,0)</f>
        <v>0</v>
      </c>
      <c r="AK64" s="54">
        <f>IF(AN64=12,I64,0)</f>
        <v>0</v>
      </c>
      <c r="AL64" s="54">
        <f>IF(AN64=21,I64,0)</f>
        <v>0</v>
      </c>
      <c r="AN64" s="54">
        <v>21</v>
      </c>
      <c r="AO64" s="54">
        <f>H64*0.795948955</f>
        <v>0</v>
      </c>
      <c r="AP64" s="54">
        <f>H64*(1-0.795948955)</f>
        <v>0</v>
      </c>
      <c r="AQ64" s="56" t="s">
        <v>107</v>
      </c>
      <c r="AV64" s="54">
        <f>AW64+AX64</f>
        <v>0</v>
      </c>
      <c r="AW64" s="54">
        <f>G64*AO64</f>
        <v>0</v>
      </c>
      <c r="AX64" s="54">
        <f>G64*AP64</f>
        <v>0</v>
      </c>
      <c r="AY64" s="56" t="s">
        <v>206</v>
      </c>
      <c r="AZ64" s="56" t="s">
        <v>207</v>
      </c>
      <c r="BA64" s="34" t="s">
        <v>114</v>
      </c>
      <c r="BC64" s="54">
        <f>AW64+AX64</f>
        <v>0</v>
      </c>
      <c r="BD64" s="54">
        <f>H64/(100-BE64)*100</f>
        <v>0</v>
      </c>
      <c r="BE64" s="54">
        <v>0</v>
      </c>
      <c r="BF64" s="54">
        <f>L64</f>
        <v>0.49373280000000003</v>
      </c>
      <c r="BH64" s="54">
        <f>G64*AO64</f>
        <v>0</v>
      </c>
      <c r="BI64" s="54">
        <f>G64*AP64</f>
        <v>0</v>
      </c>
      <c r="BJ64" s="54">
        <f>G64*H64</f>
        <v>0</v>
      </c>
      <c r="BK64" s="54"/>
      <c r="BL64" s="54">
        <v>41</v>
      </c>
      <c r="BW64" s="54">
        <v>21</v>
      </c>
      <c r="BX64" s="3" t="s">
        <v>243</v>
      </c>
    </row>
    <row r="65" spans="1:76" ht="14.5" x14ac:dyDescent="0.35">
      <c r="A65" s="57"/>
      <c r="D65" s="58" t="s">
        <v>208</v>
      </c>
      <c r="E65" s="59" t="s">
        <v>237</v>
      </c>
      <c r="G65" s="60">
        <v>0</v>
      </c>
      <c r="M65" s="61"/>
    </row>
    <row r="66" spans="1:76" ht="14.5" x14ac:dyDescent="0.35">
      <c r="A66" s="57"/>
      <c r="D66" s="58" t="s">
        <v>245</v>
      </c>
      <c r="E66" s="59" t="s">
        <v>246</v>
      </c>
      <c r="G66" s="60">
        <v>47.52</v>
      </c>
      <c r="M66" s="61"/>
    </row>
    <row r="67" spans="1:76" ht="14.5" x14ac:dyDescent="0.35">
      <c r="A67" s="1" t="s">
        <v>247</v>
      </c>
      <c r="B67" s="2" t="s">
        <v>103</v>
      </c>
      <c r="C67" s="2" t="s">
        <v>248</v>
      </c>
      <c r="D67" s="155" t="s">
        <v>249</v>
      </c>
      <c r="E67" s="153"/>
      <c r="F67" s="2" t="s">
        <v>153</v>
      </c>
      <c r="G67" s="54">
        <v>83.44</v>
      </c>
      <c r="H67" s="84">
        <v>0</v>
      </c>
      <c r="I67" s="54">
        <f>G67*H67</f>
        <v>0</v>
      </c>
      <c r="J67" s="54">
        <v>2.0000000000000002E-5</v>
      </c>
      <c r="K67" s="54">
        <v>0</v>
      </c>
      <c r="L67" s="54">
        <f>G67*J67</f>
        <v>1.6688E-3</v>
      </c>
      <c r="M67" s="55" t="s">
        <v>111</v>
      </c>
      <c r="Z67" s="54">
        <f>IF(AQ67="5",BJ67,0)</f>
        <v>0</v>
      </c>
      <c r="AB67" s="54">
        <f>IF(AQ67="1",BH67,0)</f>
        <v>0</v>
      </c>
      <c r="AC67" s="54">
        <f>IF(AQ67="1",BI67,0)</f>
        <v>0</v>
      </c>
      <c r="AD67" s="54">
        <f>IF(AQ67="7",BH67,0)</f>
        <v>0</v>
      </c>
      <c r="AE67" s="54">
        <f>IF(AQ67="7",BI67,0)</f>
        <v>0</v>
      </c>
      <c r="AF67" s="54">
        <f>IF(AQ67="2",BH67,0)</f>
        <v>0</v>
      </c>
      <c r="AG67" s="54">
        <f>IF(AQ67="2",BI67,0)</f>
        <v>0</v>
      </c>
      <c r="AH67" s="54">
        <f>IF(AQ67="0",BJ67,0)</f>
        <v>0</v>
      </c>
      <c r="AI67" s="34" t="s">
        <v>103</v>
      </c>
      <c r="AJ67" s="54">
        <f>IF(AN67=0,I67,0)</f>
        <v>0</v>
      </c>
      <c r="AK67" s="54">
        <f>IF(AN67=12,I67,0)</f>
        <v>0</v>
      </c>
      <c r="AL67" s="54">
        <f>IF(AN67=21,I67,0)</f>
        <v>0</v>
      </c>
      <c r="AN67" s="54">
        <v>21</v>
      </c>
      <c r="AO67" s="54">
        <f>H67*0.021987315</f>
        <v>0</v>
      </c>
      <c r="AP67" s="54">
        <f>H67*(1-0.021987315)</f>
        <v>0</v>
      </c>
      <c r="AQ67" s="56" t="s">
        <v>107</v>
      </c>
      <c r="AV67" s="54">
        <f>AW67+AX67</f>
        <v>0</v>
      </c>
      <c r="AW67" s="54">
        <f>G67*AO67</f>
        <v>0</v>
      </c>
      <c r="AX67" s="54">
        <f>G67*AP67</f>
        <v>0</v>
      </c>
      <c r="AY67" s="56" t="s">
        <v>206</v>
      </c>
      <c r="AZ67" s="56" t="s">
        <v>207</v>
      </c>
      <c r="BA67" s="34" t="s">
        <v>114</v>
      </c>
      <c r="BC67" s="54">
        <f>AW67+AX67</f>
        <v>0</v>
      </c>
      <c r="BD67" s="54">
        <f>H67/(100-BE67)*100</f>
        <v>0</v>
      </c>
      <c r="BE67" s="54">
        <v>0</v>
      </c>
      <c r="BF67" s="54">
        <f>L67</f>
        <v>1.6688E-3</v>
      </c>
      <c r="BH67" s="54">
        <f>G67*AO67</f>
        <v>0</v>
      </c>
      <c r="BI67" s="54">
        <f>G67*AP67</f>
        <v>0</v>
      </c>
      <c r="BJ67" s="54">
        <f>G67*H67</f>
        <v>0</v>
      </c>
      <c r="BK67" s="54"/>
      <c r="BL67" s="54">
        <v>41</v>
      </c>
      <c r="BW67" s="54">
        <v>21</v>
      </c>
      <c r="BX67" s="3" t="s">
        <v>249</v>
      </c>
    </row>
    <row r="68" spans="1:76" ht="14.5" x14ac:dyDescent="0.35">
      <c r="A68" s="57"/>
      <c r="D68" s="58" t="s">
        <v>251</v>
      </c>
      <c r="E68" s="59" t="s">
        <v>252</v>
      </c>
      <c r="G68" s="60">
        <v>83.44</v>
      </c>
      <c r="M68" s="61"/>
    </row>
    <row r="69" spans="1:76" ht="14.5" x14ac:dyDescent="0.35">
      <c r="A69" s="50" t="s">
        <v>10</v>
      </c>
      <c r="B69" s="51" t="s">
        <v>103</v>
      </c>
      <c r="C69" s="51" t="s">
        <v>253</v>
      </c>
      <c r="D69" s="206" t="s">
        <v>254</v>
      </c>
      <c r="E69" s="207"/>
      <c r="F69" s="52" t="s">
        <v>84</v>
      </c>
      <c r="G69" s="52" t="s">
        <v>84</v>
      </c>
      <c r="H69" s="83" t="s">
        <v>84</v>
      </c>
      <c r="I69" s="27">
        <f>SUM(I70:I97)</f>
        <v>0</v>
      </c>
      <c r="J69" s="34" t="s">
        <v>10</v>
      </c>
      <c r="K69" s="34" t="s">
        <v>10</v>
      </c>
      <c r="L69" s="27">
        <f>SUM(L70:L97)</f>
        <v>22.88691661</v>
      </c>
      <c r="M69" s="53" t="s">
        <v>10</v>
      </c>
      <c r="AI69" s="34" t="s">
        <v>103</v>
      </c>
      <c r="AS69" s="27">
        <f>SUM(AJ70:AJ97)</f>
        <v>0</v>
      </c>
      <c r="AT69" s="27">
        <f>SUM(AK70:AK97)</f>
        <v>0</v>
      </c>
      <c r="AU69" s="27">
        <f>SUM(AL70:AL97)</f>
        <v>0</v>
      </c>
    </row>
    <row r="70" spans="1:76" ht="14.5" x14ac:dyDescent="0.35">
      <c r="A70" s="1" t="s">
        <v>255</v>
      </c>
      <c r="B70" s="2" t="s">
        <v>103</v>
      </c>
      <c r="C70" s="2" t="s">
        <v>256</v>
      </c>
      <c r="D70" s="155" t="s">
        <v>257</v>
      </c>
      <c r="E70" s="153"/>
      <c r="F70" s="2" t="s">
        <v>110</v>
      </c>
      <c r="G70" s="54">
        <v>197.22399999999999</v>
      </c>
      <c r="H70" s="84">
        <v>0</v>
      </c>
      <c r="I70" s="54">
        <f>G70*H70</f>
        <v>0</v>
      </c>
      <c r="J70" s="54">
        <v>4.0000000000000003E-5</v>
      </c>
      <c r="K70" s="54">
        <v>0</v>
      </c>
      <c r="L70" s="54">
        <f>G70*J70</f>
        <v>7.8889600000000004E-3</v>
      </c>
      <c r="M70" s="55" t="s">
        <v>111</v>
      </c>
      <c r="Z70" s="54">
        <f>IF(AQ70="5",BJ70,0)</f>
        <v>0</v>
      </c>
      <c r="AB70" s="54">
        <f>IF(AQ70="1",BH70,0)</f>
        <v>0</v>
      </c>
      <c r="AC70" s="54">
        <f>IF(AQ70="1",BI70,0)</f>
        <v>0</v>
      </c>
      <c r="AD70" s="54">
        <f>IF(AQ70="7",BH70,0)</f>
        <v>0</v>
      </c>
      <c r="AE70" s="54">
        <f>IF(AQ70="7",BI70,0)</f>
        <v>0</v>
      </c>
      <c r="AF70" s="54">
        <f>IF(AQ70="2",BH70,0)</f>
        <v>0</v>
      </c>
      <c r="AG70" s="54">
        <f>IF(AQ70="2",BI70,0)</f>
        <v>0</v>
      </c>
      <c r="AH70" s="54">
        <f>IF(AQ70="0",BJ70,0)</f>
        <v>0</v>
      </c>
      <c r="AI70" s="34" t="s">
        <v>103</v>
      </c>
      <c r="AJ70" s="54">
        <f>IF(AN70=0,I70,0)</f>
        <v>0</v>
      </c>
      <c r="AK70" s="54">
        <f>IF(AN70=12,I70,0)</f>
        <v>0</v>
      </c>
      <c r="AL70" s="54">
        <f>IF(AN70=21,I70,0)</f>
        <v>0</v>
      </c>
      <c r="AN70" s="54">
        <v>21</v>
      </c>
      <c r="AO70" s="54">
        <f>H70*0.312807598</f>
        <v>0</v>
      </c>
      <c r="AP70" s="54">
        <f>H70*(1-0.312807598)</f>
        <v>0</v>
      </c>
      <c r="AQ70" s="56" t="s">
        <v>107</v>
      </c>
      <c r="AV70" s="54">
        <f>AW70+AX70</f>
        <v>0</v>
      </c>
      <c r="AW70" s="54">
        <f>G70*AO70</f>
        <v>0</v>
      </c>
      <c r="AX70" s="54">
        <f>G70*AP70</f>
        <v>0</v>
      </c>
      <c r="AY70" s="56" t="s">
        <v>258</v>
      </c>
      <c r="AZ70" s="56" t="s">
        <v>259</v>
      </c>
      <c r="BA70" s="34" t="s">
        <v>114</v>
      </c>
      <c r="BC70" s="54">
        <f>AW70+AX70</f>
        <v>0</v>
      </c>
      <c r="BD70" s="54">
        <f>H70/(100-BE70)*100</f>
        <v>0</v>
      </c>
      <c r="BE70" s="54">
        <v>0</v>
      </c>
      <c r="BF70" s="54">
        <f>L70</f>
        <v>7.8889600000000004E-3</v>
      </c>
      <c r="BH70" s="54">
        <f>G70*AO70</f>
        <v>0</v>
      </c>
      <c r="BI70" s="54">
        <f>G70*AP70</f>
        <v>0</v>
      </c>
      <c r="BJ70" s="54">
        <f>G70*H70</f>
        <v>0</v>
      </c>
      <c r="BK70" s="54"/>
      <c r="BL70" s="54">
        <v>61</v>
      </c>
      <c r="BW70" s="54">
        <v>21</v>
      </c>
      <c r="BX70" s="3" t="s">
        <v>257</v>
      </c>
    </row>
    <row r="71" spans="1:76" ht="14.5" x14ac:dyDescent="0.35">
      <c r="A71" s="57"/>
      <c r="D71" s="58" t="s">
        <v>260</v>
      </c>
      <c r="E71" s="59" t="s">
        <v>261</v>
      </c>
      <c r="G71" s="60">
        <v>82.176000000000002</v>
      </c>
      <c r="M71" s="61"/>
    </row>
    <row r="72" spans="1:76" ht="14.5" x14ac:dyDescent="0.35">
      <c r="A72" s="57"/>
      <c r="D72" s="58" t="s">
        <v>262</v>
      </c>
      <c r="E72" s="59" t="s">
        <v>263</v>
      </c>
      <c r="G72" s="60">
        <v>44.128</v>
      </c>
      <c r="M72" s="61"/>
    </row>
    <row r="73" spans="1:76" ht="14.5" x14ac:dyDescent="0.35">
      <c r="A73" s="57"/>
      <c r="D73" s="58" t="s">
        <v>264</v>
      </c>
      <c r="E73" s="59" t="s">
        <v>265</v>
      </c>
      <c r="G73" s="60">
        <v>33.095999999999997</v>
      </c>
      <c r="M73" s="61"/>
    </row>
    <row r="74" spans="1:76" ht="14.5" x14ac:dyDescent="0.35">
      <c r="A74" s="57"/>
      <c r="D74" s="58" t="s">
        <v>266</v>
      </c>
      <c r="E74" s="59" t="s">
        <v>267</v>
      </c>
      <c r="G74" s="60">
        <v>37.823999999999998</v>
      </c>
      <c r="M74" s="61"/>
    </row>
    <row r="75" spans="1:76" ht="14.5" x14ac:dyDescent="0.35">
      <c r="A75" s="1" t="s">
        <v>268</v>
      </c>
      <c r="B75" s="2" t="s">
        <v>103</v>
      </c>
      <c r="C75" s="2" t="s">
        <v>269</v>
      </c>
      <c r="D75" s="155" t="s">
        <v>270</v>
      </c>
      <c r="E75" s="153"/>
      <c r="F75" s="2" t="s">
        <v>110</v>
      </c>
      <c r="G75" s="54">
        <v>346.27699999999999</v>
      </c>
      <c r="H75" s="84">
        <v>0</v>
      </c>
      <c r="I75" s="54">
        <f>G75*H75</f>
        <v>0</v>
      </c>
      <c r="J75" s="54">
        <v>5.62E-3</v>
      </c>
      <c r="K75" s="54">
        <v>0</v>
      </c>
      <c r="L75" s="54">
        <f>G75*J75</f>
        <v>1.9460767399999999</v>
      </c>
      <c r="M75" s="55" t="s">
        <v>111</v>
      </c>
      <c r="Z75" s="54">
        <f>IF(AQ75="5",BJ75,0)</f>
        <v>0</v>
      </c>
      <c r="AB75" s="54">
        <f>IF(AQ75="1",BH75,0)</f>
        <v>0</v>
      </c>
      <c r="AC75" s="54">
        <f>IF(AQ75="1",BI75,0)</f>
        <v>0</v>
      </c>
      <c r="AD75" s="54">
        <f>IF(AQ75="7",BH75,0)</f>
        <v>0</v>
      </c>
      <c r="AE75" s="54">
        <f>IF(AQ75="7",BI75,0)</f>
        <v>0</v>
      </c>
      <c r="AF75" s="54">
        <f>IF(AQ75="2",BH75,0)</f>
        <v>0</v>
      </c>
      <c r="AG75" s="54">
        <f>IF(AQ75="2",BI75,0)</f>
        <v>0</v>
      </c>
      <c r="AH75" s="54">
        <f>IF(AQ75="0",BJ75,0)</f>
        <v>0</v>
      </c>
      <c r="AI75" s="34" t="s">
        <v>103</v>
      </c>
      <c r="AJ75" s="54">
        <f>IF(AN75=0,I75,0)</f>
        <v>0</v>
      </c>
      <c r="AK75" s="54">
        <f>IF(AN75=12,I75,0)</f>
        <v>0</v>
      </c>
      <c r="AL75" s="54">
        <f>IF(AN75=21,I75,0)</f>
        <v>0</v>
      </c>
      <c r="AN75" s="54">
        <v>21</v>
      </c>
      <c r="AO75" s="54">
        <f>H75*0.146339631</f>
        <v>0</v>
      </c>
      <c r="AP75" s="54">
        <f>H75*(1-0.146339631)</f>
        <v>0</v>
      </c>
      <c r="AQ75" s="56" t="s">
        <v>107</v>
      </c>
      <c r="AV75" s="54">
        <f>AW75+AX75</f>
        <v>0</v>
      </c>
      <c r="AW75" s="54">
        <f>G75*AO75</f>
        <v>0</v>
      </c>
      <c r="AX75" s="54">
        <f>G75*AP75</f>
        <v>0</v>
      </c>
      <c r="AY75" s="56" t="s">
        <v>258</v>
      </c>
      <c r="AZ75" s="56" t="s">
        <v>259</v>
      </c>
      <c r="BA75" s="34" t="s">
        <v>114</v>
      </c>
      <c r="BC75" s="54">
        <f>AW75+AX75</f>
        <v>0</v>
      </c>
      <c r="BD75" s="54">
        <f>H75/(100-BE75)*100</f>
        <v>0</v>
      </c>
      <c r="BE75" s="54">
        <v>0</v>
      </c>
      <c r="BF75" s="54">
        <f>L75</f>
        <v>1.9460767399999999</v>
      </c>
      <c r="BH75" s="54">
        <f>G75*AO75</f>
        <v>0</v>
      </c>
      <c r="BI75" s="54">
        <f>G75*AP75</f>
        <v>0</v>
      </c>
      <c r="BJ75" s="54">
        <f>G75*H75</f>
        <v>0</v>
      </c>
      <c r="BK75" s="54"/>
      <c r="BL75" s="54">
        <v>61</v>
      </c>
      <c r="BW75" s="54">
        <v>21</v>
      </c>
      <c r="BX75" s="3" t="s">
        <v>270</v>
      </c>
    </row>
    <row r="76" spans="1:76" ht="14.5" x14ac:dyDescent="0.35">
      <c r="A76" s="57"/>
      <c r="D76" s="58" t="s">
        <v>208</v>
      </c>
      <c r="E76" s="59" t="s">
        <v>271</v>
      </c>
      <c r="G76" s="60">
        <v>0</v>
      </c>
      <c r="M76" s="61"/>
    </row>
    <row r="77" spans="1:76" ht="14.5" x14ac:dyDescent="0.35">
      <c r="A77" s="57"/>
      <c r="D77" s="58" t="s">
        <v>273</v>
      </c>
      <c r="E77" s="59" t="s">
        <v>274</v>
      </c>
      <c r="G77" s="60">
        <v>346.27699999999999</v>
      </c>
      <c r="M77" s="61"/>
    </row>
    <row r="78" spans="1:76" ht="14.5" x14ac:dyDescent="0.35">
      <c r="A78" s="1" t="s">
        <v>275</v>
      </c>
      <c r="B78" s="2" t="s">
        <v>103</v>
      </c>
      <c r="C78" s="2" t="s">
        <v>276</v>
      </c>
      <c r="D78" s="155" t="s">
        <v>277</v>
      </c>
      <c r="E78" s="153"/>
      <c r="F78" s="2" t="s">
        <v>110</v>
      </c>
      <c r="G78" s="54">
        <v>1093.789</v>
      </c>
      <c r="H78" s="84">
        <v>0</v>
      </c>
      <c r="I78" s="54">
        <f>G78*H78</f>
        <v>0</v>
      </c>
      <c r="J78" s="54">
        <v>1.418E-2</v>
      </c>
      <c r="K78" s="54">
        <v>0</v>
      </c>
      <c r="L78" s="54">
        <f>G78*J78</f>
        <v>15.50992802</v>
      </c>
      <c r="M78" s="55" t="s">
        <v>111</v>
      </c>
      <c r="Z78" s="54">
        <f>IF(AQ78="5",BJ78,0)</f>
        <v>0</v>
      </c>
      <c r="AB78" s="54">
        <f>IF(AQ78="1",BH78,0)</f>
        <v>0</v>
      </c>
      <c r="AC78" s="54">
        <f>IF(AQ78="1",BI78,0)</f>
        <v>0</v>
      </c>
      <c r="AD78" s="54">
        <f>IF(AQ78="7",BH78,0)</f>
        <v>0</v>
      </c>
      <c r="AE78" s="54">
        <f>IF(AQ78="7",BI78,0)</f>
        <v>0</v>
      </c>
      <c r="AF78" s="54">
        <f>IF(AQ78="2",BH78,0)</f>
        <v>0</v>
      </c>
      <c r="AG78" s="54">
        <f>IF(AQ78="2",BI78,0)</f>
        <v>0</v>
      </c>
      <c r="AH78" s="54">
        <f>IF(AQ78="0",BJ78,0)</f>
        <v>0</v>
      </c>
      <c r="AI78" s="34" t="s">
        <v>103</v>
      </c>
      <c r="AJ78" s="54">
        <f>IF(AN78=0,I78,0)</f>
        <v>0</v>
      </c>
      <c r="AK78" s="54">
        <f>IF(AN78=12,I78,0)</f>
        <v>0</v>
      </c>
      <c r="AL78" s="54">
        <f>IF(AN78=21,I78,0)</f>
        <v>0</v>
      </c>
      <c r="AN78" s="54">
        <v>21</v>
      </c>
      <c r="AO78" s="54">
        <f>H78*0.133087717</f>
        <v>0</v>
      </c>
      <c r="AP78" s="54">
        <f>H78*(1-0.133087717)</f>
        <v>0</v>
      </c>
      <c r="AQ78" s="56" t="s">
        <v>107</v>
      </c>
      <c r="AV78" s="54">
        <f>AW78+AX78</f>
        <v>0</v>
      </c>
      <c r="AW78" s="54">
        <f>G78*AO78</f>
        <v>0</v>
      </c>
      <c r="AX78" s="54">
        <f>G78*AP78</f>
        <v>0</v>
      </c>
      <c r="AY78" s="56" t="s">
        <v>258</v>
      </c>
      <c r="AZ78" s="56" t="s">
        <v>259</v>
      </c>
      <c r="BA78" s="34" t="s">
        <v>114</v>
      </c>
      <c r="BC78" s="54">
        <f>AW78+AX78</f>
        <v>0</v>
      </c>
      <c r="BD78" s="54">
        <f>H78/(100-BE78)*100</f>
        <v>0</v>
      </c>
      <c r="BE78" s="54">
        <v>0</v>
      </c>
      <c r="BF78" s="54">
        <f>L78</f>
        <v>15.50992802</v>
      </c>
      <c r="BH78" s="54">
        <f>G78*AO78</f>
        <v>0</v>
      </c>
      <c r="BI78" s="54">
        <f>G78*AP78</f>
        <v>0</v>
      </c>
      <c r="BJ78" s="54">
        <f>G78*H78</f>
        <v>0</v>
      </c>
      <c r="BK78" s="54"/>
      <c r="BL78" s="54">
        <v>61</v>
      </c>
      <c r="BW78" s="54">
        <v>21</v>
      </c>
      <c r="BX78" s="3" t="s">
        <v>277</v>
      </c>
    </row>
    <row r="79" spans="1:76" ht="14.5" x14ac:dyDescent="0.35">
      <c r="A79" s="57"/>
      <c r="D79" s="58" t="s">
        <v>208</v>
      </c>
      <c r="E79" s="59" t="s">
        <v>278</v>
      </c>
      <c r="G79" s="60">
        <v>0</v>
      </c>
      <c r="M79" s="61"/>
    </row>
    <row r="80" spans="1:76" ht="14.5" x14ac:dyDescent="0.35">
      <c r="A80" s="57"/>
      <c r="D80" s="58" t="s">
        <v>279</v>
      </c>
      <c r="E80" s="59" t="s">
        <v>280</v>
      </c>
      <c r="G80" s="60">
        <v>93.275999999999996</v>
      </c>
      <c r="M80" s="61"/>
    </row>
    <row r="81" spans="1:76" ht="14.5" x14ac:dyDescent="0.35">
      <c r="A81" s="57"/>
      <c r="D81" s="58" t="s">
        <v>281</v>
      </c>
      <c r="E81" s="59" t="s">
        <v>282</v>
      </c>
      <c r="G81" s="60">
        <v>837.40300000000002</v>
      </c>
      <c r="M81" s="61"/>
    </row>
    <row r="82" spans="1:76" ht="14.5" x14ac:dyDescent="0.35">
      <c r="A82" s="57"/>
      <c r="D82" s="58" t="s">
        <v>283</v>
      </c>
      <c r="E82" s="59" t="s">
        <v>284</v>
      </c>
      <c r="G82" s="60">
        <v>163.11000000000001</v>
      </c>
      <c r="M82" s="61"/>
    </row>
    <row r="83" spans="1:76" ht="14.5" x14ac:dyDescent="0.35">
      <c r="A83" s="1" t="s">
        <v>285</v>
      </c>
      <c r="B83" s="2" t="s">
        <v>103</v>
      </c>
      <c r="C83" s="2" t="s">
        <v>286</v>
      </c>
      <c r="D83" s="155" t="s">
        <v>287</v>
      </c>
      <c r="E83" s="153"/>
      <c r="F83" s="2" t="s">
        <v>110</v>
      </c>
      <c r="G83" s="54">
        <v>653.64499999999998</v>
      </c>
      <c r="H83" s="84">
        <v>0</v>
      </c>
      <c r="I83" s="54">
        <f>G83*H83</f>
        <v>0</v>
      </c>
      <c r="J83" s="54">
        <v>5.2900000000000004E-3</v>
      </c>
      <c r="K83" s="54">
        <v>0</v>
      </c>
      <c r="L83" s="54">
        <f>G83*J83</f>
        <v>3.4577820500000001</v>
      </c>
      <c r="M83" s="55" t="s">
        <v>111</v>
      </c>
      <c r="Z83" s="54">
        <f>IF(AQ83="5",BJ83,0)</f>
        <v>0</v>
      </c>
      <c r="AB83" s="54">
        <f>IF(AQ83="1",BH83,0)</f>
        <v>0</v>
      </c>
      <c r="AC83" s="54">
        <f>IF(AQ83="1",BI83,0)</f>
        <v>0</v>
      </c>
      <c r="AD83" s="54">
        <f>IF(AQ83="7",BH83,0)</f>
        <v>0</v>
      </c>
      <c r="AE83" s="54">
        <f>IF(AQ83="7",BI83,0)</f>
        <v>0</v>
      </c>
      <c r="AF83" s="54">
        <f>IF(AQ83="2",BH83,0)</f>
        <v>0</v>
      </c>
      <c r="AG83" s="54">
        <f>IF(AQ83="2",BI83,0)</f>
        <v>0</v>
      </c>
      <c r="AH83" s="54">
        <f>IF(AQ83="0",BJ83,0)</f>
        <v>0</v>
      </c>
      <c r="AI83" s="34" t="s">
        <v>103</v>
      </c>
      <c r="AJ83" s="54">
        <f>IF(AN83=0,I83,0)</f>
        <v>0</v>
      </c>
      <c r="AK83" s="54">
        <f>IF(AN83=12,I83,0)</f>
        <v>0</v>
      </c>
      <c r="AL83" s="54">
        <f>IF(AN83=21,I83,0)</f>
        <v>0</v>
      </c>
      <c r="AN83" s="54">
        <v>21</v>
      </c>
      <c r="AO83" s="54">
        <f>H83*0.411059724</f>
        <v>0</v>
      </c>
      <c r="AP83" s="54">
        <f>H83*(1-0.411059724)</f>
        <v>0</v>
      </c>
      <c r="AQ83" s="56" t="s">
        <v>107</v>
      </c>
      <c r="AV83" s="54">
        <f>AW83+AX83</f>
        <v>0</v>
      </c>
      <c r="AW83" s="54">
        <f>G83*AO83</f>
        <v>0</v>
      </c>
      <c r="AX83" s="54">
        <f>G83*AP83</f>
        <v>0</v>
      </c>
      <c r="AY83" s="56" t="s">
        <v>258</v>
      </c>
      <c r="AZ83" s="56" t="s">
        <v>259</v>
      </c>
      <c r="BA83" s="34" t="s">
        <v>114</v>
      </c>
      <c r="BC83" s="54">
        <f>AW83+AX83</f>
        <v>0</v>
      </c>
      <c r="BD83" s="54">
        <f>H83/(100-BE83)*100</f>
        <v>0</v>
      </c>
      <c r="BE83" s="54">
        <v>0</v>
      </c>
      <c r="BF83" s="54">
        <f>L83</f>
        <v>3.4577820500000001</v>
      </c>
      <c r="BH83" s="54">
        <f>G83*AO83</f>
        <v>0</v>
      </c>
      <c r="BI83" s="54">
        <f>G83*AP83</f>
        <v>0</v>
      </c>
      <c r="BJ83" s="54">
        <f>G83*H83</f>
        <v>0</v>
      </c>
      <c r="BK83" s="54"/>
      <c r="BL83" s="54">
        <v>61</v>
      </c>
      <c r="BW83" s="54">
        <v>21</v>
      </c>
      <c r="BX83" s="3" t="s">
        <v>287</v>
      </c>
    </row>
    <row r="84" spans="1:76" ht="14.5" x14ac:dyDescent="0.35">
      <c r="A84" s="57"/>
      <c r="D84" s="58" t="s">
        <v>208</v>
      </c>
      <c r="E84" s="59" t="s">
        <v>289</v>
      </c>
      <c r="G84" s="60">
        <v>0</v>
      </c>
      <c r="M84" s="61"/>
    </row>
    <row r="85" spans="1:76" ht="14.5" x14ac:dyDescent="0.35">
      <c r="A85" s="57"/>
      <c r="D85" s="58" t="s">
        <v>290</v>
      </c>
      <c r="E85" s="59" t="s">
        <v>291</v>
      </c>
      <c r="G85" s="60">
        <v>235.03200000000001</v>
      </c>
      <c r="M85" s="61"/>
    </row>
    <row r="86" spans="1:76" ht="14.5" x14ac:dyDescent="0.35">
      <c r="A86" s="57"/>
      <c r="D86" s="58" t="s">
        <v>292</v>
      </c>
      <c r="E86" s="59" t="s">
        <v>293</v>
      </c>
      <c r="G86" s="60">
        <v>83.74</v>
      </c>
      <c r="M86" s="61"/>
    </row>
    <row r="87" spans="1:76" ht="14.5" x14ac:dyDescent="0.35">
      <c r="A87" s="57"/>
      <c r="D87" s="58" t="s">
        <v>208</v>
      </c>
      <c r="E87" s="59" t="s">
        <v>294</v>
      </c>
      <c r="G87" s="60">
        <v>0</v>
      </c>
      <c r="M87" s="61"/>
    </row>
    <row r="88" spans="1:76" ht="14.5" x14ac:dyDescent="0.35">
      <c r="A88" s="57"/>
      <c r="D88" s="58" t="s">
        <v>295</v>
      </c>
      <c r="E88" s="59" t="s">
        <v>296</v>
      </c>
      <c r="G88" s="60">
        <v>174.76300000000001</v>
      </c>
      <c r="M88" s="61"/>
    </row>
    <row r="89" spans="1:76" ht="14.5" x14ac:dyDescent="0.35">
      <c r="A89" s="57"/>
      <c r="D89" s="58" t="s">
        <v>208</v>
      </c>
      <c r="E89" s="59" t="s">
        <v>297</v>
      </c>
      <c r="G89" s="60">
        <v>0</v>
      </c>
      <c r="M89" s="61"/>
    </row>
    <row r="90" spans="1:76" ht="14.5" x14ac:dyDescent="0.35">
      <c r="A90" s="57"/>
      <c r="D90" s="58" t="s">
        <v>283</v>
      </c>
      <c r="E90" s="59" t="s">
        <v>298</v>
      </c>
      <c r="G90" s="60">
        <v>163.11000000000001</v>
      </c>
      <c r="M90" s="61"/>
    </row>
    <row r="91" spans="1:76" ht="14.5" x14ac:dyDescent="0.35">
      <c r="A91" s="57"/>
      <c r="D91" s="58" t="s">
        <v>299</v>
      </c>
      <c r="E91" s="59" t="s">
        <v>300</v>
      </c>
      <c r="G91" s="60">
        <v>-3</v>
      </c>
      <c r="M91" s="61"/>
    </row>
    <row r="92" spans="1:76" ht="14.5" x14ac:dyDescent="0.35">
      <c r="A92" s="1" t="s">
        <v>301</v>
      </c>
      <c r="B92" s="2" t="s">
        <v>103</v>
      </c>
      <c r="C92" s="2" t="s">
        <v>302</v>
      </c>
      <c r="D92" s="155" t="s">
        <v>303</v>
      </c>
      <c r="E92" s="153"/>
      <c r="F92" s="2" t="s">
        <v>110</v>
      </c>
      <c r="G92" s="54">
        <v>380.911</v>
      </c>
      <c r="H92" s="84">
        <v>0</v>
      </c>
      <c r="I92" s="54">
        <f>G92*H92</f>
        <v>0</v>
      </c>
      <c r="J92" s="54">
        <v>2.5200000000000001E-3</v>
      </c>
      <c r="K92" s="54">
        <v>0</v>
      </c>
      <c r="L92" s="54">
        <f>G92*J92</f>
        <v>0.95989572000000001</v>
      </c>
      <c r="M92" s="55" t="s">
        <v>111</v>
      </c>
      <c r="Z92" s="54">
        <f>IF(AQ92="5",BJ92,0)</f>
        <v>0</v>
      </c>
      <c r="AB92" s="54">
        <f>IF(AQ92="1",BH92,0)</f>
        <v>0</v>
      </c>
      <c r="AC92" s="54">
        <f>IF(AQ92="1",BI92,0)</f>
        <v>0</v>
      </c>
      <c r="AD92" s="54">
        <f>IF(AQ92="7",BH92,0)</f>
        <v>0</v>
      </c>
      <c r="AE92" s="54">
        <f>IF(AQ92="7",BI92,0)</f>
        <v>0</v>
      </c>
      <c r="AF92" s="54">
        <f>IF(AQ92="2",BH92,0)</f>
        <v>0</v>
      </c>
      <c r="AG92" s="54">
        <f>IF(AQ92="2",BI92,0)</f>
        <v>0</v>
      </c>
      <c r="AH92" s="54">
        <f>IF(AQ92="0",BJ92,0)</f>
        <v>0</v>
      </c>
      <c r="AI92" s="34" t="s">
        <v>103</v>
      </c>
      <c r="AJ92" s="54">
        <f>IF(AN92=0,I92,0)</f>
        <v>0</v>
      </c>
      <c r="AK92" s="54">
        <f>IF(AN92=12,I92,0)</f>
        <v>0</v>
      </c>
      <c r="AL92" s="54">
        <f>IF(AN92=21,I92,0)</f>
        <v>0</v>
      </c>
      <c r="AN92" s="54">
        <v>21</v>
      </c>
      <c r="AO92" s="54">
        <f>H92*0.204166682</f>
        <v>0</v>
      </c>
      <c r="AP92" s="54">
        <f>H92*(1-0.204166682)</f>
        <v>0</v>
      </c>
      <c r="AQ92" s="56" t="s">
        <v>107</v>
      </c>
      <c r="AV92" s="54">
        <f>AW92+AX92</f>
        <v>0</v>
      </c>
      <c r="AW92" s="54">
        <f>G92*AO92</f>
        <v>0</v>
      </c>
      <c r="AX92" s="54">
        <f>G92*AP92</f>
        <v>0</v>
      </c>
      <c r="AY92" s="56" t="s">
        <v>258</v>
      </c>
      <c r="AZ92" s="56" t="s">
        <v>259</v>
      </c>
      <c r="BA92" s="34" t="s">
        <v>114</v>
      </c>
      <c r="BC92" s="54">
        <f>AW92+AX92</f>
        <v>0</v>
      </c>
      <c r="BD92" s="54">
        <f>H92/(100-BE92)*100</f>
        <v>0</v>
      </c>
      <c r="BE92" s="54">
        <v>0</v>
      </c>
      <c r="BF92" s="54">
        <f>L92</f>
        <v>0.95989572000000001</v>
      </c>
      <c r="BH92" s="54">
        <f>G92*AO92</f>
        <v>0</v>
      </c>
      <c r="BI92" s="54">
        <f>G92*AP92</f>
        <v>0</v>
      </c>
      <c r="BJ92" s="54">
        <f>G92*H92</f>
        <v>0</v>
      </c>
      <c r="BK92" s="54"/>
      <c r="BL92" s="54">
        <v>61</v>
      </c>
      <c r="BW92" s="54">
        <v>21</v>
      </c>
      <c r="BX92" s="3" t="s">
        <v>303</v>
      </c>
    </row>
    <row r="93" spans="1:76" ht="14.5" x14ac:dyDescent="0.35">
      <c r="A93" s="57"/>
      <c r="D93" s="58" t="s">
        <v>208</v>
      </c>
      <c r="E93" s="59" t="s">
        <v>304</v>
      </c>
      <c r="G93" s="60">
        <v>0</v>
      </c>
      <c r="M93" s="61"/>
    </row>
    <row r="94" spans="1:76" ht="14.5" x14ac:dyDescent="0.35">
      <c r="A94" s="57"/>
      <c r="D94" s="58" t="s">
        <v>305</v>
      </c>
      <c r="E94" s="59" t="s">
        <v>306</v>
      </c>
      <c r="G94" s="60">
        <v>370.22399999999999</v>
      </c>
      <c r="M94" s="61"/>
    </row>
    <row r="95" spans="1:76" ht="14.5" x14ac:dyDescent="0.35">
      <c r="A95" s="57"/>
      <c r="D95" s="58" t="s">
        <v>307</v>
      </c>
      <c r="E95" s="59" t="s">
        <v>308</v>
      </c>
      <c r="G95" s="60">
        <v>5.6950000000000003</v>
      </c>
      <c r="M95" s="61"/>
    </row>
    <row r="96" spans="1:76" ht="14.5" x14ac:dyDescent="0.35">
      <c r="A96" s="57"/>
      <c r="D96" s="58" t="s">
        <v>309</v>
      </c>
      <c r="E96" s="59" t="s">
        <v>310</v>
      </c>
      <c r="G96" s="60">
        <v>4.992</v>
      </c>
      <c r="M96" s="61"/>
    </row>
    <row r="97" spans="1:76" ht="14.5" x14ac:dyDescent="0.35">
      <c r="A97" s="1" t="s">
        <v>312</v>
      </c>
      <c r="B97" s="2" t="s">
        <v>103</v>
      </c>
      <c r="C97" s="2" t="s">
        <v>313</v>
      </c>
      <c r="D97" s="155" t="s">
        <v>314</v>
      </c>
      <c r="E97" s="153"/>
      <c r="F97" s="2" t="s">
        <v>110</v>
      </c>
      <c r="G97" s="54">
        <v>273.93599999999998</v>
      </c>
      <c r="H97" s="84">
        <v>0</v>
      </c>
      <c r="I97" s="54">
        <f>G97*H97</f>
        <v>0</v>
      </c>
      <c r="J97" s="54">
        <v>3.6700000000000001E-3</v>
      </c>
      <c r="K97" s="54">
        <v>0</v>
      </c>
      <c r="L97" s="54">
        <f>G97*J97</f>
        <v>1.0053451199999999</v>
      </c>
      <c r="M97" s="55" t="s">
        <v>111</v>
      </c>
      <c r="Z97" s="54">
        <f>IF(AQ97="5",BJ97,0)</f>
        <v>0</v>
      </c>
      <c r="AB97" s="54">
        <f>IF(AQ97="1",BH97,0)</f>
        <v>0</v>
      </c>
      <c r="AC97" s="54">
        <f>IF(AQ97="1",BI97,0)</f>
        <v>0</v>
      </c>
      <c r="AD97" s="54">
        <f>IF(AQ97="7",BH97,0)</f>
        <v>0</v>
      </c>
      <c r="AE97" s="54">
        <f>IF(AQ97="7",BI97,0)</f>
        <v>0</v>
      </c>
      <c r="AF97" s="54">
        <f>IF(AQ97="2",BH97,0)</f>
        <v>0</v>
      </c>
      <c r="AG97" s="54">
        <f>IF(AQ97="2",BI97,0)</f>
        <v>0</v>
      </c>
      <c r="AH97" s="54">
        <f>IF(AQ97="0",BJ97,0)</f>
        <v>0</v>
      </c>
      <c r="AI97" s="34" t="s">
        <v>103</v>
      </c>
      <c r="AJ97" s="54">
        <f>IF(AN97=0,I97,0)</f>
        <v>0</v>
      </c>
      <c r="AK97" s="54">
        <f>IF(AN97=12,I97,0)</f>
        <v>0</v>
      </c>
      <c r="AL97" s="54">
        <f>IF(AN97=21,I97,0)</f>
        <v>0</v>
      </c>
      <c r="AN97" s="54">
        <v>21</v>
      </c>
      <c r="AO97" s="54">
        <f>H97*0.265633809</f>
        <v>0</v>
      </c>
      <c r="AP97" s="54">
        <f>H97*(1-0.265633809)</f>
        <v>0</v>
      </c>
      <c r="AQ97" s="56" t="s">
        <v>107</v>
      </c>
      <c r="AV97" s="54">
        <f>AW97+AX97</f>
        <v>0</v>
      </c>
      <c r="AW97" s="54">
        <f>G97*AO97</f>
        <v>0</v>
      </c>
      <c r="AX97" s="54">
        <f>G97*AP97</f>
        <v>0</v>
      </c>
      <c r="AY97" s="56" t="s">
        <v>258</v>
      </c>
      <c r="AZ97" s="56" t="s">
        <v>259</v>
      </c>
      <c r="BA97" s="34" t="s">
        <v>114</v>
      </c>
      <c r="BC97" s="54">
        <f>AW97+AX97</f>
        <v>0</v>
      </c>
      <c r="BD97" s="54">
        <f>H97/(100-BE97)*100</f>
        <v>0</v>
      </c>
      <c r="BE97" s="54">
        <v>0</v>
      </c>
      <c r="BF97" s="54">
        <f>L97</f>
        <v>1.0053451199999999</v>
      </c>
      <c r="BH97" s="54">
        <f>G97*AO97</f>
        <v>0</v>
      </c>
      <c r="BI97" s="54">
        <f>G97*AP97</f>
        <v>0</v>
      </c>
      <c r="BJ97" s="54">
        <f>G97*H97</f>
        <v>0</v>
      </c>
      <c r="BK97" s="54"/>
      <c r="BL97" s="54">
        <v>61</v>
      </c>
      <c r="BW97" s="54">
        <v>21</v>
      </c>
      <c r="BX97" s="3" t="s">
        <v>314</v>
      </c>
    </row>
    <row r="98" spans="1:76" ht="14.5" x14ac:dyDescent="0.35">
      <c r="A98" s="57"/>
      <c r="D98" s="58" t="s">
        <v>208</v>
      </c>
      <c r="E98" s="59" t="s">
        <v>316</v>
      </c>
      <c r="G98" s="60">
        <v>0</v>
      </c>
      <c r="M98" s="61"/>
    </row>
    <row r="99" spans="1:76" ht="14.5" x14ac:dyDescent="0.35">
      <c r="A99" s="57"/>
      <c r="D99" s="58" t="s">
        <v>317</v>
      </c>
      <c r="E99" s="59" t="s">
        <v>318</v>
      </c>
      <c r="G99" s="60">
        <v>101.664</v>
      </c>
      <c r="M99" s="61"/>
    </row>
    <row r="100" spans="1:76" ht="14.5" x14ac:dyDescent="0.35">
      <c r="A100" s="57"/>
      <c r="D100" s="58" t="s">
        <v>319</v>
      </c>
      <c r="E100" s="59" t="s">
        <v>320</v>
      </c>
      <c r="G100" s="60">
        <v>172.27199999999999</v>
      </c>
      <c r="M100" s="61"/>
    </row>
    <row r="101" spans="1:76" ht="14.5" x14ac:dyDescent="0.35">
      <c r="A101" s="50" t="s">
        <v>10</v>
      </c>
      <c r="B101" s="51" t="s">
        <v>103</v>
      </c>
      <c r="C101" s="51" t="s">
        <v>322</v>
      </c>
      <c r="D101" s="206" t="s">
        <v>323</v>
      </c>
      <c r="E101" s="207"/>
      <c r="F101" s="52" t="s">
        <v>84</v>
      </c>
      <c r="G101" s="52" t="s">
        <v>84</v>
      </c>
      <c r="H101" s="83" t="s">
        <v>84</v>
      </c>
      <c r="I101" s="27">
        <f>SUM(I102:I105)</f>
        <v>0</v>
      </c>
      <c r="J101" s="34" t="s">
        <v>10</v>
      </c>
      <c r="K101" s="34" t="s">
        <v>10</v>
      </c>
      <c r="L101" s="27">
        <f>SUM(L102:L105)</f>
        <v>2.2712760000000003</v>
      </c>
      <c r="M101" s="53" t="s">
        <v>10</v>
      </c>
      <c r="AI101" s="34" t="s">
        <v>103</v>
      </c>
      <c r="AS101" s="27">
        <f>SUM(AJ102:AJ105)</f>
        <v>0</v>
      </c>
      <c r="AT101" s="27">
        <f>SUM(AK102:AK105)</f>
        <v>0</v>
      </c>
      <c r="AU101" s="27">
        <f>SUM(AL102:AL105)</f>
        <v>0</v>
      </c>
    </row>
    <row r="102" spans="1:76" ht="14.5" x14ac:dyDescent="0.35">
      <c r="A102" s="1" t="s">
        <v>198</v>
      </c>
      <c r="B102" s="2" t="s">
        <v>103</v>
      </c>
      <c r="C102" s="2" t="s">
        <v>324</v>
      </c>
      <c r="D102" s="155" t="s">
        <v>325</v>
      </c>
      <c r="E102" s="153"/>
      <c r="F102" s="2" t="s">
        <v>110</v>
      </c>
      <c r="G102" s="54">
        <v>61.68</v>
      </c>
      <c r="H102" s="84">
        <v>0</v>
      </c>
      <c r="I102" s="54">
        <f>G102*H102</f>
        <v>0</v>
      </c>
      <c r="J102" s="54">
        <v>1.7850000000000001E-2</v>
      </c>
      <c r="K102" s="54">
        <v>0</v>
      </c>
      <c r="L102" s="54">
        <f>G102*J102</f>
        <v>1.1009880000000001</v>
      </c>
      <c r="M102" s="55" t="s">
        <v>111</v>
      </c>
      <c r="Z102" s="54">
        <f>IF(AQ102="5",BJ102,0)</f>
        <v>0</v>
      </c>
      <c r="AB102" s="54">
        <f>IF(AQ102="1",BH102,0)</f>
        <v>0</v>
      </c>
      <c r="AC102" s="54">
        <f>IF(AQ102="1",BI102,0)</f>
        <v>0</v>
      </c>
      <c r="AD102" s="54">
        <f>IF(AQ102="7",BH102,0)</f>
        <v>0</v>
      </c>
      <c r="AE102" s="54">
        <f>IF(AQ102="7",BI102,0)</f>
        <v>0</v>
      </c>
      <c r="AF102" s="54">
        <f>IF(AQ102="2",BH102,0)</f>
        <v>0</v>
      </c>
      <c r="AG102" s="54">
        <f>IF(AQ102="2",BI102,0)</f>
        <v>0</v>
      </c>
      <c r="AH102" s="54">
        <f>IF(AQ102="0",BJ102,0)</f>
        <v>0</v>
      </c>
      <c r="AI102" s="34" t="s">
        <v>103</v>
      </c>
      <c r="AJ102" s="54">
        <f>IF(AN102=0,I102,0)</f>
        <v>0</v>
      </c>
      <c r="AK102" s="54">
        <f>IF(AN102=12,I102,0)</f>
        <v>0</v>
      </c>
      <c r="AL102" s="54">
        <f>IF(AN102=21,I102,0)</f>
        <v>0</v>
      </c>
      <c r="AN102" s="54">
        <v>21</v>
      </c>
      <c r="AO102" s="54">
        <f>H102*0.727830941</f>
        <v>0</v>
      </c>
      <c r="AP102" s="54">
        <f>H102*(1-0.727830941)</f>
        <v>0</v>
      </c>
      <c r="AQ102" s="56" t="s">
        <v>107</v>
      </c>
      <c r="AV102" s="54">
        <f>AW102+AX102</f>
        <v>0</v>
      </c>
      <c r="AW102" s="54">
        <f>G102*AO102</f>
        <v>0</v>
      </c>
      <c r="AX102" s="54">
        <f>G102*AP102</f>
        <v>0</v>
      </c>
      <c r="AY102" s="56" t="s">
        <v>326</v>
      </c>
      <c r="AZ102" s="56" t="s">
        <v>259</v>
      </c>
      <c r="BA102" s="34" t="s">
        <v>114</v>
      </c>
      <c r="BC102" s="54">
        <f>AW102+AX102</f>
        <v>0</v>
      </c>
      <c r="BD102" s="54">
        <f>H102/(100-BE102)*100</f>
        <v>0</v>
      </c>
      <c r="BE102" s="54">
        <v>0</v>
      </c>
      <c r="BF102" s="54">
        <f>L102</f>
        <v>1.1009880000000001</v>
      </c>
      <c r="BH102" s="54">
        <f>G102*AO102</f>
        <v>0</v>
      </c>
      <c r="BI102" s="54">
        <f>G102*AP102</f>
        <v>0</v>
      </c>
      <c r="BJ102" s="54">
        <f>G102*H102</f>
        <v>0</v>
      </c>
      <c r="BK102" s="54"/>
      <c r="BL102" s="54">
        <v>63</v>
      </c>
      <c r="BW102" s="54">
        <v>21</v>
      </c>
      <c r="BX102" s="3" t="s">
        <v>325</v>
      </c>
    </row>
    <row r="103" spans="1:76" ht="14.5" x14ac:dyDescent="0.35">
      <c r="A103" s="57"/>
      <c r="D103" s="58" t="s">
        <v>208</v>
      </c>
      <c r="E103" s="59" t="s">
        <v>327</v>
      </c>
      <c r="G103" s="60">
        <v>0</v>
      </c>
      <c r="M103" s="61"/>
    </row>
    <row r="104" spans="1:76" ht="14.5" x14ac:dyDescent="0.35">
      <c r="A104" s="57"/>
      <c r="D104" s="58" t="s">
        <v>329</v>
      </c>
      <c r="E104" s="59" t="s">
        <v>330</v>
      </c>
      <c r="G104" s="60">
        <v>61.68</v>
      </c>
      <c r="M104" s="61"/>
    </row>
    <row r="105" spans="1:76" ht="14.5" x14ac:dyDescent="0.35">
      <c r="A105" s="1" t="s">
        <v>331</v>
      </c>
      <c r="B105" s="2" t="s">
        <v>103</v>
      </c>
      <c r="C105" s="2" t="s">
        <v>332</v>
      </c>
      <c r="D105" s="155" t="s">
        <v>333</v>
      </c>
      <c r="E105" s="153"/>
      <c r="F105" s="2" t="s">
        <v>110</v>
      </c>
      <c r="G105" s="54">
        <v>41.28</v>
      </c>
      <c r="H105" s="84">
        <v>0</v>
      </c>
      <c r="I105" s="54">
        <f>G105*H105</f>
        <v>0</v>
      </c>
      <c r="J105" s="54">
        <v>2.835E-2</v>
      </c>
      <c r="K105" s="54">
        <v>0</v>
      </c>
      <c r="L105" s="54">
        <f>G105*J105</f>
        <v>1.170288</v>
      </c>
      <c r="M105" s="55" t="s">
        <v>111</v>
      </c>
      <c r="Z105" s="54">
        <f>IF(AQ105="5",BJ105,0)</f>
        <v>0</v>
      </c>
      <c r="AB105" s="54">
        <f>IF(AQ105="1",BH105,0)</f>
        <v>0</v>
      </c>
      <c r="AC105" s="54">
        <f>IF(AQ105="1",BI105,0)</f>
        <v>0</v>
      </c>
      <c r="AD105" s="54">
        <f>IF(AQ105="7",BH105,0)</f>
        <v>0</v>
      </c>
      <c r="AE105" s="54">
        <f>IF(AQ105="7",BI105,0)</f>
        <v>0</v>
      </c>
      <c r="AF105" s="54">
        <f>IF(AQ105="2",BH105,0)</f>
        <v>0</v>
      </c>
      <c r="AG105" s="54">
        <f>IF(AQ105="2",BI105,0)</f>
        <v>0</v>
      </c>
      <c r="AH105" s="54">
        <f>IF(AQ105="0",BJ105,0)</f>
        <v>0</v>
      </c>
      <c r="AI105" s="34" t="s">
        <v>103</v>
      </c>
      <c r="AJ105" s="54">
        <f>IF(AN105=0,I105,0)</f>
        <v>0</v>
      </c>
      <c r="AK105" s="54">
        <f>IF(AN105=12,I105,0)</f>
        <v>0</v>
      </c>
      <c r="AL105" s="54">
        <f>IF(AN105=21,I105,0)</f>
        <v>0</v>
      </c>
      <c r="AN105" s="54">
        <v>21</v>
      </c>
      <c r="AO105" s="54">
        <f>H105*0.62548488</f>
        <v>0</v>
      </c>
      <c r="AP105" s="54">
        <f>H105*(1-0.62548488)</f>
        <v>0</v>
      </c>
      <c r="AQ105" s="56" t="s">
        <v>107</v>
      </c>
      <c r="AV105" s="54">
        <f>AW105+AX105</f>
        <v>0</v>
      </c>
      <c r="AW105" s="54">
        <f>G105*AO105</f>
        <v>0</v>
      </c>
      <c r="AX105" s="54">
        <f>G105*AP105</f>
        <v>0</v>
      </c>
      <c r="AY105" s="56" t="s">
        <v>326</v>
      </c>
      <c r="AZ105" s="56" t="s">
        <v>259</v>
      </c>
      <c r="BA105" s="34" t="s">
        <v>114</v>
      </c>
      <c r="BC105" s="54">
        <f>AW105+AX105</f>
        <v>0</v>
      </c>
      <c r="BD105" s="54">
        <f>H105/(100-BE105)*100</f>
        <v>0</v>
      </c>
      <c r="BE105" s="54">
        <v>0</v>
      </c>
      <c r="BF105" s="54">
        <f>L105</f>
        <v>1.170288</v>
      </c>
      <c r="BH105" s="54">
        <f>G105*AO105</f>
        <v>0</v>
      </c>
      <c r="BI105" s="54">
        <f>G105*AP105</f>
        <v>0</v>
      </c>
      <c r="BJ105" s="54">
        <f>G105*H105</f>
        <v>0</v>
      </c>
      <c r="BK105" s="54"/>
      <c r="BL105" s="54">
        <v>63</v>
      </c>
      <c r="BW105" s="54">
        <v>21</v>
      </c>
      <c r="BX105" s="3" t="s">
        <v>333</v>
      </c>
    </row>
    <row r="106" spans="1:76" ht="14.5" x14ac:dyDescent="0.35">
      <c r="A106" s="57"/>
      <c r="D106" s="58" t="s">
        <v>208</v>
      </c>
      <c r="E106" s="59" t="s">
        <v>335</v>
      </c>
      <c r="G106" s="60">
        <v>0</v>
      </c>
      <c r="M106" s="61"/>
    </row>
    <row r="107" spans="1:76" ht="14.5" x14ac:dyDescent="0.35">
      <c r="A107" s="57"/>
      <c r="D107" s="58" t="s">
        <v>336</v>
      </c>
      <c r="E107" s="59" t="s">
        <v>337</v>
      </c>
      <c r="G107" s="60">
        <v>22.54</v>
      </c>
      <c r="M107" s="61"/>
    </row>
    <row r="108" spans="1:76" ht="14.5" x14ac:dyDescent="0.35">
      <c r="A108" s="57"/>
      <c r="D108" s="58" t="s">
        <v>338</v>
      </c>
      <c r="E108" s="59" t="s">
        <v>339</v>
      </c>
      <c r="G108" s="60">
        <v>17.23</v>
      </c>
      <c r="M108" s="61"/>
    </row>
    <row r="109" spans="1:76" ht="14.5" x14ac:dyDescent="0.35">
      <c r="A109" s="57"/>
      <c r="D109" s="58" t="s">
        <v>341</v>
      </c>
      <c r="E109" s="59" t="s">
        <v>342</v>
      </c>
      <c r="G109" s="60">
        <v>1.51</v>
      </c>
      <c r="M109" s="61"/>
    </row>
    <row r="110" spans="1:76" ht="14.5" x14ac:dyDescent="0.35">
      <c r="A110" s="50" t="s">
        <v>10</v>
      </c>
      <c r="B110" s="51" t="s">
        <v>103</v>
      </c>
      <c r="C110" s="51" t="s">
        <v>343</v>
      </c>
      <c r="D110" s="206" t="s">
        <v>344</v>
      </c>
      <c r="E110" s="207"/>
      <c r="F110" s="52" t="s">
        <v>84</v>
      </c>
      <c r="G110" s="52" t="s">
        <v>84</v>
      </c>
      <c r="H110" s="83" t="s">
        <v>84</v>
      </c>
      <c r="I110" s="27">
        <f>SUM(I111:I115)</f>
        <v>0</v>
      </c>
      <c r="J110" s="34" t="s">
        <v>10</v>
      </c>
      <c r="K110" s="34" t="s">
        <v>10</v>
      </c>
      <c r="L110" s="27">
        <f>SUM(L111:L115)</f>
        <v>1.50576</v>
      </c>
      <c r="M110" s="53" t="s">
        <v>10</v>
      </c>
      <c r="AI110" s="34" t="s">
        <v>103</v>
      </c>
      <c r="AS110" s="27">
        <f>SUM(AJ111:AJ115)</f>
        <v>0</v>
      </c>
      <c r="AT110" s="27">
        <f>SUM(AK111:AK115)</f>
        <v>0</v>
      </c>
      <c r="AU110" s="27">
        <f>SUM(AL111:AL115)</f>
        <v>0</v>
      </c>
    </row>
    <row r="111" spans="1:76" ht="14.5" x14ac:dyDescent="0.35">
      <c r="A111" s="1" t="s">
        <v>345</v>
      </c>
      <c r="B111" s="2" t="s">
        <v>103</v>
      </c>
      <c r="C111" s="2" t="s">
        <v>346</v>
      </c>
      <c r="D111" s="155" t="s">
        <v>347</v>
      </c>
      <c r="E111" s="153"/>
      <c r="F111" s="2" t="s">
        <v>196</v>
      </c>
      <c r="G111" s="54">
        <v>24</v>
      </c>
      <c r="H111" s="84">
        <v>0</v>
      </c>
      <c r="I111" s="54">
        <f>G111*H111</f>
        <v>0</v>
      </c>
      <c r="J111" s="54">
        <v>3.1269999999999999E-2</v>
      </c>
      <c r="K111" s="54">
        <v>0</v>
      </c>
      <c r="L111" s="54">
        <f>G111*J111</f>
        <v>0.75048000000000004</v>
      </c>
      <c r="M111" s="55" t="s">
        <v>111</v>
      </c>
      <c r="Z111" s="54">
        <f>IF(AQ111="5",BJ111,0)</f>
        <v>0</v>
      </c>
      <c r="AB111" s="54">
        <f>IF(AQ111="1",BH111,0)</f>
        <v>0</v>
      </c>
      <c r="AC111" s="54">
        <f>IF(AQ111="1",BI111,0)</f>
        <v>0</v>
      </c>
      <c r="AD111" s="54">
        <f>IF(AQ111="7",BH111,0)</f>
        <v>0</v>
      </c>
      <c r="AE111" s="54">
        <f>IF(AQ111="7",BI111,0)</f>
        <v>0</v>
      </c>
      <c r="AF111" s="54">
        <f>IF(AQ111="2",BH111,0)</f>
        <v>0</v>
      </c>
      <c r="AG111" s="54">
        <f>IF(AQ111="2",BI111,0)</f>
        <v>0</v>
      </c>
      <c r="AH111" s="54">
        <f>IF(AQ111="0",BJ111,0)</f>
        <v>0</v>
      </c>
      <c r="AI111" s="34" t="s">
        <v>103</v>
      </c>
      <c r="AJ111" s="54">
        <f>IF(AN111=0,I111,0)</f>
        <v>0</v>
      </c>
      <c r="AK111" s="54">
        <f>IF(AN111=12,I111,0)</f>
        <v>0</v>
      </c>
      <c r="AL111" s="54">
        <f>IF(AN111=21,I111,0)</f>
        <v>0</v>
      </c>
      <c r="AN111" s="54">
        <v>21</v>
      </c>
      <c r="AO111" s="54">
        <f>H111*0.617040404</f>
        <v>0</v>
      </c>
      <c r="AP111" s="54">
        <f>H111*(1-0.617040404)</f>
        <v>0</v>
      </c>
      <c r="AQ111" s="56" t="s">
        <v>107</v>
      </c>
      <c r="AV111" s="54">
        <f>AW111+AX111</f>
        <v>0</v>
      </c>
      <c r="AW111" s="54">
        <f>G111*AO111</f>
        <v>0</v>
      </c>
      <c r="AX111" s="54">
        <f>G111*AP111</f>
        <v>0</v>
      </c>
      <c r="AY111" s="56" t="s">
        <v>348</v>
      </c>
      <c r="AZ111" s="56" t="s">
        <v>259</v>
      </c>
      <c r="BA111" s="34" t="s">
        <v>114</v>
      </c>
      <c r="BC111" s="54">
        <f>AW111+AX111</f>
        <v>0</v>
      </c>
      <c r="BD111" s="54">
        <f>H111/(100-BE111)*100</f>
        <v>0</v>
      </c>
      <c r="BE111" s="54">
        <v>0</v>
      </c>
      <c r="BF111" s="54">
        <f>L111</f>
        <v>0.75048000000000004</v>
      </c>
      <c r="BH111" s="54">
        <f>G111*AO111</f>
        <v>0</v>
      </c>
      <c r="BI111" s="54">
        <f>G111*AP111</f>
        <v>0</v>
      </c>
      <c r="BJ111" s="54">
        <f>G111*H111</f>
        <v>0</v>
      </c>
      <c r="BK111" s="54"/>
      <c r="BL111" s="54">
        <v>64</v>
      </c>
      <c r="BW111" s="54">
        <v>21</v>
      </c>
      <c r="BX111" s="3" t="s">
        <v>347</v>
      </c>
    </row>
    <row r="112" spans="1:76" ht="14.5" x14ac:dyDescent="0.35">
      <c r="A112" s="57"/>
      <c r="D112" s="58" t="s">
        <v>208</v>
      </c>
      <c r="E112" s="59" t="s">
        <v>350</v>
      </c>
      <c r="G112" s="60">
        <v>0</v>
      </c>
      <c r="M112" s="61"/>
    </row>
    <row r="113" spans="1:76" ht="14.5" x14ac:dyDescent="0.35">
      <c r="A113" s="57"/>
      <c r="D113" s="58" t="s">
        <v>351</v>
      </c>
      <c r="E113" s="59" t="s">
        <v>352</v>
      </c>
      <c r="G113" s="60">
        <v>13</v>
      </c>
      <c r="M113" s="61"/>
    </row>
    <row r="114" spans="1:76" ht="14.5" x14ac:dyDescent="0.35">
      <c r="A114" s="57"/>
      <c r="D114" s="58" t="s">
        <v>354</v>
      </c>
      <c r="E114" s="59" t="s">
        <v>355</v>
      </c>
      <c r="G114" s="60">
        <v>11</v>
      </c>
      <c r="M114" s="61"/>
    </row>
    <row r="115" spans="1:76" ht="14.5" x14ac:dyDescent="0.35">
      <c r="A115" s="1" t="s">
        <v>356</v>
      </c>
      <c r="B115" s="2" t="s">
        <v>103</v>
      </c>
      <c r="C115" s="2" t="s">
        <v>357</v>
      </c>
      <c r="D115" s="155" t="s">
        <v>347</v>
      </c>
      <c r="E115" s="153"/>
      <c r="F115" s="2" t="s">
        <v>196</v>
      </c>
      <c r="G115" s="54">
        <v>24</v>
      </c>
      <c r="H115" s="84">
        <v>0</v>
      </c>
      <c r="I115" s="54">
        <f>G115*H115</f>
        <v>0</v>
      </c>
      <c r="J115" s="54">
        <v>3.1469999999999998E-2</v>
      </c>
      <c r="K115" s="54">
        <v>0</v>
      </c>
      <c r="L115" s="54">
        <f>G115*J115</f>
        <v>0.75527999999999995</v>
      </c>
      <c r="M115" s="55" t="s">
        <v>111</v>
      </c>
      <c r="Z115" s="54">
        <f>IF(AQ115="5",BJ115,0)</f>
        <v>0</v>
      </c>
      <c r="AB115" s="54">
        <f>IF(AQ115="1",BH115,0)</f>
        <v>0</v>
      </c>
      <c r="AC115" s="54">
        <f>IF(AQ115="1",BI115,0)</f>
        <v>0</v>
      </c>
      <c r="AD115" s="54">
        <f>IF(AQ115="7",BH115,0)</f>
        <v>0</v>
      </c>
      <c r="AE115" s="54">
        <f>IF(AQ115="7",BI115,0)</f>
        <v>0</v>
      </c>
      <c r="AF115" s="54">
        <f>IF(AQ115="2",BH115,0)</f>
        <v>0</v>
      </c>
      <c r="AG115" s="54">
        <f>IF(AQ115="2",BI115,0)</f>
        <v>0</v>
      </c>
      <c r="AH115" s="54">
        <f>IF(AQ115="0",BJ115,0)</f>
        <v>0</v>
      </c>
      <c r="AI115" s="34" t="s">
        <v>103</v>
      </c>
      <c r="AJ115" s="54">
        <f>IF(AN115=0,I115,0)</f>
        <v>0</v>
      </c>
      <c r="AK115" s="54">
        <f>IF(AN115=12,I115,0)</f>
        <v>0</v>
      </c>
      <c r="AL115" s="54">
        <f>IF(AN115=21,I115,0)</f>
        <v>0</v>
      </c>
      <c r="AN115" s="54">
        <v>21</v>
      </c>
      <c r="AO115" s="54">
        <f>H115*0.62087</f>
        <v>0</v>
      </c>
      <c r="AP115" s="54">
        <f>H115*(1-0.62087)</f>
        <v>0</v>
      </c>
      <c r="AQ115" s="56" t="s">
        <v>107</v>
      </c>
      <c r="AV115" s="54">
        <f>AW115+AX115</f>
        <v>0</v>
      </c>
      <c r="AW115" s="54">
        <f>G115*AO115</f>
        <v>0</v>
      </c>
      <c r="AX115" s="54">
        <f>G115*AP115</f>
        <v>0</v>
      </c>
      <c r="AY115" s="56" t="s">
        <v>348</v>
      </c>
      <c r="AZ115" s="56" t="s">
        <v>259</v>
      </c>
      <c r="BA115" s="34" t="s">
        <v>114</v>
      </c>
      <c r="BC115" s="54">
        <f>AW115+AX115</f>
        <v>0</v>
      </c>
      <c r="BD115" s="54">
        <f>H115/(100-BE115)*100</f>
        <v>0</v>
      </c>
      <c r="BE115" s="54">
        <v>0</v>
      </c>
      <c r="BF115" s="54">
        <f>L115</f>
        <v>0.75527999999999995</v>
      </c>
      <c r="BH115" s="54">
        <f>G115*AO115</f>
        <v>0</v>
      </c>
      <c r="BI115" s="54">
        <f>G115*AP115</f>
        <v>0</v>
      </c>
      <c r="BJ115" s="54">
        <f>G115*H115</f>
        <v>0</v>
      </c>
      <c r="BK115" s="54"/>
      <c r="BL115" s="54">
        <v>64</v>
      </c>
      <c r="BW115" s="54">
        <v>21</v>
      </c>
      <c r="BX115" s="3" t="s">
        <v>347</v>
      </c>
    </row>
    <row r="116" spans="1:76" ht="14.5" x14ac:dyDescent="0.35">
      <c r="A116" s="57"/>
      <c r="D116" s="58" t="s">
        <v>208</v>
      </c>
      <c r="E116" s="59" t="s">
        <v>350</v>
      </c>
      <c r="G116" s="60">
        <v>0</v>
      </c>
      <c r="M116" s="61"/>
    </row>
    <row r="117" spans="1:76" ht="14.5" x14ac:dyDescent="0.35">
      <c r="A117" s="57"/>
      <c r="D117" s="58" t="s">
        <v>351</v>
      </c>
      <c r="E117" s="59" t="s">
        <v>359</v>
      </c>
      <c r="G117" s="60">
        <v>13</v>
      </c>
      <c r="M117" s="61"/>
    </row>
    <row r="118" spans="1:76" ht="14.5" x14ac:dyDescent="0.35">
      <c r="A118" s="57"/>
      <c r="D118" s="58" t="s">
        <v>354</v>
      </c>
      <c r="E118" s="59" t="s">
        <v>360</v>
      </c>
      <c r="G118" s="60">
        <v>11</v>
      </c>
      <c r="M118" s="61"/>
    </row>
    <row r="119" spans="1:76" ht="14.5" x14ac:dyDescent="0.35">
      <c r="A119" s="50" t="s">
        <v>10</v>
      </c>
      <c r="B119" s="51" t="s">
        <v>103</v>
      </c>
      <c r="C119" s="51" t="s">
        <v>361</v>
      </c>
      <c r="D119" s="206" t="s">
        <v>362</v>
      </c>
      <c r="E119" s="207"/>
      <c r="F119" s="52" t="s">
        <v>84</v>
      </c>
      <c r="G119" s="52" t="s">
        <v>84</v>
      </c>
      <c r="H119" s="83" t="s">
        <v>84</v>
      </c>
      <c r="I119" s="27">
        <f>SUM(I120:I138)</f>
        <v>0</v>
      </c>
      <c r="J119" s="34" t="s">
        <v>10</v>
      </c>
      <c r="K119" s="34" t="s">
        <v>10</v>
      </c>
      <c r="L119" s="27">
        <f>SUM(L120:L138)</f>
        <v>1.0591094400000001</v>
      </c>
      <c r="M119" s="53" t="s">
        <v>10</v>
      </c>
      <c r="AI119" s="34" t="s">
        <v>103</v>
      </c>
      <c r="AS119" s="27">
        <f>SUM(AJ120:AJ138)</f>
        <v>0</v>
      </c>
      <c r="AT119" s="27">
        <f>SUM(AK120:AK138)</f>
        <v>0</v>
      </c>
      <c r="AU119" s="27">
        <f>SUM(AL120:AL138)</f>
        <v>0</v>
      </c>
    </row>
    <row r="120" spans="1:76" ht="14.5" x14ac:dyDescent="0.35">
      <c r="A120" s="1" t="s">
        <v>363</v>
      </c>
      <c r="B120" s="2" t="s">
        <v>103</v>
      </c>
      <c r="C120" s="2" t="s">
        <v>364</v>
      </c>
      <c r="D120" s="155" t="s">
        <v>365</v>
      </c>
      <c r="E120" s="153"/>
      <c r="F120" s="2" t="s">
        <v>110</v>
      </c>
      <c r="G120" s="54">
        <v>85.248000000000005</v>
      </c>
      <c r="H120" s="84">
        <v>0</v>
      </c>
      <c r="I120" s="54">
        <f>G120*H120</f>
        <v>0</v>
      </c>
      <c r="J120" s="54">
        <v>3.7799999999999999E-3</v>
      </c>
      <c r="K120" s="54">
        <v>0</v>
      </c>
      <c r="L120" s="54">
        <f>G120*J120</f>
        <v>0.32223743999999999</v>
      </c>
      <c r="M120" s="55" t="s">
        <v>111</v>
      </c>
      <c r="Z120" s="54">
        <f>IF(AQ120="5",BJ120,0)</f>
        <v>0</v>
      </c>
      <c r="AB120" s="54">
        <f>IF(AQ120="1",BH120,0)</f>
        <v>0</v>
      </c>
      <c r="AC120" s="54">
        <f>IF(AQ120="1",BI120,0)</f>
        <v>0</v>
      </c>
      <c r="AD120" s="54">
        <f>IF(AQ120="7",BH120,0)</f>
        <v>0</v>
      </c>
      <c r="AE120" s="54">
        <f>IF(AQ120="7",BI120,0)</f>
        <v>0</v>
      </c>
      <c r="AF120" s="54">
        <f>IF(AQ120="2",BH120,0)</f>
        <v>0</v>
      </c>
      <c r="AG120" s="54">
        <f>IF(AQ120="2",BI120,0)</f>
        <v>0</v>
      </c>
      <c r="AH120" s="54">
        <f>IF(AQ120="0",BJ120,0)</f>
        <v>0</v>
      </c>
      <c r="AI120" s="34" t="s">
        <v>103</v>
      </c>
      <c r="AJ120" s="54">
        <f>IF(AN120=0,I120,0)</f>
        <v>0</v>
      </c>
      <c r="AK120" s="54">
        <f>IF(AN120=12,I120,0)</f>
        <v>0</v>
      </c>
      <c r="AL120" s="54">
        <f>IF(AN120=21,I120,0)</f>
        <v>0</v>
      </c>
      <c r="AN120" s="54">
        <v>21</v>
      </c>
      <c r="AO120" s="54">
        <f>H120*0.668423021</f>
        <v>0</v>
      </c>
      <c r="AP120" s="54">
        <f>H120*(1-0.668423021)</f>
        <v>0</v>
      </c>
      <c r="AQ120" s="56" t="s">
        <v>168</v>
      </c>
      <c r="AV120" s="54">
        <f>AW120+AX120</f>
        <v>0</v>
      </c>
      <c r="AW120" s="54">
        <f>G120*AO120</f>
        <v>0</v>
      </c>
      <c r="AX120" s="54">
        <f>G120*AP120</f>
        <v>0</v>
      </c>
      <c r="AY120" s="56" t="s">
        <v>366</v>
      </c>
      <c r="AZ120" s="56" t="s">
        <v>367</v>
      </c>
      <c r="BA120" s="34" t="s">
        <v>114</v>
      </c>
      <c r="BC120" s="54">
        <f>AW120+AX120</f>
        <v>0</v>
      </c>
      <c r="BD120" s="54">
        <f>H120/(100-BE120)*100</f>
        <v>0</v>
      </c>
      <c r="BE120" s="54">
        <v>0</v>
      </c>
      <c r="BF120" s="54">
        <f>L120</f>
        <v>0.32223743999999999</v>
      </c>
      <c r="BH120" s="54">
        <f>G120*AO120</f>
        <v>0</v>
      </c>
      <c r="BI120" s="54">
        <f>G120*AP120</f>
        <v>0</v>
      </c>
      <c r="BJ120" s="54">
        <f>G120*H120</f>
        <v>0</v>
      </c>
      <c r="BK120" s="54"/>
      <c r="BL120" s="54">
        <v>711</v>
      </c>
      <c r="BW120" s="54">
        <v>21</v>
      </c>
      <c r="BX120" s="3" t="s">
        <v>365</v>
      </c>
    </row>
    <row r="121" spans="1:76" ht="14.5" x14ac:dyDescent="0.35">
      <c r="A121" s="57"/>
      <c r="D121" s="58" t="s">
        <v>208</v>
      </c>
      <c r="E121" s="59" t="s">
        <v>369</v>
      </c>
      <c r="G121" s="60">
        <v>0</v>
      </c>
      <c r="M121" s="61"/>
    </row>
    <row r="122" spans="1:76" ht="14.5" x14ac:dyDescent="0.35">
      <c r="A122" s="57"/>
      <c r="D122" s="58" t="s">
        <v>370</v>
      </c>
      <c r="E122" s="59" t="s">
        <v>371</v>
      </c>
      <c r="G122" s="60">
        <v>22.058</v>
      </c>
      <c r="M122" s="61"/>
    </row>
    <row r="123" spans="1:76" ht="14.5" x14ac:dyDescent="0.35">
      <c r="A123" s="57"/>
      <c r="D123" s="58" t="s">
        <v>329</v>
      </c>
      <c r="E123" s="59" t="s">
        <v>372</v>
      </c>
      <c r="G123" s="60">
        <v>61.68</v>
      </c>
      <c r="M123" s="61"/>
    </row>
    <row r="124" spans="1:76" ht="14.5" x14ac:dyDescent="0.35">
      <c r="A124" s="57"/>
      <c r="D124" s="58" t="s">
        <v>341</v>
      </c>
      <c r="E124" s="59" t="s">
        <v>373</v>
      </c>
      <c r="G124" s="60">
        <v>1.51</v>
      </c>
      <c r="M124" s="61"/>
    </row>
    <row r="125" spans="1:76" ht="14.5" x14ac:dyDescent="0.35">
      <c r="A125" s="1" t="s">
        <v>374</v>
      </c>
      <c r="B125" s="2" t="s">
        <v>103</v>
      </c>
      <c r="C125" s="2" t="s">
        <v>375</v>
      </c>
      <c r="D125" s="155" t="s">
        <v>376</v>
      </c>
      <c r="E125" s="153"/>
      <c r="F125" s="2" t="s">
        <v>110</v>
      </c>
      <c r="G125" s="54">
        <v>192.13200000000001</v>
      </c>
      <c r="H125" s="84">
        <v>0</v>
      </c>
      <c r="I125" s="54">
        <f>G125*H125</f>
        <v>0</v>
      </c>
      <c r="J125" s="54">
        <v>3.3999999999999998E-3</v>
      </c>
      <c r="K125" s="54">
        <v>0</v>
      </c>
      <c r="L125" s="54">
        <f>G125*J125</f>
        <v>0.65324879999999996</v>
      </c>
      <c r="M125" s="55" t="s">
        <v>111</v>
      </c>
      <c r="Z125" s="54">
        <f>IF(AQ125="5",BJ125,0)</f>
        <v>0</v>
      </c>
      <c r="AB125" s="54">
        <f>IF(AQ125="1",BH125,0)</f>
        <v>0</v>
      </c>
      <c r="AC125" s="54">
        <f>IF(AQ125="1",BI125,0)</f>
        <v>0</v>
      </c>
      <c r="AD125" s="54">
        <f>IF(AQ125="7",BH125,0)</f>
        <v>0</v>
      </c>
      <c r="AE125" s="54">
        <f>IF(AQ125="7",BI125,0)</f>
        <v>0</v>
      </c>
      <c r="AF125" s="54">
        <f>IF(AQ125="2",BH125,0)</f>
        <v>0</v>
      </c>
      <c r="AG125" s="54">
        <f>IF(AQ125="2",BI125,0)</f>
        <v>0</v>
      </c>
      <c r="AH125" s="54">
        <f>IF(AQ125="0",BJ125,0)</f>
        <v>0</v>
      </c>
      <c r="AI125" s="34" t="s">
        <v>103</v>
      </c>
      <c r="AJ125" s="54">
        <f>IF(AN125=0,I125,0)</f>
        <v>0</v>
      </c>
      <c r="AK125" s="54">
        <f>IF(AN125=12,I125,0)</f>
        <v>0</v>
      </c>
      <c r="AL125" s="54">
        <f>IF(AN125=21,I125,0)</f>
        <v>0</v>
      </c>
      <c r="AN125" s="54">
        <v>21</v>
      </c>
      <c r="AO125" s="54">
        <f>H125*0.637914211</f>
        <v>0</v>
      </c>
      <c r="AP125" s="54">
        <f>H125*(1-0.637914211)</f>
        <v>0</v>
      </c>
      <c r="AQ125" s="56" t="s">
        <v>168</v>
      </c>
      <c r="AV125" s="54">
        <f>AW125+AX125</f>
        <v>0</v>
      </c>
      <c r="AW125" s="54">
        <f>G125*AO125</f>
        <v>0</v>
      </c>
      <c r="AX125" s="54">
        <f>G125*AP125</f>
        <v>0</v>
      </c>
      <c r="AY125" s="56" t="s">
        <v>366</v>
      </c>
      <c r="AZ125" s="56" t="s">
        <v>367</v>
      </c>
      <c r="BA125" s="34" t="s">
        <v>114</v>
      </c>
      <c r="BC125" s="54">
        <f>AW125+AX125</f>
        <v>0</v>
      </c>
      <c r="BD125" s="54">
        <f>H125/(100-BE125)*100</f>
        <v>0</v>
      </c>
      <c r="BE125" s="54">
        <v>0</v>
      </c>
      <c r="BF125" s="54">
        <f>L125</f>
        <v>0.65324879999999996</v>
      </c>
      <c r="BH125" s="54">
        <f>G125*AO125</f>
        <v>0</v>
      </c>
      <c r="BI125" s="54">
        <f>G125*AP125</f>
        <v>0</v>
      </c>
      <c r="BJ125" s="54">
        <f>G125*H125</f>
        <v>0</v>
      </c>
      <c r="BK125" s="54"/>
      <c r="BL125" s="54">
        <v>711</v>
      </c>
      <c r="BW125" s="54">
        <v>21</v>
      </c>
      <c r="BX125" s="3" t="s">
        <v>376</v>
      </c>
    </row>
    <row r="126" spans="1:76" ht="14.5" x14ac:dyDescent="0.35">
      <c r="A126" s="57"/>
      <c r="D126" s="58" t="s">
        <v>208</v>
      </c>
      <c r="E126" s="59" t="s">
        <v>378</v>
      </c>
      <c r="G126" s="60">
        <v>0</v>
      </c>
      <c r="M126" s="61"/>
    </row>
    <row r="127" spans="1:76" ht="14.5" x14ac:dyDescent="0.35">
      <c r="A127" s="57"/>
      <c r="D127" s="58" t="s">
        <v>379</v>
      </c>
      <c r="E127" s="59" t="s">
        <v>380</v>
      </c>
      <c r="G127" s="60">
        <v>169.8</v>
      </c>
      <c r="M127" s="61"/>
    </row>
    <row r="128" spans="1:76" ht="14.5" x14ac:dyDescent="0.35">
      <c r="A128" s="57"/>
      <c r="D128" s="58" t="s">
        <v>381</v>
      </c>
      <c r="E128" s="59" t="s">
        <v>382</v>
      </c>
      <c r="G128" s="60">
        <v>4.8</v>
      </c>
      <c r="M128" s="61"/>
    </row>
    <row r="129" spans="1:76" ht="14.5" x14ac:dyDescent="0.35">
      <c r="A129" s="57"/>
      <c r="D129" s="58" t="s">
        <v>383</v>
      </c>
      <c r="E129" s="59" t="s">
        <v>384</v>
      </c>
      <c r="G129" s="60">
        <v>16.271999999999998</v>
      </c>
      <c r="M129" s="61"/>
    </row>
    <row r="130" spans="1:76" ht="14.5" x14ac:dyDescent="0.35">
      <c r="A130" s="57"/>
      <c r="D130" s="58" t="s">
        <v>385</v>
      </c>
      <c r="E130" s="59" t="s">
        <v>386</v>
      </c>
      <c r="G130" s="60">
        <v>1.26</v>
      </c>
      <c r="M130" s="61"/>
    </row>
    <row r="131" spans="1:76" ht="14.5" x14ac:dyDescent="0.35">
      <c r="A131" s="1" t="s">
        <v>388</v>
      </c>
      <c r="B131" s="2" t="s">
        <v>103</v>
      </c>
      <c r="C131" s="2" t="s">
        <v>389</v>
      </c>
      <c r="D131" s="155" t="s">
        <v>390</v>
      </c>
      <c r="E131" s="153"/>
      <c r="F131" s="2" t="s">
        <v>153</v>
      </c>
      <c r="G131" s="54">
        <v>148.08000000000001</v>
      </c>
      <c r="H131" s="84">
        <v>0</v>
      </c>
      <c r="I131" s="54">
        <f>G131*H131</f>
        <v>0</v>
      </c>
      <c r="J131" s="54">
        <v>2.9E-4</v>
      </c>
      <c r="K131" s="54">
        <v>0</v>
      </c>
      <c r="L131" s="54">
        <f>G131*J131</f>
        <v>4.2943200000000001E-2</v>
      </c>
      <c r="M131" s="55" t="s">
        <v>111</v>
      </c>
      <c r="Z131" s="54">
        <f>IF(AQ131="5",BJ131,0)</f>
        <v>0</v>
      </c>
      <c r="AB131" s="54">
        <f>IF(AQ131="1",BH131,0)</f>
        <v>0</v>
      </c>
      <c r="AC131" s="54">
        <f>IF(AQ131="1",BI131,0)</f>
        <v>0</v>
      </c>
      <c r="AD131" s="54">
        <f>IF(AQ131="7",BH131,0)</f>
        <v>0</v>
      </c>
      <c r="AE131" s="54">
        <f>IF(AQ131="7",BI131,0)</f>
        <v>0</v>
      </c>
      <c r="AF131" s="54">
        <f>IF(AQ131="2",BH131,0)</f>
        <v>0</v>
      </c>
      <c r="AG131" s="54">
        <f>IF(AQ131="2",BI131,0)</f>
        <v>0</v>
      </c>
      <c r="AH131" s="54">
        <f>IF(AQ131="0",BJ131,0)</f>
        <v>0</v>
      </c>
      <c r="AI131" s="34" t="s">
        <v>103</v>
      </c>
      <c r="AJ131" s="54">
        <f>IF(AN131=0,I131,0)</f>
        <v>0</v>
      </c>
      <c r="AK131" s="54">
        <f>IF(AN131=12,I131,0)</f>
        <v>0</v>
      </c>
      <c r="AL131" s="54">
        <f>IF(AN131=21,I131,0)</f>
        <v>0</v>
      </c>
      <c r="AN131" s="54">
        <v>21</v>
      </c>
      <c r="AO131" s="54">
        <f>H131*0.666968257</f>
        <v>0</v>
      </c>
      <c r="AP131" s="54">
        <f>H131*(1-0.666968257)</f>
        <v>0</v>
      </c>
      <c r="AQ131" s="56" t="s">
        <v>168</v>
      </c>
      <c r="AV131" s="54">
        <f>AW131+AX131</f>
        <v>0</v>
      </c>
      <c r="AW131" s="54">
        <f>G131*AO131</f>
        <v>0</v>
      </c>
      <c r="AX131" s="54">
        <f>G131*AP131</f>
        <v>0</v>
      </c>
      <c r="AY131" s="56" t="s">
        <v>366</v>
      </c>
      <c r="AZ131" s="56" t="s">
        <v>367</v>
      </c>
      <c r="BA131" s="34" t="s">
        <v>114</v>
      </c>
      <c r="BC131" s="54">
        <f>AW131+AX131</f>
        <v>0</v>
      </c>
      <c r="BD131" s="54">
        <f>H131/(100-BE131)*100</f>
        <v>0</v>
      </c>
      <c r="BE131" s="54">
        <v>0</v>
      </c>
      <c r="BF131" s="54">
        <f>L131</f>
        <v>4.2943200000000001E-2</v>
      </c>
      <c r="BH131" s="54">
        <f>G131*AO131</f>
        <v>0</v>
      </c>
      <c r="BI131" s="54">
        <f>G131*AP131</f>
        <v>0</v>
      </c>
      <c r="BJ131" s="54">
        <f>G131*H131</f>
        <v>0</v>
      </c>
      <c r="BK131" s="54"/>
      <c r="BL131" s="54">
        <v>711</v>
      </c>
      <c r="BW131" s="54">
        <v>21</v>
      </c>
      <c r="BX131" s="3" t="s">
        <v>390</v>
      </c>
    </row>
    <row r="132" spans="1:76" ht="14.5" x14ac:dyDescent="0.35">
      <c r="A132" s="57"/>
      <c r="D132" s="58" t="s">
        <v>392</v>
      </c>
      <c r="E132" s="59" t="s">
        <v>393</v>
      </c>
      <c r="G132" s="60">
        <v>167.28</v>
      </c>
      <c r="M132" s="61"/>
    </row>
    <row r="133" spans="1:76" ht="14.5" x14ac:dyDescent="0.35">
      <c r="A133" s="57"/>
      <c r="D133" s="58" t="s">
        <v>394</v>
      </c>
      <c r="E133" s="59" t="s">
        <v>395</v>
      </c>
      <c r="G133" s="60">
        <v>-19.2</v>
      </c>
      <c r="M133" s="61"/>
    </row>
    <row r="134" spans="1:76" ht="14.5" x14ac:dyDescent="0.35">
      <c r="A134" s="1" t="s">
        <v>397</v>
      </c>
      <c r="B134" s="2" t="s">
        <v>103</v>
      </c>
      <c r="C134" s="2" t="s">
        <v>398</v>
      </c>
      <c r="D134" s="155" t="s">
        <v>399</v>
      </c>
      <c r="E134" s="153"/>
      <c r="F134" s="2" t="s">
        <v>153</v>
      </c>
      <c r="G134" s="54">
        <v>108</v>
      </c>
      <c r="H134" s="84">
        <v>0</v>
      </c>
      <c r="I134" s="54">
        <f>G134*H134</f>
        <v>0</v>
      </c>
      <c r="J134" s="54">
        <v>2.9E-4</v>
      </c>
      <c r="K134" s="54">
        <v>0</v>
      </c>
      <c r="L134" s="54">
        <f>G134*J134</f>
        <v>3.1320000000000001E-2</v>
      </c>
      <c r="M134" s="55" t="s">
        <v>111</v>
      </c>
      <c r="Z134" s="54">
        <f>IF(AQ134="5",BJ134,0)</f>
        <v>0</v>
      </c>
      <c r="AB134" s="54">
        <f>IF(AQ134="1",BH134,0)</f>
        <v>0</v>
      </c>
      <c r="AC134" s="54">
        <f>IF(AQ134="1",BI134,0)</f>
        <v>0</v>
      </c>
      <c r="AD134" s="54">
        <f>IF(AQ134="7",BH134,0)</f>
        <v>0</v>
      </c>
      <c r="AE134" s="54">
        <f>IF(AQ134="7",BI134,0)</f>
        <v>0</v>
      </c>
      <c r="AF134" s="54">
        <f>IF(AQ134="2",BH134,0)</f>
        <v>0</v>
      </c>
      <c r="AG134" s="54">
        <f>IF(AQ134="2",BI134,0)</f>
        <v>0</v>
      </c>
      <c r="AH134" s="54">
        <f>IF(AQ134="0",BJ134,0)</f>
        <v>0</v>
      </c>
      <c r="AI134" s="34" t="s">
        <v>103</v>
      </c>
      <c r="AJ134" s="54">
        <f>IF(AN134=0,I134,0)</f>
        <v>0</v>
      </c>
      <c r="AK134" s="54">
        <f>IF(AN134=12,I134,0)</f>
        <v>0</v>
      </c>
      <c r="AL134" s="54">
        <f>IF(AN134=21,I134,0)</f>
        <v>0</v>
      </c>
      <c r="AN134" s="54">
        <v>21</v>
      </c>
      <c r="AO134" s="54">
        <f>H134*0.611310044</f>
        <v>0</v>
      </c>
      <c r="AP134" s="54">
        <f>H134*(1-0.611310044)</f>
        <v>0</v>
      </c>
      <c r="AQ134" s="56" t="s">
        <v>168</v>
      </c>
      <c r="AV134" s="54">
        <f>AW134+AX134</f>
        <v>0</v>
      </c>
      <c r="AW134" s="54">
        <f>G134*AO134</f>
        <v>0</v>
      </c>
      <c r="AX134" s="54">
        <f>G134*AP134</f>
        <v>0</v>
      </c>
      <c r="AY134" s="56" t="s">
        <v>366</v>
      </c>
      <c r="AZ134" s="56" t="s">
        <v>367</v>
      </c>
      <c r="BA134" s="34" t="s">
        <v>114</v>
      </c>
      <c r="BC134" s="54">
        <f>AW134+AX134</f>
        <v>0</v>
      </c>
      <c r="BD134" s="54">
        <f>H134/(100-BE134)*100</f>
        <v>0</v>
      </c>
      <c r="BE134" s="54">
        <v>0</v>
      </c>
      <c r="BF134" s="54">
        <f>L134</f>
        <v>3.1320000000000001E-2</v>
      </c>
      <c r="BH134" s="54">
        <f>G134*AO134</f>
        <v>0</v>
      </c>
      <c r="BI134" s="54">
        <f>G134*AP134</f>
        <v>0</v>
      </c>
      <c r="BJ134" s="54">
        <f>G134*H134</f>
        <v>0</v>
      </c>
      <c r="BK134" s="54"/>
      <c r="BL134" s="54">
        <v>711</v>
      </c>
      <c r="BW134" s="54">
        <v>21</v>
      </c>
      <c r="BX134" s="3" t="s">
        <v>399</v>
      </c>
    </row>
    <row r="135" spans="1:76" ht="14.5" x14ac:dyDescent="0.35">
      <c r="A135" s="57"/>
      <c r="D135" s="58" t="s">
        <v>400</v>
      </c>
      <c r="E135" s="59" t="s">
        <v>401</v>
      </c>
      <c r="G135" s="60">
        <v>108</v>
      </c>
      <c r="M135" s="61"/>
    </row>
    <row r="136" spans="1:76" ht="14.5" x14ac:dyDescent="0.35">
      <c r="A136" s="1" t="s">
        <v>403</v>
      </c>
      <c r="B136" s="2" t="s">
        <v>103</v>
      </c>
      <c r="C136" s="2" t="s">
        <v>404</v>
      </c>
      <c r="D136" s="155" t="s">
        <v>405</v>
      </c>
      <c r="E136" s="153"/>
      <c r="F136" s="2" t="s">
        <v>196</v>
      </c>
      <c r="G136" s="54">
        <v>24</v>
      </c>
      <c r="H136" s="84">
        <v>0</v>
      </c>
      <c r="I136" s="54">
        <f>G136*H136</f>
        <v>0</v>
      </c>
      <c r="J136" s="54">
        <v>3.8999999999999999E-4</v>
      </c>
      <c r="K136" s="54">
        <v>0</v>
      </c>
      <c r="L136" s="54">
        <f>G136*J136</f>
        <v>9.3600000000000003E-3</v>
      </c>
      <c r="M136" s="55" t="s">
        <v>111</v>
      </c>
      <c r="Z136" s="54">
        <f>IF(AQ136="5",BJ136,0)</f>
        <v>0</v>
      </c>
      <c r="AB136" s="54">
        <f>IF(AQ136="1",BH136,0)</f>
        <v>0</v>
      </c>
      <c r="AC136" s="54">
        <f>IF(AQ136="1",BI136,0)</f>
        <v>0</v>
      </c>
      <c r="AD136" s="54">
        <f>IF(AQ136="7",BH136,0)</f>
        <v>0</v>
      </c>
      <c r="AE136" s="54">
        <f>IF(AQ136="7",BI136,0)</f>
        <v>0</v>
      </c>
      <c r="AF136" s="54">
        <f>IF(AQ136="2",BH136,0)</f>
        <v>0</v>
      </c>
      <c r="AG136" s="54">
        <f>IF(AQ136="2",BI136,0)</f>
        <v>0</v>
      </c>
      <c r="AH136" s="54">
        <f>IF(AQ136="0",BJ136,0)</f>
        <v>0</v>
      </c>
      <c r="AI136" s="34" t="s">
        <v>103</v>
      </c>
      <c r="AJ136" s="54">
        <f>IF(AN136=0,I136,0)</f>
        <v>0</v>
      </c>
      <c r="AK136" s="54">
        <f>IF(AN136=12,I136,0)</f>
        <v>0</v>
      </c>
      <c r="AL136" s="54">
        <f>IF(AN136=21,I136,0)</f>
        <v>0</v>
      </c>
      <c r="AN136" s="54">
        <v>21</v>
      </c>
      <c r="AO136" s="54">
        <f>H136*0.851183355</f>
        <v>0</v>
      </c>
      <c r="AP136" s="54">
        <f>H136*(1-0.851183355)</f>
        <v>0</v>
      </c>
      <c r="AQ136" s="56" t="s">
        <v>168</v>
      </c>
      <c r="AV136" s="54">
        <f>AW136+AX136</f>
        <v>0</v>
      </c>
      <c r="AW136" s="54">
        <f>G136*AO136</f>
        <v>0</v>
      </c>
      <c r="AX136" s="54">
        <f>G136*AP136</f>
        <v>0</v>
      </c>
      <c r="AY136" s="56" t="s">
        <v>366</v>
      </c>
      <c r="AZ136" s="56" t="s">
        <v>367</v>
      </c>
      <c r="BA136" s="34" t="s">
        <v>114</v>
      </c>
      <c r="BC136" s="54">
        <f>AW136+AX136</f>
        <v>0</v>
      </c>
      <c r="BD136" s="54">
        <f>H136/(100-BE136)*100</f>
        <v>0</v>
      </c>
      <c r="BE136" s="54">
        <v>0</v>
      </c>
      <c r="BF136" s="54">
        <f>L136</f>
        <v>9.3600000000000003E-3</v>
      </c>
      <c r="BH136" s="54">
        <f>G136*AO136</f>
        <v>0</v>
      </c>
      <c r="BI136" s="54">
        <f>G136*AP136</f>
        <v>0</v>
      </c>
      <c r="BJ136" s="54">
        <f>G136*H136</f>
        <v>0</v>
      </c>
      <c r="BK136" s="54"/>
      <c r="BL136" s="54">
        <v>711</v>
      </c>
      <c r="BW136" s="54">
        <v>21</v>
      </c>
      <c r="BX136" s="3" t="s">
        <v>405</v>
      </c>
    </row>
    <row r="137" spans="1:76" ht="14.5" x14ac:dyDescent="0.35">
      <c r="A137" s="57"/>
      <c r="D137" s="58" t="s">
        <v>406</v>
      </c>
      <c r="E137" s="59" t="s">
        <v>407</v>
      </c>
      <c r="G137" s="60">
        <v>24</v>
      </c>
      <c r="M137" s="61"/>
    </row>
    <row r="138" spans="1:76" ht="14.5" x14ac:dyDescent="0.35">
      <c r="A138" s="1" t="s">
        <v>409</v>
      </c>
      <c r="B138" s="2" t="s">
        <v>103</v>
      </c>
      <c r="C138" s="2" t="s">
        <v>410</v>
      </c>
      <c r="D138" s="155" t="s">
        <v>411</v>
      </c>
      <c r="E138" s="153"/>
      <c r="F138" s="2" t="s">
        <v>412</v>
      </c>
      <c r="G138" s="54">
        <v>1.0589999999999999</v>
      </c>
      <c r="H138" s="84">
        <v>0</v>
      </c>
      <c r="I138" s="54">
        <f>G138*H138</f>
        <v>0</v>
      </c>
      <c r="J138" s="54">
        <v>0</v>
      </c>
      <c r="K138" s="54">
        <v>0</v>
      </c>
      <c r="L138" s="54">
        <f>G138*J138</f>
        <v>0</v>
      </c>
      <c r="M138" s="55" t="s">
        <v>111</v>
      </c>
      <c r="Z138" s="54">
        <f>IF(AQ138="5",BJ138,0)</f>
        <v>0</v>
      </c>
      <c r="AB138" s="54">
        <f>IF(AQ138="1",BH138,0)</f>
        <v>0</v>
      </c>
      <c r="AC138" s="54">
        <f>IF(AQ138="1",BI138,0)</f>
        <v>0</v>
      </c>
      <c r="AD138" s="54">
        <f>IF(AQ138="7",BH138,0)</f>
        <v>0</v>
      </c>
      <c r="AE138" s="54">
        <f>IF(AQ138="7",BI138,0)</f>
        <v>0</v>
      </c>
      <c r="AF138" s="54">
        <f>IF(AQ138="2",BH138,0)</f>
        <v>0</v>
      </c>
      <c r="AG138" s="54">
        <f>IF(AQ138="2",BI138,0)</f>
        <v>0</v>
      </c>
      <c r="AH138" s="54">
        <f>IF(AQ138="0",BJ138,0)</f>
        <v>0</v>
      </c>
      <c r="AI138" s="34" t="s">
        <v>103</v>
      </c>
      <c r="AJ138" s="54">
        <f>IF(AN138=0,I138,0)</f>
        <v>0</v>
      </c>
      <c r="AK138" s="54">
        <f>IF(AN138=12,I138,0)</f>
        <v>0</v>
      </c>
      <c r="AL138" s="54">
        <f>IF(AN138=21,I138,0)</f>
        <v>0</v>
      </c>
      <c r="AN138" s="54">
        <v>21</v>
      </c>
      <c r="AO138" s="54">
        <f>H138*0</f>
        <v>0</v>
      </c>
      <c r="AP138" s="54">
        <f>H138*(1-0)</f>
        <v>0</v>
      </c>
      <c r="AQ138" s="56" t="s">
        <v>150</v>
      </c>
      <c r="AV138" s="54">
        <f>AW138+AX138</f>
        <v>0</v>
      </c>
      <c r="AW138" s="54">
        <f>G138*AO138</f>
        <v>0</v>
      </c>
      <c r="AX138" s="54">
        <f>G138*AP138</f>
        <v>0</v>
      </c>
      <c r="AY138" s="56" t="s">
        <v>366</v>
      </c>
      <c r="AZ138" s="56" t="s">
        <v>367</v>
      </c>
      <c r="BA138" s="34" t="s">
        <v>114</v>
      </c>
      <c r="BC138" s="54">
        <f>AW138+AX138</f>
        <v>0</v>
      </c>
      <c r="BD138" s="54">
        <f>H138/(100-BE138)*100</f>
        <v>0</v>
      </c>
      <c r="BE138" s="54">
        <v>0</v>
      </c>
      <c r="BF138" s="54">
        <f>L138</f>
        <v>0</v>
      </c>
      <c r="BH138" s="54">
        <f>G138*AO138</f>
        <v>0</v>
      </c>
      <c r="BI138" s="54">
        <f>G138*AP138</f>
        <v>0</v>
      </c>
      <c r="BJ138" s="54">
        <f>G138*H138</f>
        <v>0</v>
      </c>
      <c r="BK138" s="54"/>
      <c r="BL138" s="54">
        <v>711</v>
      </c>
      <c r="BW138" s="54">
        <v>21</v>
      </c>
      <c r="BX138" s="3" t="s">
        <v>411</v>
      </c>
    </row>
    <row r="139" spans="1:76" ht="14.5" x14ac:dyDescent="0.35">
      <c r="A139" s="50" t="s">
        <v>10</v>
      </c>
      <c r="B139" s="51" t="s">
        <v>103</v>
      </c>
      <c r="C139" s="51" t="s">
        <v>413</v>
      </c>
      <c r="D139" s="206" t="s">
        <v>414</v>
      </c>
      <c r="E139" s="207"/>
      <c r="F139" s="52" t="s">
        <v>84</v>
      </c>
      <c r="G139" s="52" t="s">
        <v>84</v>
      </c>
      <c r="H139" s="83" t="s">
        <v>84</v>
      </c>
      <c r="I139" s="27">
        <f>SUM(I140:I176)</f>
        <v>0</v>
      </c>
      <c r="J139" s="34" t="s">
        <v>10</v>
      </c>
      <c r="K139" s="34" t="s">
        <v>10</v>
      </c>
      <c r="L139" s="27">
        <f>SUM(L140:L176)</f>
        <v>9.648000000000001E-2</v>
      </c>
      <c r="M139" s="53" t="s">
        <v>10</v>
      </c>
      <c r="AI139" s="34" t="s">
        <v>103</v>
      </c>
      <c r="AS139" s="27">
        <f>SUM(AJ140:AJ176)</f>
        <v>0</v>
      </c>
      <c r="AT139" s="27">
        <f>SUM(AK140:AK176)</f>
        <v>0</v>
      </c>
      <c r="AU139" s="27">
        <f>SUM(AL140:AL176)</f>
        <v>0</v>
      </c>
    </row>
    <row r="140" spans="1:76" ht="14.5" x14ac:dyDescent="0.35">
      <c r="A140" s="1" t="s">
        <v>105</v>
      </c>
      <c r="B140" s="2" t="s">
        <v>103</v>
      </c>
      <c r="C140" s="2" t="s">
        <v>415</v>
      </c>
      <c r="D140" s="155" t="s">
        <v>416</v>
      </c>
      <c r="E140" s="153"/>
      <c r="F140" s="2" t="s">
        <v>153</v>
      </c>
      <c r="G140" s="54">
        <v>67.2</v>
      </c>
      <c r="H140" s="84">
        <v>0</v>
      </c>
      <c r="I140" s="54">
        <f>G140*H140</f>
        <v>0</v>
      </c>
      <c r="J140" s="54">
        <v>3.8000000000000002E-4</v>
      </c>
      <c r="K140" s="54">
        <v>0</v>
      </c>
      <c r="L140" s="54">
        <f>G140*J140</f>
        <v>2.5536000000000003E-2</v>
      </c>
      <c r="M140" s="55" t="s">
        <v>111</v>
      </c>
      <c r="Z140" s="54">
        <f>IF(AQ140="5",BJ140,0)</f>
        <v>0</v>
      </c>
      <c r="AB140" s="54">
        <f>IF(AQ140="1",BH140,0)</f>
        <v>0</v>
      </c>
      <c r="AC140" s="54">
        <f>IF(AQ140="1",BI140,0)</f>
        <v>0</v>
      </c>
      <c r="AD140" s="54">
        <f>IF(AQ140="7",BH140,0)</f>
        <v>0</v>
      </c>
      <c r="AE140" s="54">
        <f>IF(AQ140="7",BI140,0)</f>
        <v>0</v>
      </c>
      <c r="AF140" s="54">
        <f>IF(AQ140="2",BH140,0)</f>
        <v>0</v>
      </c>
      <c r="AG140" s="54">
        <f>IF(AQ140="2",BI140,0)</f>
        <v>0</v>
      </c>
      <c r="AH140" s="54">
        <f>IF(AQ140="0",BJ140,0)</f>
        <v>0</v>
      </c>
      <c r="AI140" s="34" t="s">
        <v>103</v>
      </c>
      <c r="AJ140" s="54">
        <f>IF(AN140=0,I140,0)</f>
        <v>0</v>
      </c>
      <c r="AK140" s="54">
        <f>IF(AN140=12,I140,0)</f>
        <v>0</v>
      </c>
      <c r="AL140" s="54">
        <f>IF(AN140=21,I140,0)</f>
        <v>0</v>
      </c>
      <c r="AN140" s="54">
        <v>21</v>
      </c>
      <c r="AO140" s="54">
        <f>H140*0.278442478</f>
        <v>0</v>
      </c>
      <c r="AP140" s="54">
        <f>H140*(1-0.278442478)</f>
        <v>0</v>
      </c>
      <c r="AQ140" s="56" t="s">
        <v>168</v>
      </c>
      <c r="AV140" s="54">
        <f>AW140+AX140</f>
        <v>0</v>
      </c>
      <c r="AW140" s="54">
        <f>G140*AO140</f>
        <v>0</v>
      </c>
      <c r="AX140" s="54">
        <f>G140*AP140</f>
        <v>0</v>
      </c>
      <c r="AY140" s="56" t="s">
        <v>417</v>
      </c>
      <c r="AZ140" s="56" t="s">
        <v>418</v>
      </c>
      <c r="BA140" s="34" t="s">
        <v>114</v>
      </c>
      <c r="BC140" s="54">
        <f>AW140+AX140</f>
        <v>0</v>
      </c>
      <c r="BD140" s="54">
        <f>H140/(100-BE140)*100</f>
        <v>0</v>
      </c>
      <c r="BE140" s="54">
        <v>0</v>
      </c>
      <c r="BF140" s="54">
        <f>L140</f>
        <v>2.5536000000000003E-2</v>
      </c>
      <c r="BH140" s="54">
        <f>G140*AO140</f>
        <v>0</v>
      </c>
      <c r="BI140" s="54">
        <f>G140*AP140</f>
        <v>0</v>
      </c>
      <c r="BJ140" s="54">
        <f>G140*H140</f>
        <v>0</v>
      </c>
      <c r="BK140" s="54"/>
      <c r="BL140" s="54">
        <v>721</v>
      </c>
      <c r="BW140" s="54">
        <v>21</v>
      </c>
      <c r="BX140" s="3" t="s">
        <v>416</v>
      </c>
    </row>
    <row r="141" spans="1:76" ht="14.5" x14ac:dyDescent="0.35">
      <c r="A141" s="57"/>
      <c r="D141" s="58" t="s">
        <v>208</v>
      </c>
      <c r="E141" s="59" t="s">
        <v>419</v>
      </c>
      <c r="G141" s="60">
        <v>0</v>
      </c>
      <c r="M141" s="61"/>
    </row>
    <row r="142" spans="1:76" ht="14.5" x14ac:dyDescent="0.35">
      <c r="A142" s="57"/>
      <c r="D142" s="58" t="s">
        <v>420</v>
      </c>
      <c r="E142" s="59" t="s">
        <v>421</v>
      </c>
      <c r="G142" s="60">
        <v>67.2</v>
      </c>
      <c r="M142" s="61"/>
    </row>
    <row r="143" spans="1:76" ht="14.5" x14ac:dyDescent="0.35">
      <c r="A143" s="64" t="s">
        <v>422</v>
      </c>
      <c r="B143" s="65" t="s">
        <v>103</v>
      </c>
      <c r="C143" s="65" t="s">
        <v>423</v>
      </c>
      <c r="D143" s="217" t="s">
        <v>424</v>
      </c>
      <c r="E143" s="218"/>
      <c r="F143" s="65" t="s">
        <v>196</v>
      </c>
      <c r="G143" s="67">
        <v>24</v>
      </c>
      <c r="H143" s="85">
        <v>0</v>
      </c>
      <c r="I143" s="67">
        <f>G143*H143</f>
        <v>0</v>
      </c>
      <c r="J143" s="67">
        <v>3.0000000000000001E-5</v>
      </c>
      <c r="K143" s="67">
        <v>0</v>
      </c>
      <c r="L143" s="67">
        <f>G143*J143</f>
        <v>7.2000000000000005E-4</v>
      </c>
      <c r="M143" s="68" t="s">
        <v>111</v>
      </c>
      <c r="Z143" s="54">
        <f>IF(AQ143="5",BJ143,0)</f>
        <v>0</v>
      </c>
      <c r="AB143" s="54">
        <f>IF(AQ143="1",BH143,0)</f>
        <v>0</v>
      </c>
      <c r="AC143" s="54">
        <f>IF(AQ143="1",BI143,0)</f>
        <v>0</v>
      </c>
      <c r="AD143" s="54">
        <f>IF(AQ143="7",BH143,0)</f>
        <v>0</v>
      </c>
      <c r="AE143" s="54">
        <f>IF(AQ143="7",BI143,0)</f>
        <v>0</v>
      </c>
      <c r="AF143" s="54">
        <f>IF(AQ143="2",BH143,0)</f>
        <v>0</v>
      </c>
      <c r="AG143" s="54">
        <f>IF(AQ143="2",BI143,0)</f>
        <v>0</v>
      </c>
      <c r="AH143" s="54">
        <f>IF(AQ143="0",BJ143,0)</f>
        <v>0</v>
      </c>
      <c r="AI143" s="34" t="s">
        <v>103</v>
      </c>
      <c r="AJ143" s="67">
        <f>IF(AN143=0,I143,0)</f>
        <v>0</v>
      </c>
      <c r="AK143" s="67">
        <f>IF(AN143=12,I143,0)</f>
        <v>0</v>
      </c>
      <c r="AL143" s="67">
        <f>IF(AN143=21,I143,0)</f>
        <v>0</v>
      </c>
      <c r="AN143" s="54">
        <v>21</v>
      </c>
      <c r="AO143" s="54">
        <f>H143*1</f>
        <v>0</v>
      </c>
      <c r="AP143" s="54">
        <f>H143*(1-1)</f>
        <v>0</v>
      </c>
      <c r="AQ143" s="69" t="s">
        <v>168</v>
      </c>
      <c r="AV143" s="54">
        <f>AW143+AX143</f>
        <v>0</v>
      </c>
      <c r="AW143" s="54">
        <f>G143*AO143</f>
        <v>0</v>
      </c>
      <c r="AX143" s="54">
        <f>G143*AP143</f>
        <v>0</v>
      </c>
      <c r="AY143" s="56" t="s">
        <v>417</v>
      </c>
      <c r="AZ143" s="56" t="s">
        <v>418</v>
      </c>
      <c r="BA143" s="34" t="s">
        <v>114</v>
      </c>
      <c r="BC143" s="54">
        <f>AW143+AX143</f>
        <v>0</v>
      </c>
      <c r="BD143" s="54">
        <f>H143/(100-BE143)*100</f>
        <v>0</v>
      </c>
      <c r="BE143" s="54">
        <v>0</v>
      </c>
      <c r="BF143" s="54">
        <f>L143</f>
        <v>7.2000000000000005E-4</v>
      </c>
      <c r="BH143" s="67">
        <f>G143*AO143</f>
        <v>0</v>
      </c>
      <c r="BI143" s="67">
        <f>G143*AP143</f>
        <v>0</v>
      </c>
      <c r="BJ143" s="67">
        <f>G143*H143</f>
        <v>0</v>
      </c>
      <c r="BK143" s="67"/>
      <c r="BL143" s="54">
        <v>721</v>
      </c>
      <c r="BW143" s="54">
        <v>21</v>
      </c>
      <c r="BX143" s="66" t="s">
        <v>424</v>
      </c>
    </row>
    <row r="144" spans="1:76" ht="14.5" x14ac:dyDescent="0.35">
      <c r="A144" s="57"/>
      <c r="D144" s="58" t="s">
        <v>406</v>
      </c>
      <c r="E144" s="59" t="s">
        <v>425</v>
      </c>
      <c r="G144" s="60">
        <v>24</v>
      </c>
      <c r="M144" s="61"/>
    </row>
    <row r="145" spans="1:76" ht="14.5" x14ac:dyDescent="0.35">
      <c r="A145" s="64" t="s">
        <v>427</v>
      </c>
      <c r="B145" s="65" t="s">
        <v>103</v>
      </c>
      <c r="C145" s="65" t="s">
        <v>428</v>
      </c>
      <c r="D145" s="217" t="s">
        <v>429</v>
      </c>
      <c r="E145" s="218"/>
      <c r="F145" s="65" t="s">
        <v>196</v>
      </c>
      <c r="G145" s="67">
        <v>120</v>
      </c>
      <c r="H145" s="85">
        <v>0</v>
      </c>
      <c r="I145" s="67">
        <f>G145*H145</f>
        <v>0</v>
      </c>
      <c r="J145" s="67">
        <v>4.0000000000000003E-5</v>
      </c>
      <c r="K145" s="67">
        <v>0</v>
      </c>
      <c r="L145" s="67">
        <f>G145*J145</f>
        <v>4.8000000000000004E-3</v>
      </c>
      <c r="M145" s="68" t="s">
        <v>111</v>
      </c>
      <c r="Z145" s="54">
        <f>IF(AQ145="5",BJ145,0)</f>
        <v>0</v>
      </c>
      <c r="AB145" s="54">
        <f>IF(AQ145="1",BH145,0)</f>
        <v>0</v>
      </c>
      <c r="AC145" s="54">
        <f>IF(AQ145="1",BI145,0)</f>
        <v>0</v>
      </c>
      <c r="AD145" s="54">
        <f>IF(AQ145="7",BH145,0)</f>
        <v>0</v>
      </c>
      <c r="AE145" s="54">
        <f>IF(AQ145="7",BI145,0)</f>
        <v>0</v>
      </c>
      <c r="AF145" s="54">
        <f>IF(AQ145="2",BH145,0)</f>
        <v>0</v>
      </c>
      <c r="AG145" s="54">
        <f>IF(AQ145="2",BI145,0)</f>
        <v>0</v>
      </c>
      <c r="AH145" s="54">
        <f>IF(AQ145="0",BJ145,0)</f>
        <v>0</v>
      </c>
      <c r="AI145" s="34" t="s">
        <v>103</v>
      </c>
      <c r="AJ145" s="67">
        <f>IF(AN145=0,I145,0)</f>
        <v>0</v>
      </c>
      <c r="AK145" s="67">
        <f>IF(AN145=12,I145,0)</f>
        <v>0</v>
      </c>
      <c r="AL145" s="67">
        <f>IF(AN145=21,I145,0)</f>
        <v>0</v>
      </c>
      <c r="AN145" s="54">
        <v>21</v>
      </c>
      <c r="AO145" s="54">
        <f>H145*1</f>
        <v>0</v>
      </c>
      <c r="AP145" s="54">
        <f>H145*(1-1)</f>
        <v>0</v>
      </c>
      <c r="AQ145" s="69" t="s">
        <v>168</v>
      </c>
      <c r="AV145" s="54">
        <f>AW145+AX145</f>
        <v>0</v>
      </c>
      <c r="AW145" s="54">
        <f>G145*AO145</f>
        <v>0</v>
      </c>
      <c r="AX145" s="54">
        <f>G145*AP145</f>
        <v>0</v>
      </c>
      <c r="AY145" s="56" t="s">
        <v>417</v>
      </c>
      <c r="AZ145" s="56" t="s">
        <v>418</v>
      </c>
      <c r="BA145" s="34" t="s">
        <v>114</v>
      </c>
      <c r="BC145" s="54">
        <f>AW145+AX145</f>
        <v>0</v>
      </c>
      <c r="BD145" s="54">
        <f>H145/(100-BE145)*100</f>
        <v>0</v>
      </c>
      <c r="BE145" s="54">
        <v>0</v>
      </c>
      <c r="BF145" s="54">
        <f>L145</f>
        <v>4.8000000000000004E-3</v>
      </c>
      <c r="BH145" s="67">
        <f>G145*AO145</f>
        <v>0</v>
      </c>
      <c r="BI145" s="67">
        <f>G145*AP145</f>
        <v>0</v>
      </c>
      <c r="BJ145" s="67">
        <f>G145*H145</f>
        <v>0</v>
      </c>
      <c r="BK145" s="67"/>
      <c r="BL145" s="54">
        <v>721</v>
      </c>
      <c r="BW145" s="54">
        <v>21</v>
      </c>
      <c r="BX145" s="66" t="s">
        <v>429</v>
      </c>
    </row>
    <row r="146" spans="1:76" ht="14.5" x14ac:dyDescent="0.35">
      <c r="A146" s="57"/>
      <c r="D146" s="58" t="s">
        <v>430</v>
      </c>
      <c r="E146" s="59" t="s">
        <v>425</v>
      </c>
      <c r="G146" s="60">
        <v>120</v>
      </c>
      <c r="M146" s="61"/>
    </row>
    <row r="147" spans="1:76" ht="14.5" x14ac:dyDescent="0.35">
      <c r="A147" s="1" t="s">
        <v>432</v>
      </c>
      <c r="B147" s="2" t="s">
        <v>103</v>
      </c>
      <c r="C147" s="2" t="s">
        <v>433</v>
      </c>
      <c r="D147" s="155" t="s">
        <v>434</v>
      </c>
      <c r="E147" s="153"/>
      <c r="F147" s="2" t="s">
        <v>153</v>
      </c>
      <c r="G147" s="54">
        <v>14.4</v>
      </c>
      <c r="H147" s="84">
        <v>0</v>
      </c>
      <c r="I147" s="54">
        <f>G147*H147</f>
        <v>0</v>
      </c>
      <c r="J147" s="54">
        <v>4.6999999999999999E-4</v>
      </c>
      <c r="K147" s="54">
        <v>0</v>
      </c>
      <c r="L147" s="54">
        <f>G147*J147</f>
        <v>6.7679999999999997E-3</v>
      </c>
      <c r="M147" s="55" t="s">
        <v>111</v>
      </c>
      <c r="Z147" s="54">
        <f>IF(AQ147="5",BJ147,0)</f>
        <v>0</v>
      </c>
      <c r="AB147" s="54">
        <f>IF(AQ147="1",BH147,0)</f>
        <v>0</v>
      </c>
      <c r="AC147" s="54">
        <f>IF(AQ147="1",BI147,0)</f>
        <v>0</v>
      </c>
      <c r="AD147" s="54">
        <f>IF(AQ147="7",BH147,0)</f>
        <v>0</v>
      </c>
      <c r="AE147" s="54">
        <f>IF(AQ147="7",BI147,0)</f>
        <v>0</v>
      </c>
      <c r="AF147" s="54">
        <f>IF(AQ147="2",BH147,0)</f>
        <v>0</v>
      </c>
      <c r="AG147" s="54">
        <f>IF(AQ147="2",BI147,0)</f>
        <v>0</v>
      </c>
      <c r="AH147" s="54">
        <f>IF(AQ147="0",BJ147,0)</f>
        <v>0</v>
      </c>
      <c r="AI147" s="34" t="s">
        <v>103</v>
      </c>
      <c r="AJ147" s="54">
        <f>IF(AN147=0,I147,0)</f>
        <v>0</v>
      </c>
      <c r="AK147" s="54">
        <f>IF(AN147=12,I147,0)</f>
        <v>0</v>
      </c>
      <c r="AL147" s="54">
        <f>IF(AN147=21,I147,0)</f>
        <v>0</v>
      </c>
      <c r="AN147" s="54">
        <v>21</v>
      </c>
      <c r="AO147" s="54">
        <f>H147*0.288317757</f>
        <v>0</v>
      </c>
      <c r="AP147" s="54">
        <f>H147*(1-0.288317757)</f>
        <v>0</v>
      </c>
      <c r="AQ147" s="56" t="s">
        <v>168</v>
      </c>
      <c r="AV147" s="54">
        <f>AW147+AX147</f>
        <v>0</v>
      </c>
      <c r="AW147" s="54">
        <f>G147*AO147</f>
        <v>0</v>
      </c>
      <c r="AX147" s="54">
        <f>G147*AP147</f>
        <v>0</v>
      </c>
      <c r="AY147" s="56" t="s">
        <v>417</v>
      </c>
      <c r="AZ147" s="56" t="s">
        <v>418</v>
      </c>
      <c r="BA147" s="34" t="s">
        <v>114</v>
      </c>
      <c r="BC147" s="54">
        <f>AW147+AX147</f>
        <v>0</v>
      </c>
      <c r="BD147" s="54">
        <f>H147/(100-BE147)*100</f>
        <v>0</v>
      </c>
      <c r="BE147" s="54">
        <v>0</v>
      </c>
      <c r="BF147" s="54">
        <f>L147</f>
        <v>6.7679999999999997E-3</v>
      </c>
      <c r="BH147" s="54">
        <f>G147*AO147</f>
        <v>0</v>
      </c>
      <c r="BI147" s="54">
        <f>G147*AP147</f>
        <v>0</v>
      </c>
      <c r="BJ147" s="54">
        <f>G147*H147</f>
        <v>0</v>
      </c>
      <c r="BK147" s="54"/>
      <c r="BL147" s="54">
        <v>721</v>
      </c>
      <c r="BW147" s="54">
        <v>21</v>
      </c>
      <c r="BX147" s="3" t="s">
        <v>434</v>
      </c>
    </row>
    <row r="148" spans="1:76" ht="14.5" x14ac:dyDescent="0.35">
      <c r="A148" s="57"/>
      <c r="D148" s="58" t="s">
        <v>208</v>
      </c>
      <c r="E148" s="59" t="s">
        <v>419</v>
      </c>
      <c r="G148" s="60">
        <v>0</v>
      </c>
      <c r="M148" s="61"/>
    </row>
    <row r="149" spans="1:76" ht="14.5" x14ac:dyDescent="0.35">
      <c r="A149" s="57"/>
      <c r="D149" s="58" t="s">
        <v>435</v>
      </c>
      <c r="E149" s="59" t="s">
        <v>436</v>
      </c>
      <c r="G149" s="60">
        <v>14.4</v>
      </c>
      <c r="M149" s="61"/>
    </row>
    <row r="150" spans="1:76" ht="14.5" x14ac:dyDescent="0.35">
      <c r="A150" s="64" t="s">
        <v>437</v>
      </c>
      <c r="B150" s="65" t="s">
        <v>103</v>
      </c>
      <c r="C150" s="65" t="s">
        <v>438</v>
      </c>
      <c r="D150" s="217" t="s">
        <v>439</v>
      </c>
      <c r="E150" s="218"/>
      <c r="F150" s="65" t="s">
        <v>196</v>
      </c>
      <c r="G150" s="67">
        <v>24</v>
      </c>
      <c r="H150" s="85">
        <v>0</v>
      </c>
      <c r="I150" s="67">
        <f>G150*H150</f>
        <v>0</v>
      </c>
      <c r="J150" s="67">
        <v>4.0000000000000003E-5</v>
      </c>
      <c r="K150" s="67">
        <v>0</v>
      </c>
      <c r="L150" s="67">
        <f>G150*J150</f>
        <v>9.6000000000000013E-4</v>
      </c>
      <c r="M150" s="68" t="s">
        <v>111</v>
      </c>
      <c r="Z150" s="54">
        <f>IF(AQ150="5",BJ150,0)</f>
        <v>0</v>
      </c>
      <c r="AB150" s="54">
        <f>IF(AQ150="1",BH150,0)</f>
        <v>0</v>
      </c>
      <c r="AC150" s="54">
        <f>IF(AQ150="1",BI150,0)</f>
        <v>0</v>
      </c>
      <c r="AD150" s="54">
        <f>IF(AQ150="7",BH150,0)</f>
        <v>0</v>
      </c>
      <c r="AE150" s="54">
        <f>IF(AQ150="7",BI150,0)</f>
        <v>0</v>
      </c>
      <c r="AF150" s="54">
        <f>IF(AQ150="2",BH150,0)</f>
        <v>0</v>
      </c>
      <c r="AG150" s="54">
        <f>IF(AQ150="2",BI150,0)</f>
        <v>0</v>
      </c>
      <c r="AH150" s="54">
        <f>IF(AQ150="0",BJ150,0)</f>
        <v>0</v>
      </c>
      <c r="AI150" s="34" t="s">
        <v>103</v>
      </c>
      <c r="AJ150" s="67">
        <f>IF(AN150=0,I150,0)</f>
        <v>0</v>
      </c>
      <c r="AK150" s="67">
        <f>IF(AN150=12,I150,0)</f>
        <v>0</v>
      </c>
      <c r="AL150" s="67">
        <f>IF(AN150=21,I150,0)</f>
        <v>0</v>
      </c>
      <c r="AN150" s="54">
        <v>21</v>
      </c>
      <c r="AO150" s="54">
        <f>H150*1</f>
        <v>0</v>
      </c>
      <c r="AP150" s="54">
        <f>H150*(1-1)</f>
        <v>0</v>
      </c>
      <c r="AQ150" s="69" t="s">
        <v>168</v>
      </c>
      <c r="AV150" s="54">
        <f>AW150+AX150</f>
        <v>0</v>
      </c>
      <c r="AW150" s="54">
        <f>G150*AO150</f>
        <v>0</v>
      </c>
      <c r="AX150" s="54">
        <f>G150*AP150</f>
        <v>0</v>
      </c>
      <c r="AY150" s="56" t="s">
        <v>417</v>
      </c>
      <c r="AZ150" s="56" t="s">
        <v>418</v>
      </c>
      <c r="BA150" s="34" t="s">
        <v>114</v>
      </c>
      <c r="BC150" s="54">
        <f>AW150+AX150</f>
        <v>0</v>
      </c>
      <c r="BD150" s="54">
        <f>H150/(100-BE150)*100</f>
        <v>0</v>
      </c>
      <c r="BE150" s="54">
        <v>0</v>
      </c>
      <c r="BF150" s="54">
        <f>L150</f>
        <v>9.6000000000000013E-4</v>
      </c>
      <c r="BH150" s="67">
        <f>G150*AO150</f>
        <v>0</v>
      </c>
      <c r="BI150" s="67">
        <f>G150*AP150</f>
        <v>0</v>
      </c>
      <c r="BJ150" s="67">
        <f>G150*H150</f>
        <v>0</v>
      </c>
      <c r="BK150" s="67"/>
      <c r="BL150" s="54">
        <v>721</v>
      </c>
      <c r="BW150" s="54">
        <v>21</v>
      </c>
      <c r="BX150" s="66" t="s">
        <v>439</v>
      </c>
    </row>
    <row r="151" spans="1:76" ht="14.5" x14ac:dyDescent="0.35">
      <c r="A151" s="57"/>
      <c r="D151" s="58" t="s">
        <v>406</v>
      </c>
      <c r="E151" s="59" t="s">
        <v>425</v>
      </c>
      <c r="G151" s="60">
        <v>24</v>
      </c>
      <c r="M151" s="61"/>
    </row>
    <row r="152" spans="1:76" ht="14.5" x14ac:dyDescent="0.35">
      <c r="A152" s="64" t="s">
        <v>441</v>
      </c>
      <c r="B152" s="65" t="s">
        <v>103</v>
      </c>
      <c r="C152" s="65" t="s">
        <v>442</v>
      </c>
      <c r="D152" s="217" t="s">
        <v>443</v>
      </c>
      <c r="E152" s="218"/>
      <c r="F152" s="65" t="s">
        <v>196</v>
      </c>
      <c r="G152" s="67">
        <v>24</v>
      </c>
      <c r="H152" s="85">
        <v>0</v>
      </c>
      <c r="I152" s="67">
        <f>G152*H152</f>
        <v>0</v>
      </c>
      <c r="J152" s="67">
        <v>5.0000000000000002E-5</v>
      </c>
      <c r="K152" s="67">
        <v>0</v>
      </c>
      <c r="L152" s="67">
        <f>G152*J152</f>
        <v>1.2000000000000001E-3</v>
      </c>
      <c r="M152" s="68" t="s">
        <v>111</v>
      </c>
      <c r="Z152" s="54">
        <f>IF(AQ152="5",BJ152,0)</f>
        <v>0</v>
      </c>
      <c r="AB152" s="54">
        <f>IF(AQ152="1",BH152,0)</f>
        <v>0</v>
      </c>
      <c r="AC152" s="54">
        <f>IF(AQ152="1",BI152,0)</f>
        <v>0</v>
      </c>
      <c r="AD152" s="54">
        <f>IF(AQ152="7",BH152,0)</f>
        <v>0</v>
      </c>
      <c r="AE152" s="54">
        <f>IF(AQ152="7",BI152,0)</f>
        <v>0</v>
      </c>
      <c r="AF152" s="54">
        <f>IF(AQ152="2",BH152,0)</f>
        <v>0</v>
      </c>
      <c r="AG152" s="54">
        <f>IF(AQ152="2",BI152,0)</f>
        <v>0</v>
      </c>
      <c r="AH152" s="54">
        <f>IF(AQ152="0",BJ152,0)</f>
        <v>0</v>
      </c>
      <c r="AI152" s="34" t="s">
        <v>103</v>
      </c>
      <c r="AJ152" s="67">
        <f>IF(AN152=0,I152,0)</f>
        <v>0</v>
      </c>
      <c r="AK152" s="67">
        <f>IF(AN152=12,I152,0)</f>
        <v>0</v>
      </c>
      <c r="AL152" s="67">
        <f>IF(AN152=21,I152,0)</f>
        <v>0</v>
      </c>
      <c r="AN152" s="54">
        <v>21</v>
      </c>
      <c r="AO152" s="54">
        <f>H152*1</f>
        <v>0</v>
      </c>
      <c r="AP152" s="54">
        <f>H152*(1-1)</f>
        <v>0</v>
      </c>
      <c r="AQ152" s="69" t="s">
        <v>168</v>
      </c>
      <c r="AV152" s="54">
        <f>AW152+AX152</f>
        <v>0</v>
      </c>
      <c r="AW152" s="54">
        <f>G152*AO152</f>
        <v>0</v>
      </c>
      <c r="AX152" s="54">
        <f>G152*AP152</f>
        <v>0</v>
      </c>
      <c r="AY152" s="56" t="s">
        <v>417</v>
      </c>
      <c r="AZ152" s="56" t="s">
        <v>418</v>
      </c>
      <c r="BA152" s="34" t="s">
        <v>114</v>
      </c>
      <c r="BC152" s="54">
        <f>AW152+AX152</f>
        <v>0</v>
      </c>
      <c r="BD152" s="54">
        <f>H152/(100-BE152)*100</f>
        <v>0</v>
      </c>
      <c r="BE152" s="54">
        <v>0</v>
      </c>
      <c r="BF152" s="54">
        <f>L152</f>
        <v>1.2000000000000001E-3</v>
      </c>
      <c r="BH152" s="67">
        <f>G152*AO152</f>
        <v>0</v>
      </c>
      <c r="BI152" s="67">
        <f>G152*AP152</f>
        <v>0</v>
      </c>
      <c r="BJ152" s="67">
        <f>G152*H152</f>
        <v>0</v>
      </c>
      <c r="BK152" s="67"/>
      <c r="BL152" s="54">
        <v>721</v>
      </c>
      <c r="BW152" s="54">
        <v>21</v>
      </c>
      <c r="BX152" s="66" t="s">
        <v>443</v>
      </c>
    </row>
    <row r="153" spans="1:76" ht="14.5" x14ac:dyDescent="0.35">
      <c r="A153" s="57"/>
      <c r="D153" s="58" t="s">
        <v>406</v>
      </c>
      <c r="E153" s="59" t="s">
        <v>425</v>
      </c>
      <c r="G153" s="60">
        <v>24</v>
      </c>
      <c r="M153" s="61"/>
    </row>
    <row r="154" spans="1:76" ht="14.5" x14ac:dyDescent="0.35">
      <c r="A154" s="64" t="s">
        <v>445</v>
      </c>
      <c r="B154" s="65" t="s">
        <v>103</v>
      </c>
      <c r="C154" s="65" t="s">
        <v>446</v>
      </c>
      <c r="D154" s="217" t="s">
        <v>447</v>
      </c>
      <c r="E154" s="218"/>
      <c r="F154" s="65" t="s">
        <v>196</v>
      </c>
      <c r="G154" s="67">
        <v>24</v>
      </c>
      <c r="H154" s="85">
        <v>0</v>
      </c>
      <c r="I154" s="67">
        <f>G154*H154</f>
        <v>0</v>
      </c>
      <c r="J154" s="67">
        <v>6.9999999999999994E-5</v>
      </c>
      <c r="K154" s="67">
        <v>0</v>
      </c>
      <c r="L154" s="67">
        <f>G154*J154</f>
        <v>1.6799999999999999E-3</v>
      </c>
      <c r="M154" s="68" t="s">
        <v>111</v>
      </c>
      <c r="Z154" s="54">
        <f>IF(AQ154="5",BJ154,0)</f>
        <v>0</v>
      </c>
      <c r="AB154" s="54">
        <f>IF(AQ154="1",BH154,0)</f>
        <v>0</v>
      </c>
      <c r="AC154" s="54">
        <f>IF(AQ154="1",BI154,0)</f>
        <v>0</v>
      </c>
      <c r="AD154" s="54">
        <f>IF(AQ154="7",BH154,0)</f>
        <v>0</v>
      </c>
      <c r="AE154" s="54">
        <f>IF(AQ154="7",BI154,0)</f>
        <v>0</v>
      </c>
      <c r="AF154" s="54">
        <f>IF(AQ154="2",BH154,0)</f>
        <v>0</v>
      </c>
      <c r="AG154" s="54">
        <f>IF(AQ154="2",BI154,0)</f>
        <v>0</v>
      </c>
      <c r="AH154" s="54">
        <f>IF(AQ154="0",BJ154,0)</f>
        <v>0</v>
      </c>
      <c r="AI154" s="34" t="s">
        <v>103</v>
      </c>
      <c r="AJ154" s="67">
        <f>IF(AN154=0,I154,0)</f>
        <v>0</v>
      </c>
      <c r="AK154" s="67">
        <f>IF(AN154=12,I154,0)</f>
        <v>0</v>
      </c>
      <c r="AL154" s="67">
        <f>IF(AN154=21,I154,0)</f>
        <v>0</v>
      </c>
      <c r="AN154" s="54">
        <v>21</v>
      </c>
      <c r="AO154" s="54">
        <f>H154*1</f>
        <v>0</v>
      </c>
      <c r="AP154" s="54">
        <f>H154*(1-1)</f>
        <v>0</v>
      </c>
      <c r="AQ154" s="69" t="s">
        <v>168</v>
      </c>
      <c r="AV154" s="54">
        <f>AW154+AX154</f>
        <v>0</v>
      </c>
      <c r="AW154" s="54">
        <f>G154*AO154</f>
        <v>0</v>
      </c>
      <c r="AX154" s="54">
        <f>G154*AP154</f>
        <v>0</v>
      </c>
      <c r="AY154" s="56" t="s">
        <v>417</v>
      </c>
      <c r="AZ154" s="56" t="s">
        <v>418</v>
      </c>
      <c r="BA154" s="34" t="s">
        <v>114</v>
      </c>
      <c r="BC154" s="54">
        <f>AW154+AX154</f>
        <v>0</v>
      </c>
      <c r="BD154" s="54">
        <f>H154/(100-BE154)*100</f>
        <v>0</v>
      </c>
      <c r="BE154" s="54">
        <v>0</v>
      </c>
      <c r="BF154" s="54">
        <f>L154</f>
        <v>1.6799999999999999E-3</v>
      </c>
      <c r="BH154" s="67">
        <f>G154*AO154</f>
        <v>0</v>
      </c>
      <c r="BI154" s="67">
        <f>G154*AP154</f>
        <v>0</v>
      </c>
      <c r="BJ154" s="67">
        <f>G154*H154</f>
        <v>0</v>
      </c>
      <c r="BK154" s="67"/>
      <c r="BL154" s="54">
        <v>721</v>
      </c>
      <c r="BW154" s="54">
        <v>21</v>
      </c>
      <c r="BX154" s="66" t="s">
        <v>447</v>
      </c>
    </row>
    <row r="155" spans="1:76" ht="14.5" x14ac:dyDescent="0.35">
      <c r="A155" s="57"/>
      <c r="D155" s="58" t="s">
        <v>406</v>
      </c>
      <c r="E155" s="59" t="s">
        <v>425</v>
      </c>
      <c r="G155" s="60">
        <v>24</v>
      </c>
      <c r="M155" s="61"/>
    </row>
    <row r="156" spans="1:76" ht="14.5" x14ac:dyDescent="0.35">
      <c r="A156" s="64" t="s">
        <v>201</v>
      </c>
      <c r="B156" s="65" t="s">
        <v>103</v>
      </c>
      <c r="C156" s="65" t="s">
        <v>449</v>
      </c>
      <c r="D156" s="217" t="s">
        <v>450</v>
      </c>
      <c r="E156" s="218"/>
      <c r="F156" s="65" t="s">
        <v>196</v>
      </c>
      <c r="G156" s="67">
        <v>24</v>
      </c>
      <c r="H156" s="85">
        <v>0</v>
      </c>
      <c r="I156" s="67">
        <f>G156*H156</f>
        <v>0</v>
      </c>
      <c r="J156" s="67">
        <v>4.0000000000000003E-5</v>
      </c>
      <c r="K156" s="67">
        <v>0</v>
      </c>
      <c r="L156" s="67">
        <f>G156*J156</f>
        <v>9.6000000000000013E-4</v>
      </c>
      <c r="M156" s="68" t="s">
        <v>111</v>
      </c>
      <c r="Z156" s="54">
        <f>IF(AQ156="5",BJ156,0)</f>
        <v>0</v>
      </c>
      <c r="AB156" s="54">
        <f>IF(AQ156="1",BH156,0)</f>
        <v>0</v>
      </c>
      <c r="AC156" s="54">
        <f>IF(AQ156="1",BI156,0)</f>
        <v>0</v>
      </c>
      <c r="AD156" s="54">
        <f>IF(AQ156="7",BH156,0)</f>
        <v>0</v>
      </c>
      <c r="AE156" s="54">
        <f>IF(AQ156="7",BI156,0)</f>
        <v>0</v>
      </c>
      <c r="AF156" s="54">
        <f>IF(AQ156="2",BH156,0)</f>
        <v>0</v>
      </c>
      <c r="AG156" s="54">
        <f>IF(AQ156="2",BI156,0)</f>
        <v>0</v>
      </c>
      <c r="AH156" s="54">
        <f>IF(AQ156="0",BJ156,0)</f>
        <v>0</v>
      </c>
      <c r="AI156" s="34" t="s">
        <v>103</v>
      </c>
      <c r="AJ156" s="67">
        <f>IF(AN156=0,I156,0)</f>
        <v>0</v>
      </c>
      <c r="AK156" s="67">
        <f>IF(AN156=12,I156,0)</f>
        <v>0</v>
      </c>
      <c r="AL156" s="67">
        <f>IF(AN156=21,I156,0)</f>
        <v>0</v>
      </c>
      <c r="AN156" s="54">
        <v>21</v>
      </c>
      <c r="AO156" s="54">
        <f>H156*1</f>
        <v>0</v>
      </c>
      <c r="AP156" s="54">
        <f>H156*(1-1)</f>
        <v>0</v>
      </c>
      <c r="AQ156" s="69" t="s">
        <v>168</v>
      </c>
      <c r="AV156" s="54">
        <f>AW156+AX156</f>
        <v>0</v>
      </c>
      <c r="AW156" s="54">
        <f>G156*AO156</f>
        <v>0</v>
      </c>
      <c r="AX156" s="54">
        <f>G156*AP156</f>
        <v>0</v>
      </c>
      <c r="AY156" s="56" t="s">
        <v>417</v>
      </c>
      <c r="AZ156" s="56" t="s">
        <v>418</v>
      </c>
      <c r="BA156" s="34" t="s">
        <v>114</v>
      </c>
      <c r="BC156" s="54">
        <f>AW156+AX156</f>
        <v>0</v>
      </c>
      <c r="BD156" s="54">
        <f>H156/(100-BE156)*100</f>
        <v>0</v>
      </c>
      <c r="BE156" s="54">
        <v>0</v>
      </c>
      <c r="BF156" s="54">
        <f>L156</f>
        <v>9.6000000000000013E-4</v>
      </c>
      <c r="BH156" s="67">
        <f>G156*AO156</f>
        <v>0</v>
      </c>
      <c r="BI156" s="67">
        <f>G156*AP156</f>
        <v>0</v>
      </c>
      <c r="BJ156" s="67">
        <f>G156*H156</f>
        <v>0</v>
      </c>
      <c r="BK156" s="67"/>
      <c r="BL156" s="54">
        <v>721</v>
      </c>
      <c r="BW156" s="54">
        <v>21</v>
      </c>
      <c r="BX156" s="66" t="s">
        <v>450</v>
      </c>
    </row>
    <row r="157" spans="1:76" ht="14.5" x14ac:dyDescent="0.35">
      <c r="A157" s="57"/>
      <c r="D157" s="58" t="s">
        <v>406</v>
      </c>
      <c r="E157" s="59" t="s">
        <v>425</v>
      </c>
      <c r="G157" s="60">
        <v>24</v>
      </c>
      <c r="M157" s="61"/>
    </row>
    <row r="158" spans="1:76" ht="14.5" x14ac:dyDescent="0.35">
      <c r="A158" s="1" t="s">
        <v>452</v>
      </c>
      <c r="B158" s="2" t="s">
        <v>103</v>
      </c>
      <c r="C158" s="2" t="s">
        <v>453</v>
      </c>
      <c r="D158" s="155" t="s">
        <v>454</v>
      </c>
      <c r="E158" s="153"/>
      <c r="F158" s="2" t="s">
        <v>153</v>
      </c>
      <c r="G158" s="54">
        <v>16.8</v>
      </c>
      <c r="H158" s="84">
        <v>0</v>
      </c>
      <c r="I158" s="54">
        <f>G158*H158</f>
        <v>0</v>
      </c>
      <c r="J158" s="54">
        <v>1.5200000000000001E-3</v>
      </c>
      <c r="K158" s="54">
        <v>0</v>
      </c>
      <c r="L158" s="54">
        <f>G158*J158</f>
        <v>2.5536000000000003E-2</v>
      </c>
      <c r="M158" s="55" t="s">
        <v>111</v>
      </c>
      <c r="Z158" s="54">
        <f>IF(AQ158="5",BJ158,0)</f>
        <v>0</v>
      </c>
      <c r="AB158" s="54">
        <f>IF(AQ158="1",BH158,0)</f>
        <v>0</v>
      </c>
      <c r="AC158" s="54">
        <f>IF(AQ158="1",BI158,0)</f>
        <v>0</v>
      </c>
      <c r="AD158" s="54">
        <f>IF(AQ158="7",BH158,0)</f>
        <v>0</v>
      </c>
      <c r="AE158" s="54">
        <f>IF(AQ158="7",BI158,0)</f>
        <v>0</v>
      </c>
      <c r="AF158" s="54">
        <f>IF(AQ158="2",BH158,0)</f>
        <v>0</v>
      </c>
      <c r="AG158" s="54">
        <f>IF(AQ158="2",BI158,0)</f>
        <v>0</v>
      </c>
      <c r="AH158" s="54">
        <f>IF(AQ158="0",BJ158,0)</f>
        <v>0</v>
      </c>
      <c r="AI158" s="34" t="s">
        <v>103</v>
      </c>
      <c r="AJ158" s="54">
        <f>IF(AN158=0,I158,0)</f>
        <v>0</v>
      </c>
      <c r="AK158" s="54">
        <f>IF(AN158=12,I158,0)</f>
        <v>0</v>
      </c>
      <c r="AL158" s="54">
        <f>IF(AN158=21,I158,0)</f>
        <v>0</v>
      </c>
      <c r="AN158" s="54">
        <v>21</v>
      </c>
      <c r="AO158" s="54">
        <f>H158*0.262895257</f>
        <v>0</v>
      </c>
      <c r="AP158" s="54">
        <f>H158*(1-0.262895257)</f>
        <v>0</v>
      </c>
      <c r="AQ158" s="56" t="s">
        <v>168</v>
      </c>
      <c r="AV158" s="54">
        <f>AW158+AX158</f>
        <v>0</v>
      </c>
      <c r="AW158" s="54">
        <f>G158*AO158</f>
        <v>0</v>
      </c>
      <c r="AX158" s="54">
        <f>G158*AP158</f>
        <v>0</v>
      </c>
      <c r="AY158" s="56" t="s">
        <v>417</v>
      </c>
      <c r="AZ158" s="56" t="s">
        <v>418</v>
      </c>
      <c r="BA158" s="34" t="s">
        <v>114</v>
      </c>
      <c r="BC158" s="54">
        <f>AW158+AX158</f>
        <v>0</v>
      </c>
      <c r="BD158" s="54">
        <f>H158/(100-BE158)*100</f>
        <v>0</v>
      </c>
      <c r="BE158" s="54">
        <v>0</v>
      </c>
      <c r="BF158" s="54">
        <f>L158</f>
        <v>2.5536000000000003E-2</v>
      </c>
      <c r="BH158" s="54">
        <f>G158*AO158</f>
        <v>0</v>
      </c>
      <c r="BI158" s="54">
        <f>G158*AP158</f>
        <v>0</v>
      </c>
      <c r="BJ158" s="54">
        <f>G158*H158</f>
        <v>0</v>
      </c>
      <c r="BK158" s="54"/>
      <c r="BL158" s="54">
        <v>721</v>
      </c>
      <c r="BW158" s="54">
        <v>21</v>
      </c>
      <c r="BX158" s="3" t="s">
        <v>454</v>
      </c>
    </row>
    <row r="159" spans="1:76" ht="14.5" x14ac:dyDescent="0.35">
      <c r="A159" s="57"/>
      <c r="D159" s="58" t="s">
        <v>208</v>
      </c>
      <c r="E159" s="59" t="s">
        <v>419</v>
      </c>
      <c r="G159" s="60">
        <v>0</v>
      </c>
      <c r="M159" s="61"/>
    </row>
    <row r="160" spans="1:76" ht="14.5" x14ac:dyDescent="0.35">
      <c r="A160" s="57"/>
      <c r="D160" s="58" t="s">
        <v>455</v>
      </c>
      <c r="E160" s="59" t="s">
        <v>456</v>
      </c>
      <c r="G160" s="60">
        <v>16.8</v>
      </c>
      <c r="M160" s="61"/>
    </row>
    <row r="161" spans="1:76" ht="14.5" x14ac:dyDescent="0.35">
      <c r="A161" s="64" t="s">
        <v>457</v>
      </c>
      <c r="B161" s="65" t="s">
        <v>103</v>
      </c>
      <c r="C161" s="65" t="s">
        <v>458</v>
      </c>
      <c r="D161" s="217" t="s">
        <v>459</v>
      </c>
      <c r="E161" s="218"/>
      <c r="F161" s="65" t="s">
        <v>196</v>
      </c>
      <c r="G161" s="67">
        <v>72</v>
      </c>
      <c r="H161" s="85">
        <v>0</v>
      </c>
      <c r="I161" s="67">
        <f>G161*H161</f>
        <v>0</v>
      </c>
      <c r="J161" s="67">
        <v>1.8000000000000001E-4</v>
      </c>
      <c r="K161" s="67">
        <v>0</v>
      </c>
      <c r="L161" s="67">
        <f>G161*J161</f>
        <v>1.2960000000000001E-2</v>
      </c>
      <c r="M161" s="68" t="s">
        <v>111</v>
      </c>
      <c r="Z161" s="54">
        <f>IF(AQ161="5",BJ161,0)</f>
        <v>0</v>
      </c>
      <c r="AB161" s="54">
        <f>IF(AQ161="1",BH161,0)</f>
        <v>0</v>
      </c>
      <c r="AC161" s="54">
        <f>IF(AQ161="1",BI161,0)</f>
        <v>0</v>
      </c>
      <c r="AD161" s="54">
        <f>IF(AQ161="7",BH161,0)</f>
        <v>0</v>
      </c>
      <c r="AE161" s="54">
        <f>IF(AQ161="7",BI161,0)</f>
        <v>0</v>
      </c>
      <c r="AF161" s="54">
        <f>IF(AQ161="2",BH161,0)</f>
        <v>0</v>
      </c>
      <c r="AG161" s="54">
        <f>IF(AQ161="2",BI161,0)</f>
        <v>0</v>
      </c>
      <c r="AH161" s="54">
        <f>IF(AQ161="0",BJ161,0)</f>
        <v>0</v>
      </c>
      <c r="AI161" s="34" t="s">
        <v>103</v>
      </c>
      <c r="AJ161" s="67">
        <f>IF(AN161=0,I161,0)</f>
        <v>0</v>
      </c>
      <c r="AK161" s="67">
        <f>IF(AN161=12,I161,0)</f>
        <v>0</v>
      </c>
      <c r="AL161" s="67">
        <f>IF(AN161=21,I161,0)</f>
        <v>0</v>
      </c>
      <c r="AN161" s="54">
        <v>21</v>
      </c>
      <c r="AO161" s="54">
        <f>H161*1</f>
        <v>0</v>
      </c>
      <c r="AP161" s="54">
        <f>H161*(1-1)</f>
        <v>0</v>
      </c>
      <c r="AQ161" s="69" t="s">
        <v>168</v>
      </c>
      <c r="AV161" s="54">
        <f>AW161+AX161</f>
        <v>0</v>
      </c>
      <c r="AW161" s="54">
        <f>G161*AO161</f>
        <v>0</v>
      </c>
      <c r="AX161" s="54">
        <f>G161*AP161</f>
        <v>0</v>
      </c>
      <c r="AY161" s="56" t="s">
        <v>417</v>
      </c>
      <c r="AZ161" s="56" t="s">
        <v>418</v>
      </c>
      <c r="BA161" s="34" t="s">
        <v>114</v>
      </c>
      <c r="BC161" s="54">
        <f>AW161+AX161</f>
        <v>0</v>
      </c>
      <c r="BD161" s="54">
        <f>H161/(100-BE161)*100</f>
        <v>0</v>
      </c>
      <c r="BE161" s="54">
        <v>0</v>
      </c>
      <c r="BF161" s="54">
        <f>L161</f>
        <v>1.2960000000000001E-2</v>
      </c>
      <c r="BH161" s="67">
        <f>G161*AO161</f>
        <v>0</v>
      </c>
      <c r="BI161" s="67">
        <f>G161*AP161</f>
        <v>0</v>
      </c>
      <c r="BJ161" s="67">
        <f>G161*H161</f>
        <v>0</v>
      </c>
      <c r="BK161" s="67"/>
      <c r="BL161" s="54">
        <v>721</v>
      </c>
      <c r="BW161" s="54">
        <v>21</v>
      </c>
      <c r="BX161" s="66" t="s">
        <v>459</v>
      </c>
    </row>
    <row r="162" spans="1:76" ht="14.5" x14ac:dyDescent="0.35">
      <c r="A162" s="57"/>
      <c r="D162" s="58" t="s">
        <v>460</v>
      </c>
      <c r="E162" s="59" t="s">
        <v>425</v>
      </c>
      <c r="G162" s="60">
        <v>72</v>
      </c>
      <c r="M162" s="61"/>
    </row>
    <row r="163" spans="1:76" ht="14.5" x14ac:dyDescent="0.35">
      <c r="A163" s="64" t="s">
        <v>462</v>
      </c>
      <c r="B163" s="65" t="s">
        <v>103</v>
      </c>
      <c r="C163" s="65" t="s">
        <v>463</v>
      </c>
      <c r="D163" s="217" t="s">
        <v>464</v>
      </c>
      <c r="E163" s="218"/>
      <c r="F163" s="65" t="s">
        <v>196</v>
      </c>
      <c r="G163" s="67">
        <v>24</v>
      </c>
      <c r="H163" s="85">
        <v>0</v>
      </c>
      <c r="I163" s="67">
        <f>G163*H163</f>
        <v>0</v>
      </c>
      <c r="J163" s="67">
        <v>2.5000000000000001E-4</v>
      </c>
      <c r="K163" s="67">
        <v>0</v>
      </c>
      <c r="L163" s="67">
        <f>G163*J163</f>
        <v>6.0000000000000001E-3</v>
      </c>
      <c r="M163" s="68" t="s">
        <v>111</v>
      </c>
      <c r="Z163" s="54">
        <f>IF(AQ163="5",BJ163,0)</f>
        <v>0</v>
      </c>
      <c r="AB163" s="54">
        <f>IF(AQ163="1",BH163,0)</f>
        <v>0</v>
      </c>
      <c r="AC163" s="54">
        <f>IF(AQ163="1",BI163,0)</f>
        <v>0</v>
      </c>
      <c r="AD163" s="54">
        <f>IF(AQ163="7",BH163,0)</f>
        <v>0</v>
      </c>
      <c r="AE163" s="54">
        <f>IF(AQ163="7",BI163,0)</f>
        <v>0</v>
      </c>
      <c r="AF163" s="54">
        <f>IF(AQ163="2",BH163,0)</f>
        <v>0</v>
      </c>
      <c r="AG163" s="54">
        <f>IF(AQ163="2",BI163,0)</f>
        <v>0</v>
      </c>
      <c r="AH163" s="54">
        <f>IF(AQ163="0",BJ163,0)</f>
        <v>0</v>
      </c>
      <c r="AI163" s="34" t="s">
        <v>103</v>
      </c>
      <c r="AJ163" s="67">
        <f>IF(AN163=0,I163,0)</f>
        <v>0</v>
      </c>
      <c r="AK163" s="67">
        <f>IF(AN163=12,I163,0)</f>
        <v>0</v>
      </c>
      <c r="AL163" s="67">
        <f>IF(AN163=21,I163,0)</f>
        <v>0</v>
      </c>
      <c r="AN163" s="54">
        <v>21</v>
      </c>
      <c r="AO163" s="54">
        <f>H163*1</f>
        <v>0</v>
      </c>
      <c r="AP163" s="54">
        <f>H163*(1-1)</f>
        <v>0</v>
      </c>
      <c r="AQ163" s="69" t="s">
        <v>168</v>
      </c>
      <c r="AV163" s="54">
        <f>AW163+AX163</f>
        <v>0</v>
      </c>
      <c r="AW163" s="54">
        <f>G163*AO163</f>
        <v>0</v>
      </c>
      <c r="AX163" s="54">
        <f>G163*AP163</f>
        <v>0</v>
      </c>
      <c r="AY163" s="56" t="s">
        <v>417</v>
      </c>
      <c r="AZ163" s="56" t="s">
        <v>418</v>
      </c>
      <c r="BA163" s="34" t="s">
        <v>114</v>
      </c>
      <c r="BC163" s="54">
        <f>AW163+AX163</f>
        <v>0</v>
      </c>
      <c r="BD163" s="54">
        <f>H163/(100-BE163)*100</f>
        <v>0</v>
      </c>
      <c r="BE163" s="54">
        <v>0</v>
      </c>
      <c r="BF163" s="54">
        <f>L163</f>
        <v>6.0000000000000001E-3</v>
      </c>
      <c r="BH163" s="67">
        <f>G163*AO163</f>
        <v>0</v>
      </c>
      <c r="BI163" s="67">
        <f>G163*AP163</f>
        <v>0</v>
      </c>
      <c r="BJ163" s="67">
        <f>G163*H163</f>
        <v>0</v>
      </c>
      <c r="BK163" s="67"/>
      <c r="BL163" s="54">
        <v>721</v>
      </c>
      <c r="BW163" s="54">
        <v>21</v>
      </c>
      <c r="BX163" s="66" t="s">
        <v>464</v>
      </c>
    </row>
    <row r="164" spans="1:76" ht="14.5" x14ac:dyDescent="0.35">
      <c r="A164" s="57"/>
      <c r="D164" s="58" t="s">
        <v>406</v>
      </c>
      <c r="E164" s="59" t="s">
        <v>425</v>
      </c>
      <c r="G164" s="60">
        <v>24</v>
      </c>
      <c r="M164" s="61"/>
    </row>
    <row r="165" spans="1:76" ht="14.5" x14ac:dyDescent="0.35">
      <c r="A165" s="64" t="s">
        <v>466</v>
      </c>
      <c r="B165" s="65" t="s">
        <v>103</v>
      </c>
      <c r="C165" s="65" t="s">
        <v>467</v>
      </c>
      <c r="D165" s="217" t="s">
        <v>468</v>
      </c>
      <c r="E165" s="218"/>
      <c r="F165" s="65" t="s">
        <v>196</v>
      </c>
      <c r="G165" s="67">
        <v>24</v>
      </c>
      <c r="H165" s="85">
        <v>0</v>
      </c>
      <c r="I165" s="67">
        <f>G165*H165</f>
        <v>0</v>
      </c>
      <c r="J165" s="67">
        <v>3.8999999999999999E-4</v>
      </c>
      <c r="K165" s="67">
        <v>0</v>
      </c>
      <c r="L165" s="67">
        <f>G165*J165</f>
        <v>9.3600000000000003E-3</v>
      </c>
      <c r="M165" s="68" t="s">
        <v>111</v>
      </c>
      <c r="Z165" s="54">
        <f>IF(AQ165="5",BJ165,0)</f>
        <v>0</v>
      </c>
      <c r="AB165" s="54">
        <f>IF(AQ165="1",BH165,0)</f>
        <v>0</v>
      </c>
      <c r="AC165" s="54">
        <f>IF(AQ165="1",BI165,0)</f>
        <v>0</v>
      </c>
      <c r="AD165" s="54">
        <f>IF(AQ165="7",BH165,0)</f>
        <v>0</v>
      </c>
      <c r="AE165" s="54">
        <f>IF(AQ165="7",BI165,0)</f>
        <v>0</v>
      </c>
      <c r="AF165" s="54">
        <f>IF(AQ165="2",BH165,0)</f>
        <v>0</v>
      </c>
      <c r="AG165" s="54">
        <f>IF(AQ165="2",BI165,0)</f>
        <v>0</v>
      </c>
      <c r="AH165" s="54">
        <f>IF(AQ165="0",BJ165,0)</f>
        <v>0</v>
      </c>
      <c r="AI165" s="34" t="s">
        <v>103</v>
      </c>
      <c r="AJ165" s="67">
        <f>IF(AN165=0,I165,0)</f>
        <v>0</v>
      </c>
      <c r="AK165" s="67">
        <f>IF(AN165=12,I165,0)</f>
        <v>0</v>
      </c>
      <c r="AL165" s="67">
        <f>IF(AN165=21,I165,0)</f>
        <v>0</v>
      </c>
      <c r="AN165" s="54">
        <v>21</v>
      </c>
      <c r="AO165" s="54">
        <f>H165*1</f>
        <v>0</v>
      </c>
      <c r="AP165" s="54">
        <f>H165*(1-1)</f>
        <v>0</v>
      </c>
      <c r="AQ165" s="69" t="s">
        <v>168</v>
      </c>
      <c r="AV165" s="54">
        <f>AW165+AX165</f>
        <v>0</v>
      </c>
      <c r="AW165" s="54">
        <f>G165*AO165</f>
        <v>0</v>
      </c>
      <c r="AX165" s="54">
        <f>G165*AP165</f>
        <v>0</v>
      </c>
      <c r="AY165" s="56" t="s">
        <v>417</v>
      </c>
      <c r="AZ165" s="56" t="s">
        <v>418</v>
      </c>
      <c r="BA165" s="34" t="s">
        <v>114</v>
      </c>
      <c r="BC165" s="54">
        <f>AW165+AX165</f>
        <v>0</v>
      </c>
      <c r="BD165" s="54">
        <f>H165/(100-BE165)*100</f>
        <v>0</v>
      </c>
      <c r="BE165" s="54">
        <v>0</v>
      </c>
      <c r="BF165" s="54">
        <f>L165</f>
        <v>9.3600000000000003E-3</v>
      </c>
      <c r="BH165" s="67">
        <f>G165*AO165</f>
        <v>0</v>
      </c>
      <c r="BI165" s="67">
        <f>G165*AP165</f>
        <v>0</v>
      </c>
      <c r="BJ165" s="67">
        <f>G165*H165</f>
        <v>0</v>
      </c>
      <c r="BK165" s="67"/>
      <c r="BL165" s="54">
        <v>721</v>
      </c>
      <c r="BW165" s="54">
        <v>21</v>
      </c>
      <c r="BX165" s="66" t="s">
        <v>468</v>
      </c>
    </row>
    <row r="166" spans="1:76" ht="14.5" x14ac:dyDescent="0.35">
      <c r="A166" s="57"/>
      <c r="D166" s="58" t="s">
        <v>406</v>
      </c>
      <c r="E166" s="59" t="s">
        <v>425</v>
      </c>
      <c r="G166" s="60">
        <v>24</v>
      </c>
      <c r="M166" s="61"/>
    </row>
    <row r="167" spans="1:76" ht="14.5" x14ac:dyDescent="0.35">
      <c r="A167" s="1" t="s">
        <v>470</v>
      </c>
      <c r="B167" s="2" t="s">
        <v>103</v>
      </c>
      <c r="C167" s="2" t="s">
        <v>471</v>
      </c>
      <c r="D167" s="155" t="s">
        <v>472</v>
      </c>
      <c r="E167" s="153"/>
      <c r="F167" s="2" t="s">
        <v>196</v>
      </c>
      <c r="G167" s="54">
        <v>24</v>
      </c>
      <c r="H167" s="84">
        <v>0</v>
      </c>
      <c r="I167" s="54">
        <f>G167*H167</f>
        <v>0</v>
      </c>
      <c r="J167" s="54">
        <v>0</v>
      </c>
      <c r="K167" s="54">
        <v>0</v>
      </c>
      <c r="L167" s="54">
        <f>G167*J167</f>
        <v>0</v>
      </c>
      <c r="M167" s="55" t="s">
        <v>111</v>
      </c>
      <c r="Z167" s="54">
        <f>IF(AQ167="5",BJ167,0)</f>
        <v>0</v>
      </c>
      <c r="AB167" s="54">
        <f>IF(AQ167="1",BH167,0)</f>
        <v>0</v>
      </c>
      <c r="AC167" s="54">
        <f>IF(AQ167="1",BI167,0)</f>
        <v>0</v>
      </c>
      <c r="AD167" s="54">
        <f>IF(AQ167="7",BH167,0)</f>
        <v>0</v>
      </c>
      <c r="AE167" s="54">
        <f>IF(AQ167="7",BI167,0)</f>
        <v>0</v>
      </c>
      <c r="AF167" s="54">
        <f>IF(AQ167="2",BH167,0)</f>
        <v>0</v>
      </c>
      <c r="AG167" s="54">
        <f>IF(AQ167="2",BI167,0)</f>
        <v>0</v>
      </c>
      <c r="AH167" s="54">
        <f>IF(AQ167="0",BJ167,0)</f>
        <v>0</v>
      </c>
      <c r="AI167" s="34" t="s">
        <v>103</v>
      </c>
      <c r="AJ167" s="54">
        <f>IF(AN167=0,I167,0)</f>
        <v>0</v>
      </c>
      <c r="AK167" s="54">
        <f>IF(AN167=12,I167,0)</f>
        <v>0</v>
      </c>
      <c r="AL167" s="54">
        <f>IF(AN167=21,I167,0)</f>
        <v>0</v>
      </c>
      <c r="AN167" s="54">
        <v>21</v>
      </c>
      <c r="AO167" s="54">
        <f>H167*0</f>
        <v>0</v>
      </c>
      <c r="AP167" s="54">
        <f>H167*(1-0)</f>
        <v>0</v>
      </c>
      <c r="AQ167" s="56" t="s">
        <v>168</v>
      </c>
      <c r="AV167" s="54">
        <f>AW167+AX167</f>
        <v>0</v>
      </c>
      <c r="AW167" s="54">
        <f>G167*AO167</f>
        <v>0</v>
      </c>
      <c r="AX167" s="54">
        <f>G167*AP167</f>
        <v>0</v>
      </c>
      <c r="AY167" s="56" t="s">
        <v>417</v>
      </c>
      <c r="AZ167" s="56" t="s">
        <v>418</v>
      </c>
      <c r="BA167" s="34" t="s">
        <v>114</v>
      </c>
      <c r="BC167" s="54">
        <f>AW167+AX167</f>
        <v>0</v>
      </c>
      <c r="BD167" s="54">
        <f>H167/(100-BE167)*100</f>
        <v>0</v>
      </c>
      <c r="BE167" s="54">
        <v>0</v>
      </c>
      <c r="BF167" s="54">
        <f>L167</f>
        <v>0</v>
      </c>
      <c r="BH167" s="54">
        <f>G167*AO167</f>
        <v>0</v>
      </c>
      <c r="BI167" s="54">
        <f>G167*AP167</f>
        <v>0</v>
      </c>
      <c r="BJ167" s="54">
        <f>G167*H167</f>
        <v>0</v>
      </c>
      <c r="BK167" s="54"/>
      <c r="BL167" s="54">
        <v>721</v>
      </c>
      <c r="BW167" s="54">
        <v>21</v>
      </c>
      <c r="BX167" s="3" t="s">
        <v>472</v>
      </c>
    </row>
    <row r="168" spans="1:76" ht="14.5" x14ac:dyDescent="0.35">
      <c r="A168" s="57"/>
      <c r="D168" s="58" t="s">
        <v>208</v>
      </c>
      <c r="E168" s="59" t="s">
        <v>473</v>
      </c>
      <c r="G168" s="60">
        <v>0</v>
      </c>
      <c r="M168" s="61"/>
    </row>
    <row r="169" spans="1:76" ht="14.5" x14ac:dyDescent="0.35">
      <c r="A169" s="57"/>
      <c r="D169" s="58" t="s">
        <v>406</v>
      </c>
      <c r="E169" s="59" t="s">
        <v>474</v>
      </c>
      <c r="G169" s="60">
        <v>24</v>
      </c>
      <c r="M169" s="61"/>
    </row>
    <row r="170" spans="1:76" ht="14.5" x14ac:dyDescent="0.35">
      <c r="A170" s="1" t="s">
        <v>475</v>
      </c>
      <c r="B170" s="2" t="s">
        <v>103</v>
      </c>
      <c r="C170" s="2" t="s">
        <v>476</v>
      </c>
      <c r="D170" s="155" t="s">
        <v>477</v>
      </c>
      <c r="E170" s="153"/>
      <c r="F170" s="2" t="s">
        <v>153</v>
      </c>
      <c r="G170" s="54">
        <v>98.4</v>
      </c>
      <c r="H170" s="84">
        <v>0</v>
      </c>
      <c r="I170" s="54">
        <f>G170*H170</f>
        <v>0</v>
      </c>
      <c r="J170" s="54">
        <v>0</v>
      </c>
      <c r="K170" s="54">
        <v>0</v>
      </c>
      <c r="L170" s="54">
        <f>G170*J170</f>
        <v>0</v>
      </c>
      <c r="M170" s="55" t="s">
        <v>111</v>
      </c>
      <c r="Z170" s="54">
        <f>IF(AQ170="5",BJ170,0)</f>
        <v>0</v>
      </c>
      <c r="AB170" s="54">
        <f>IF(AQ170="1",BH170,0)</f>
        <v>0</v>
      </c>
      <c r="AC170" s="54">
        <f>IF(AQ170="1",BI170,0)</f>
        <v>0</v>
      </c>
      <c r="AD170" s="54">
        <f>IF(AQ170="7",BH170,0)</f>
        <v>0</v>
      </c>
      <c r="AE170" s="54">
        <f>IF(AQ170="7",BI170,0)</f>
        <v>0</v>
      </c>
      <c r="AF170" s="54">
        <f>IF(AQ170="2",BH170,0)</f>
        <v>0</v>
      </c>
      <c r="AG170" s="54">
        <f>IF(AQ170="2",BI170,0)</f>
        <v>0</v>
      </c>
      <c r="AH170" s="54">
        <f>IF(AQ170="0",BJ170,0)</f>
        <v>0</v>
      </c>
      <c r="AI170" s="34" t="s">
        <v>103</v>
      </c>
      <c r="AJ170" s="54">
        <f>IF(AN170=0,I170,0)</f>
        <v>0</v>
      </c>
      <c r="AK170" s="54">
        <f>IF(AN170=12,I170,0)</f>
        <v>0</v>
      </c>
      <c r="AL170" s="54">
        <f>IF(AN170=21,I170,0)</f>
        <v>0</v>
      </c>
      <c r="AN170" s="54">
        <v>21</v>
      </c>
      <c r="AO170" s="54">
        <f>H170*0.028571429</f>
        <v>0</v>
      </c>
      <c r="AP170" s="54">
        <f>H170*(1-0.028571429)</f>
        <v>0</v>
      </c>
      <c r="AQ170" s="56" t="s">
        <v>168</v>
      </c>
      <c r="AV170" s="54">
        <f>AW170+AX170</f>
        <v>0</v>
      </c>
      <c r="AW170" s="54">
        <f>G170*AO170</f>
        <v>0</v>
      </c>
      <c r="AX170" s="54">
        <f>G170*AP170</f>
        <v>0</v>
      </c>
      <c r="AY170" s="56" t="s">
        <v>417</v>
      </c>
      <c r="AZ170" s="56" t="s">
        <v>418</v>
      </c>
      <c r="BA170" s="34" t="s">
        <v>114</v>
      </c>
      <c r="BC170" s="54">
        <f>AW170+AX170</f>
        <v>0</v>
      </c>
      <c r="BD170" s="54">
        <f>H170/(100-BE170)*100</f>
        <v>0</v>
      </c>
      <c r="BE170" s="54">
        <v>0</v>
      </c>
      <c r="BF170" s="54">
        <f>L170</f>
        <v>0</v>
      </c>
      <c r="BH170" s="54">
        <f>G170*AO170</f>
        <v>0</v>
      </c>
      <c r="BI170" s="54">
        <f>G170*AP170</f>
        <v>0</v>
      </c>
      <c r="BJ170" s="54">
        <f>G170*H170</f>
        <v>0</v>
      </c>
      <c r="BK170" s="54"/>
      <c r="BL170" s="54">
        <v>721</v>
      </c>
      <c r="BW170" s="54">
        <v>21</v>
      </c>
      <c r="BX170" s="3" t="s">
        <v>477</v>
      </c>
    </row>
    <row r="171" spans="1:76" ht="14.5" x14ac:dyDescent="0.35">
      <c r="A171" s="57"/>
      <c r="D171" s="58" t="s">
        <v>420</v>
      </c>
      <c r="E171" s="59" t="s">
        <v>10</v>
      </c>
      <c r="G171" s="60">
        <v>67.2</v>
      </c>
      <c r="M171" s="61"/>
    </row>
    <row r="172" spans="1:76" ht="14.5" x14ac:dyDescent="0.35">
      <c r="A172" s="57"/>
      <c r="D172" s="58" t="s">
        <v>435</v>
      </c>
      <c r="E172" s="59" t="s">
        <v>10</v>
      </c>
      <c r="G172" s="60">
        <v>14.4</v>
      </c>
      <c r="M172" s="61"/>
    </row>
    <row r="173" spans="1:76" ht="14.5" x14ac:dyDescent="0.35">
      <c r="A173" s="57"/>
      <c r="D173" s="58" t="s">
        <v>455</v>
      </c>
      <c r="E173" s="59" t="s">
        <v>10</v>
      </c>
      <c r="G173" s="60">
        <v>16.8</v>
      </c>
      <c r="M173" s="61"/>
    </row>
    <row r="174" spans="1:76" ht="25" x14ac:dyDescent="0.35">
      <c r="A174" s="1" t="s">
        <v>478</v>
      </c>
      <c r="B174" s="2" t="s">
        <v>103</v>
      </c>
      <c r="C174" s="2" t="s">
        <v>479</v>
      </c>
      <c r="D174" s="155" t="s">
        <v>480</v>
      </c>
      <c r="E174" s="153"/>
      <c r="F174" s="2" t="s">
        <v>481</v>
      </c>
      <c r="G174" s="54">
        <v>48</v>
      </c>
      <c r="H174" s="84">
        <v>0</v>
      </c>
      <c r="I174" s="54">
        <f>G174*H174</f>
        <v>0</v>
      </c>
      <c r="J174" s="54">
        <v>0</v>
      </c>
      <c r="K174" s="54">
        <v>0</v>
      </c>
      <c r="L174" s="54">
        <f>G174*J174</f>
        <v>0</v>
      </c>
      <c r="M174" s="55" t="s">
        <v>10</v>
      </c>
      <c r="Z174" s="54">
        <f>IF(AQ174="5",BJ174,0)</f>
        <v>0</v>
      </c>
      <c r="AB174" s="54">
        <f>IF(AQ174="1",BH174,0)</f>
        <v>0</v>
      </c>
      <c r="AC174" s="54">
        <f>IF(AQ174="1",BI174,0)</f>
        <v>0</v>
      </c>
      <c r="AD174" s="54">
        <f>IF(AQ174="7",BH174,0)</f>
        <v>0</v>
      </c>
      <c r="AE174" s="54">
        <f>IF(AQ174="7",BI174,0)</f>
        <v>0</v>
      </c>
      <c r="AF174" s="54">
        <f>IF(AQ174="2",BH174,0)</f>
        <v>0</v>
      </c>
      <c r="AG174" s="54">
        <f>IF(AQ174="2",BI174,0)</f>
        <v>0</v>
      </c>
      <c r="AH174" s="54">
        <f>IF(AQ174="0",BJ174,0)</f>
        <v>0</v>
      </c>
      <c r="AI174" s="34" t="s">
        <v>103</v>
      </c>
      <c r="AJ174" s="54">
        <f>IF(AN174=0,I174,0)</f>
        <v>0</v>
      </c>
      <c r="AK174" s="54">
        <f>IF(AN174=12,I174,0)</f>
        <v>0</v>
      </c>
      <c r="AL174" s="54">
        <f>IF(AN174=21,I174,0)</f>
        <v>0</v>
      </c>
      <c r="AN174" s="54">
        <v>21</v>
      </c>
      <c r="AO174" s="54">
        <f>H174*0</f>
        <v>0</v>
      </c>
      <c r="AP174" s="54">
        <f>H174*(1-0)</f>
        <v>0</v>
      </c>
      <c r="AQ174" s="56" t="s">
        <v>168</v>
      </c>
      <c r="AV174" s="54">
        <f>AW174+AX174</f>
        <v>0</v>
      </c>
      <c r="AW174" s="54">
        <f>G174*AO174</f>
        <v>0</v>
      </c>
      <c r="AX174" s="54">
        <f>G174*AP174</f>
        <v>0</v>
      </c>
      <c r="AY174" s="56" t="s">
        <v>417</v>
      </c>
      <c r="AZ174" s="56" t="s">
        <v>418</v>
      </c>
      <c r="BA174" s="34" t="s">
        <v>114</v>
      </c>
      <c r="BC174" s="54">
        <f>AW174+AX174</f>
        <v>0</v>
      </c>
      <c r="BD174" s="54">
        <f>H174/(100-BE174)*100</f>
        <v>0</v>
      </c>
      <c r="BE174" s="54">
        <v>0</v>
      </c>
      <c r="BF174" s="54">
        <f>L174</f>
        <v>0</v>
      </c>
      <c r="BH174" s="54">
        <f>G174*AO174</f>
        <v>0</v>
      </c>
      <c r="BI174" s="54">
        <f>G174*AP174</f>
        <v>0</v>
      </c>
      <c r="BJ174" s="54">
        <f>G174*H174</f>
        <v>0</v>
      </c>
      <c r="BK174" s="54"/>
      <c r="BL174" s="54">
        <v>721</v>
      </c>
      <c r="BW174" s="54">
        <v>21</v>
      </c>
      <c r="BX174" s="3" t="s">
        <v>480</v>
      </c>
    </row>
    <row r="175" spans="1:76" ht="14.5" x14ac:dyDescent="0.35">
      <c r="A175" s="57"/>
      <c r="D175" s="58" t="s">
        <v>483</v>
      </c>
      <c r="E175" s="59" t="s">
        <v>484</v>
      </c>
      <c r="G175" s="60">
        <v>48</v>
      </c>
      <c r="M175" s="61"/>
    </row>
    <row r="176" spans="1:76" ht="14.5" x14ac:dyDescent="0.35">
      <c r="A176" s="1" t="s">
        <v>485</v>
      </c>
      <c r="B176" s="2" t="s">
        <v>103</v>
      </c>
      <c r="C176" s="2" t="s">
        <v>486</v>
      </c>
      <c r="D176" s="155" t="s">
        <v>487</v>
      </c>
      <c r="E176" s="153"/>
      <c r="F176" s="2" t="s">
        <v>412</v>
      </c>
      <c r="G176" s="54">
        <v>9.6000000000000002E-2</v>
      </c>
      <c r="H176" s="84">
        <v>0</v>
      </c>
      <c r="I176" s="54">
        <f>G176*H176</f>
        <v>0</v>
      </c>
      <c r="J176" s="54">
        <v>0</v>
      </c>
      <c r="K176" s="54">
        <v>0</v>
      </c>
      <c r="L176" s="54">
        <f>G176*J176</f>
        <v>0</v>
      </c>
      <c r="M176" s="55" t="s">
        <v>111</v>
      </c>
      <c r="Z176" s="54">
        <f>IF(AQ176="5",BJ176,0)</f>
        <v>0</v>
      </c>
      <c r="AB176" s="54">
        <f>IF(AQ176="1",BH176,0)</f>
        <v>0</v>
      </c>
      <c r="AC176" s="54">
        <f>IF(AQ176="1",BI176,0)</f>
        <v>0</v>
      </c>
      <c r="AD176" s="54">
        <f>IF(AQ176="7",BH176,0)</f>
        <v>0</v>
      </c>
      <c r="AE176" s="54">
        <f>IF(AQ176="7",BI176,0)</f>
        <v>0</v>
      </c>
      <c r="AF176" s="54">
        <f>IF(AQ176="2",BH176,0)</f>
        <v>0</v>
      </c>
      <c r="AG176" s="54">
        <f>IF(AQ176="2",BI176,0)</f>
        <v>0</v>
      </c>
      <c r="AH176" s="54">
        <f>IF(AQ176="0",BJ176,0)</f>
        <v>0</v>
      </c>
      <c r="AI176" s="34" t="s">
        <v>103</v>
      </c>
      <c r="AJ176" s="54">
        <f>IF(AN176=0,I176,0)</f>
        <v>0</v>
      </c>
      <c r="AK176" s="54">
        <f>IF(AN176=12,I176,0)</f>
        <v>0</v>
      </c>
      <c r="AL176" s="54">
        <f>IF(AN176=21,I176,0)</f>
        <v>0</v>
      </c>
      <c r="AN176" s="54">
        <v>21</v>
      </c>
      <c r="AO176" s="54">
        <f>H176*0</f>
        <v>0</v>
      </c>
      <c r="AP176" s="54">
        <f>H176*(1-0)</f>
        <v>0</v>
      </c>
      <c r="AQ176" s="56" t="s">
        <v>150</v>
      </c>
      <c r="AV176" s="54">
        <f>AW176+AX176</f>
        <v>0</v>
      </c>
      <c r="AW176" s="54">
        <f>G176*AO176</f>
        <v>0</v>
      </c>
      <c r="AX176" s="54">
        <f>G176*AP176</f>
        <v>0</v>
      </c>
      <c r="AY176" s="56" t="s">
        <v>417</v>
      </c>
      <c r="AZ176" s="56" t="s">
        <v>418</v>
      </c>
      <c r="BA176" s="34" t="s">
        <v>114</v>
      </c>
      <c r="BC176" s="54">
        <f>AW176+AX176</f>
        <v>0</v>
      </c>
      <c r="BD176" s="54">
        <f>H176/(100-BE176)*100</f>
        <v>0</v>
      </c>
      <c r="BE176" s="54">
        <v>0</v>
      </c>
      <c r="BF176" s="54">
        <f>L176</f>
        <v>0</v>
      </c>
      <c r="BH176" s="54">
        <f>G176*AO176</f>
        <v>0</v>
      </c>
      <c r="BI176" s="54">
        <f>G176*AP176</f>
        <v>0</v>
      </c>
      <c r="BJ176" s="54">
        <f>G176*H176</f>
        <v>0</v>
      </c>
      <c r="BK176" s="54"/>
      <c r="BL176" s="54">
        <v>721</v>
      </c>
      <c r="BW176" s="54">
        <v>21</v>
      </c>
      <c r="BX176" s="3" t="s">
        <v>487</v>
      </c>
    </row>
    <row r="177" spans="1:76" ht="14.5" x14ac:dyDescent="0.35">
      <c r="A177" s="50" t="s">
        <v>10</v>
      </c>
      <c r="B177" s="51" t="s">
        <v>103</v>
      </c>
      <c r="C177" s="51" t="s">
        <v>488</v>
      </c>
      <c r="D177" s="206" t="s">
        <v>489</v>
      </c>
      <c r="E177" s="207"/>
      <c r="F177" s="52" t="s">
        <v>84</v>
      </c>
      <c r="G177" s="52" t="s">
        <v>84</v>
      </c>
      <c r="H177" s="83" t="s">
        <v>84</v>
      </c>
      <c r="I177" s="27">
        <f>SUM(I178:I259)</f>
        <v>0</v>
      </c>
      <c r="J177" s="34" t="s">
        <v>10</v>
      </c>
      <c r="K177" s="34" t="s">
        <v>10</v>
      </c>
      <c r="L177" s="27">
        <f>SUM(L178:L259)</f>
        <v>0.21678</v>
      </c>
      <c r="M177" s="53" t="s">
        <v>10</v>
      </c>
      <c r="AI177" s="34" t="s">
        <v>103</v>
      </c>
      <c r="AS177" s="27">
        <f>SUM(AJ178:AJ259)</f>
        <v>0</v>
      </c>
      <c r="AT177" s="27">
        <f>SUM(AK178:AK259)</f>
        <v>0</v>
      </c>
      <c r="AU177" s="27">
        <f>SUM(AL178:AL259)</f>
        <v>0</v>
      </c>
    </row>
    <row r="178" spans="1:76" ht="14.5" x14ac:dyDescent="0.35">
      <c r="A178" s="1" t="s">
        <v>490</v>
      </c>
      <c r="B178" s="2" t="s">
        <v>103</v>
      </c>
      <c r="C178" s="2" t="s">
        <v>491</v>
      </c>
      <c r="D178" s="155" t="s">
        <v>492</v>
      </c>
      <c r="E178" s="153"/>
      <c r="F178" s="2" t="s">
        <v>153</v>
      </c>
      <c r="G178" s="54">
        <v>182.4</v>
      </c>
      <c r="H178" s="84">
        <v>0</v>
      </c>
      <c r="I178" s="54">
        <f>G178*H178</f>
        <v>0</v>
      </c>
      <c r="J178" s="54">
        <v>3.6999999999999999E-4</v>
      </c>
      <c r="K178" s="54">
        <v>0</v>
      </c>
      <c r="L178" s="54">
        <f>G178*J178</f>
        <v>6.7488000000000006E-2</v>
      </c>
      <c r="M178" s="55" t="s">
        <v>111</v>
      </c>
      <c r="Z178" s="54">
        <f>IF(AQ178="5",BJ178,0)</f>
        <v>0</v>
      </c>
      <c r="AB178" s="54">
        <f>IF(AQ178="1",BH178,0)</f>
        <v>0</v>
      </c>
      <c r="AC178" s="54">
        <f>IF(AQ178="1",BI178,0)</f>
        <v>0</v>
      </c>
      <c r="AD178" s="54">
        <f>IF(AQ178="7",BH178,0)</f>
        <v>0</v>
      </c>
      <c r="AE178" s="54">
        <f>IF(AQ178="7",BI178,0)</f>
        <v>0</v>
      </c>
      <c r="AF178" s="54">
        <f>IF(AQ178="2",BH178,0)</f>
        <v>0</v>
      </c>
      <c r="AG178" s="54">
        <f>IF(AQ178="2",BI178,0)</f>
        <v>0</v>
      </c>
      <c r="AH178" s="54">
        <f>IF(AQ178="0",BJ178,0)</f>
        <v>0</v>
      </c>
      <c r="AI178" s="34" t="s">
        <v>103</v>
      </c>
      <c r="AJ178" s="54">
        <f>IF(AN178=0,I178,0)</f>
        <v>0</v>
      </c>
      <c r="AK178" s="54">
        <f>IF(AN178=12,I178,0)</f>
        <v>0</v>
      </c>
      <c r="AL178" s="54">
        <f>IF(AN178=21,I178,0)</f>
        <v>0</v>
      </c>
      <c r="AN178" s="54">
        <v>21</v>
      </c>
      <c r="AO178" s="54">
        <f>H178*0.379660629</f>
        <v>0</v>
      </c>
      <c r="AP178" s="54">
        <f>H178*(1-0.379660629)</f>
        <v>0</v>
      </c>
      <c r="AQ178" s="56" t="s">
        <v>168</v>
      </c>
      <c r="AV178" s="54">
        <f>AW178+AX178</f>
        <v>0</v>
      </c>
      <c r="AW178" s="54">
        <f>G178*AO178</f>
        <v>0</v>
      </c>
      <c r="AX178" s="54">
        <f>G178*AP178</f>
        <v>0</v>
      </c>
      <c r="AY178" s="56" t="s">
        <v>493</v>
      </c>
      <c r="AZ178" s="56" t="s">
        <v>418</v>
      </c>
      <c r="BA178" s="34" t="s">
        <v>114</v>
      </c>
      <c r="BC178" s="54">
        <f>AW178+AX178</f>
        <v>0</v>
      </c>
      <c r="BD178" s="54">
        <f>H178/(100-BE178)*100</f>
        <v>0</v>
      </c>
      <c r="BE178" s="54">
        <v>0</v>
      </c>
      <c r="BF178" s="54">
        <f>L178</f>
        <v>6.7488000000000006E-2</v>
      </c>
      <c r="BH178" s="54">
        <f>G178*AO178</f>
        <v>0</v>
      </c>
      <c r="BI178" s="54">
        <f>G178*AP178</f>
        <v>0</v>
      </c>
      <c r="BJ178" s="54">
        <f>G178*H178</f>
        <v>0</v>
      </c>
      <c r="BK178" s="54"/>
      <c r="BL178" s="54">
        <v>722</v>
      </c>
      <c r="BW178" s="54">
        <v>21</v>
      </c>
      <c r="BX178" s="3" t="s">
        <v>492</v>
      </c>
    </row>
    <row r="179" spans="1:76" ht="14.5" x14ac:dyDescent="0.35">
      <c r="A179" s="57"/>
      <c r="D179" s="58" t="s">
        <v>208</v>
      </c>
      <c r="E179" s="59" t="s">
        <v>473</v>
      </c>
      <c r="G179" s="60">
        <v>0</v>
      </c>
      <c r="M179" s="61"/>
    </row>
    <row r="180" spans="1:76" ht="14.5" x14ac:dyDescent="0.35">
      <c r="A180" s="57"/>
      <c r="D180" s="58" t="s">
        <v>494</v>
      </c>
      <c r="E180" s="59" t="s">
        <v>495</v>
      </c>
      <c r="G180" s="60">
        <v>100.8</v>
      </c>
      <c r="M180" s="61"/>
    </row>
    <row r="181" spans="1:76" ht="14.5" x14ac:dyDescent="0.35">
      <c r="A181" s="57"/>
      <c r="D181" s="58" t="s">
        <v>496</v>
      </c>
      <c r="E181" s="59" t="s">
        <v>497</v>
      </c>
      <c r="G181" s="60">
        <v>81.599999999999994</v>
      </c>
      <c r="M181" s="61"/>
    </row>
    <row r="182" spans="1:76" ht="14.5" x14ac:dyDescent="0.35">
      <c r="A182" s="1" t="s">
        <v>498</v>
      </c>
      <c r="B182" s="2" t="s">
        <v>103</v>
      </c>
      <c r="C182" s="2" t="s">
        <v>499</v>
      </c>
      <c r="D182" s="155" t="s">
        <v>500</v>
      </c>
      <c r="E182" s="153"/>
      <c r="F182" s="2" t="s">
        <v>153</v>
      </c>
      <c r="G182" s="54">
        <v>64.8</v>
      </c>
      <c r="H182" s="84">
        <v>0</v>
      </c>
      <c r="I182" s="54">
        <f>G182*H182</f>
        <v>0</v>
      </c>
      <c r="J182" s="54">
        <v>4.0000000000000002E-4</v>
      </c>
      <c r="K182" s="54">
        <v>0</v>
      </c>
      <c r="L182" s="54">
        <f>G182*J182</f>
        <v>2.5919999999999999E-2</v>
      </c>
      <c r="M182" s="55" t="s">
        <v>111</v>
      </c>
      <c r="Z182" s="54">
        <f>IF(AQ182="5",BJ182,0)</f>
        <v>0</v>
      </c>
      <c r="AB182" s="54">
        <f>IF(AQ182="1",BH182,0)</f>
        <v>0</v>
      </c>
      <c r="AC182" s="54">
        <f>IF(AQ182="1",BI182,0)</f>
        <v>0</v>
      </c>
      <c r="AD182" s="54">
        <f>IF(AQ182="7",BH182,0)</f>
        <v>0</v>
      </c>
      <c r="AE182" s="54">
        <f>IF(AQ182="7",BI182,0)</f>
        <v>0</v>
      </c>
      <c r="AF182" s="54">
        <f>IF(AQ182="2",BH182,0)</f>
        <v>0</v>
      </c>
      <c r="AG182" s="54">
        <f>IF(AQ182="2",BI182,0)</f>
        <v>0</v>
      </c>
      <c r="AH182" s="54">
        <f>IF(AQ182="0",BJ182,0)</f>
        <v>0</v>
      </c>
      <c r="AI182" s="34" t="s">
        <v>103</v>
      </c>
      <c r="AJ182" s="54">
        <f>IF(AN182=0,I182,0)</f>
        <v>0</v>
      </c>
      <c r="AK182" s="54">
        <f>IF(AN182=12,I182,0)</f>
        <v>0</v>
      </c>
      <c r="AL182" s="54">
        <f>IF(AN182=21,I182,0)</f>
        <v>0</v>
      </c>
      <c r="AN182" s="54">
        <v>21</v>
      </c>
      <c r="AO182" s="54">
        <f>H182*0.380752885</f>
        <v>0</v>
      </c>
      <c r="AP182" s="54">
        <f>H182*(1-0.380752885)</f>
        <v>0</v>
      </c>
      <c r="AQ182" s="56" t="s">
        <v>168</v>
      </c>
      <c r="AV182" s="54">
        <f>AW182+AX182</f>
        <v>0</v>
      </c>
      <c r="AW182" s="54">
        <f>G182*AO182</f>
        <v>0</v>
      </c>
      <c r="AX182" s="54">
        <f>G182*AP182</f>
        <v>0</v>
      </c>
      <c r="AY182" s="56" t="s">
        <v>493</v>
      </c>
      <c r="AZ182" s="56" t="s">
        <v>418</v>
      </c>
      <c r="BA182" s="34" t="s">
        <v>114</v>
      </c>
      <c r="BC182" s="54">
        <f>AW182+AX182</f>
        <v>0</v>
      </c>
      <c r="BD182" s="54">
        <f>H182/(100-BE182)*100</f>
        <v>0</v>
      </c>
      <c r="BE182" s="54">
        <v>0</v>
      </c>
      <c r="BF182" s="54">
        <f>L182</f>
        <v>2.5919999999999999E-2</v>
      </c>
      <c r="BH182" s="54">
        <f>G182*AO182</f>
        <v>0</v>
      </c>
      <c r="BI182" s="54">
        <f>G182*AP182</f>
        <v>0</v>
      </c>
      <c r="BJ182" s="54">
        <f>G182*H182</f>
        <v>0</v>
      </c>
      <c r="BK182" s="54"/>
      <c r="BL182" s="54">
        <v>722</v>
      </c>
      <c r="BW182" s="54">
        <v>21</v>
      </c>
      <c r="BX182" s="3" t="s">
        <v>500</v>
      </c>
    </row>
    <row r="183" spans="1:76" ht="14.5" x14ac:dyDescent="0.35">
      <c r="A183" s="57"/>
      <c r="D183" s="58" t="s">
        <v>208</v>
      </c>
      <c r="E183" s="59" t="s">
        <v>473</v>
      </c>
      <c r="G183" s="60">
        <v>0</v>
      </c>
      <c r="M183" s="61"/>
    </row>
    <row r="184" spans="1:76" ht="14.5" x14ac:dyDescent="0.35">
      <c r="A184" s="57"/>
      <c r="D184" s="58" t="s">
        <v>501</v>
      </c>
      <c r="E184" s="59" t="s">
        <v>502</v>
      </c>
      <c r="G184" s="60">
        <v>33.6</v>
      </c>
      <c r="M184" s="61"/>
    </row>
    <row r="185" spans="1:76" ht="14.5" x14ac:dyDescent="0.35">
      <c r="A185" s="57"/>
      <c r="D185" s="58" t="s">
        <v>503</v>
      </c>
      <c r="E185" s="59" t="s">
        <v>504</v>
      </c>
      <c r="G185" s="60">
        <v>31.2</v>
      </c>
      <c r="M185" s="61"/>
    </row>
    <row r="186" spans="1:76" ht="14.5" x14ac:dyDescent="0.35">
      <c r="A186" s="1" t="s">
        <v>505</v>
      </c>
      <c r="B186" s="2" t="s">
        <v>103</v>
      </c>
      <c r="C186" s="2" t="s">
        <v>506</v>
      </c>
      <c r="D186" s="155" t="s">
        <v>507</v>
      </c>
      <c r="E186" s="153"/>
      <c r="F186" s="2" t="s">
        <v>196</v>
      </c>
      <c r="G186" s="54">
        <v>240</v>
      </c>
      <c r="H186" s="84">
        <v>0</v>
      </c>
      <c r="I186" s="54">
        <f>G186*H186</f>
        <v>0</v>
      </c>
      <c r="J186" s="54">
        <v>8.0000000000000007E-5</v>
      </c>
      <c r="K186" s="54">
        <v>0</v>
      </c>
      <c r="L186" s="54">
        <f>G186*J186</f>
        <v>1.9200000000000002E-2</v>
      </c>
      <c r="M186" s="55" t="s">
        <v>111</v>
      </c>
      <c r="Z186" s="54">
        <f>IF(AQ186="5",BJ186,0)</f>
        <v>0</v>
      </c>
      <c r="AB186" s="54">
        <f>IF(AQ186="1",BH186,0)</f>
        <v>0</v>
      </c>
      <c r="AC186" s="54">
        <f>IF(AQ186="1",BI186,0)</f>
        <v>0</v>
      </c>
      <c r="AD186" s="54">
        <f>IF(AQ186="7",BH186,0)</f>
        <v>0</v>
      </c>
      <c r="AE186" s="54">
        <f>IF(AQ186="7",BI186,0)</f>
        <v>0</v>
      </c>
      <c r="AF186" s="54">
        <f>IF(AQ186="2",BH186,0)</f>
        <v>0</v>
      </c>
      <c r="AG186" s="54">
        <f>IF(AQ186="2",BI186,0)</f>
        <v>0</v>
      </c>
      <c r="AH186" s="54">
        <f>IF(AQ186="0",BJ186,0)</f>
        <v>0</v>
      </c>
      <c r="AI186" s="34" t="s">
        <v>103</v>
      </c>
      <c r="AJ186" s="54">
        <f>IF(AN186=0,I186,0)</f>
        <v>0</v>
      </c>
      <c r="AK186" s="54">
        <f>IF(AN186=12,I186,0)</f>
        <v>0</v>
      </c>
      <c r="AL186" s="54">
        <f>IF(AN186=21,I186,0)</f>
        <v>0</v>
      </c>
      <c r="AN186" s="54">
        <v>21</v>
      </c>
      <c r="AO186" s="54">
        <f>H186*0.021266968</f>
        <v>0</v>
      </c>
      <c r="AP186" s="54">
        <f>H186*(1-0.021266968)</f>
        <v>0</v>
      </c>
      <c r="AQ186" s="56" t="s">
        <v>168</v>
      </c>
      <c r="AV186" s="54">
        <f>AW186+AX186</f>
        <v>0</v>
      </c>
      <c r="AW186" s="54">
        <f>G186*AO186</f>
        <v>0</v>
      </c>
      <c r="AX186" s="54">
        <f>G186*AP186</f>
        <v>0</v>
      </c>
      <c r="AY186" s="56" t="s">
        <v>493</v>
      </c>
      <c r="AZ186" s="56" t="s">
        <v>418</v>
      </c>
      <c r="BA186" s="34" t="s">
        <v>114</v>
      </c>
      <c r="BC186" s="54">
        <f>AW186+AX186</f>
        <v>0</v>
      </c>
      <c r="BD186" s="54">
        <f>H186/(100-BE186)*100</f>
        <v>0</v>
      </c>
      <c r="BE186" s="54">
        <v>0</v>
      </c>
      <c r="BF186" s="54">
        <f>L186</f>
        <v>1.9200000000000002E-2</v>
      </c>
      <c r="BH186" s="54">
        <f>G186*AO186</f>
        <v>0</v>
      </c>
      <c r="BI186" s="54">
        <f>G186*AP186</f>
        <v>0</v>
      </c>
      <c r="BJ186" s="54">
        <f>G186*H186</f>
        <v>0</v>
      </c>
      <c r="BK186" s="54"/>
      <c r="BL186" s="54">
        <v>722</v>
      </c>
      <c r="BW186" s="54">
        <v>21</v>
      </c>
      <c r="BX186" s="3" t="s">
        <v>507</v>
      </c>
    </row>
    <row r="187" spans="1:76" ht="14.5" x14ac:dyDescent="0.35">
      <c r="A187" s="57"/>
      <c r="D187" s="58" t="s">
        <v>208</v>
      </c>
      <c r="E187" s="59" t="s">
        <v>508</v>
      </c>
      <c r="G187" s="60">
        <v>0</v>
      </c>
      <c r="M187" s="61"/>
    </row>
    <row r="188" spans="1:76" ht="14.5" x14ac:dyDescent="0.35">
      <c r="A188" s="57"/>
      <c r="D188" s="58" t="s">
        <v>510</v>
      </c>
      <c r="E188" s="59" t="s">
        <v>511</v>
      </c>
      <c r="G188" s="60">
        <v>240</v>
      </c>
      <c r="M188" s="61"/>
    </row>
    <row r="189" spans="1:76" ht="14.5" x14ac:dyDescent="0.35">
      <c r="A189" s="64" t="s">
        <v>512</v>
      </c>
      <c r="B189" s="65" t="s">
        <v>103</v>
      </c>
      <c r="C189" s="65" t="s">
        <v>513</v>
      </c>
      <c r="D189" s="217" t="s">
        <v>514</v>
      </c>
      <c r="E189" s="218"/>
      <c r="F189" s="65" t="s">
        <v>196</v>
      </c>
      <c r="G189" s="67">
        <v>240</v>
      </c>
      <c r="H189" s="85">
        <v>0</v>
      </c>
      <c r="I189" s="67">
        <f>G189*H189</f>
        <v>0</v>
      </c>
      <c r="J189" s="67">
        <v>1.0000000000000001E-5</v>
      </c>
      <c r="K189" s="67">
        <v>0</v>
      </c>
      <c r="L189" s="67">
        <f>G189*J189</f>
        <v>2.4000000000000002E-3</v>
      </c>
      <c r="M189" s="68" t="s">
        <v>111</v>
      </c>
      <c r="Z189" s="54">
        <f>IF(AQ189="5",BJ189,0)</f>
        <v>0</v>
      </c>
      <c r="AB189" s="54">
        <f>IF(AQ189="1",BH189,0)</f>
        <v>0</v>
      </c>
      <c r="AC189" s="54">
        <f>IF(AQ189="1",BI189,0)</f>
        <v>0</v>
      </c>
      <c r="AD189" s="54">
        <f>IF(AQ189="7",BH189,0)</f>
        <v>0</v>
      </c>
      <c r="AE189" s="54">
        <f>IF(AQ189="7",BI189,0)</f>
        <v>0</v>
      </c>
      <c r="AF189" s="54">
        <f>IF(AQ189="2",BH189,0)</f>
        <v>0</v>
      </c>
      <c r="AG189" s="54">
        <f>IF(AQ189="2",BI189,0)</f>
        <v>0</v>
      </c>
      <c r="AH189" s="54">
        <f>IF(AQ189="0",BJ189,0)</f>
        <v>0</v>
      </c>
      <c r="AI189" s="34" t="s">
        <v>103</v>
      </c>
      <c r="AJ189" s="67">
        <f>IF(AN189=0,I189,0)</f>
        <v>0</v>
      </c>
      <c r="AK189" s="67">
        <f>IF(AN189=12,I189,0)</f>
        <v>0</v>
      </c>
      <c r="AL189" s="67">
        <f>IF(AN189=21,I189,0)</f>
        <v>0</v>
      </c>
      <c r="AN189" s="54">
        <v>21</v>
      </c>
      <c r="AO189" s="54">
        <f>H189*1</f>
        <v>0</v>
      </c>
      <c r="AP189" s="54">
        <f>H189*(1-1)</f>
        <v>0</v>
      </c>
      <c r="AQ189" s="69" t="s">
        <v>168</v>
      </c>
      <c r="AV189" s="54">
        <f>AW189+AX189</f>
        <v>0</v>
      </c>
      <c r="AW189" s="54">
        <f>G189*AO189</f>
        <v>0</v>
      </c>
      <c r="AX189" s="54">
        <f>G189*AP189</f>
        <v>0</v>
      </c>
      <c r="AY189" s="56" t="s">
        <v>493</v>
      </c>
      <c r="AZ189" s="56" t="s">
        <v>418</v>
      </c>
      <c r="BA189" s="34" t="s">
        <v>114</v>
      </c>
      <c r="BC189" s="54">
        <f>AW189+AX189</f>
        <v>0</v>
      </c>
      <c r="BD189" s="54">
        <f>H189/(100-BE189)*100</f>
        <v>0</v>
      </c>
      <c r="BE189" s="54">
        <v>0</v>
      </c>
      <c r="BF189" s="54">
        <f>L189</f>
        <v>2.4000000000000002E-3</v>
      </c>
      <c r="BH189" s="67">
        <f>G189*AO189</f>
        <v>0</v>
      </c>
      <c r="BI189" s="67">
        <f>G189*AP189</f>
        <v>0</v>
      </c>
      <c r="BJ189" s="67">
        <f>G189*H189</f>
        <v>0</v>
      </c>
      <c r="BK189" s="67"/>
      <c r="BL189" s="54">
        <v>722</v>
      </c>
      <c r="BW189" s="54">
        <v>21</v>
      </c>
      <c r="BX189" s="66" t="s">
        <v>514</v>
      </c>
    </row>
    <row r="190" spans="1:76" ht="14.5" x14ac:dyDescent="0.35">
      <c r="A190" s="57"/>
      <c r="D190" s="58" t="s">
        <v>208</v>
      </c>
      <c r="E190" s="59" t="s">
        <v>508</v>
      </c>
      <c r="G190" s="60">
        <v>0</v>
      </c>
      <c r="M190" s="61"/>
    </row>
    <row r="191" spans="1:76" ht="14.5" x14ac:dyDescent="0.35">
      <c r="A191" s="57"/>
      <c r="D191" s="58" t="s">
        <v>510</v>
      </c>
      <c r="E191" s="59" t="s">
        <v>515</v>
      </c>
      <c r="G191" s="60">
        <v>240</v>
      </c>
      <c r="M191" s="61"/>
    </row>
    <row r="192" spans="1:76" ht="14.5" x14ac:dyDescent="0.35">
      <c r="A192" s="64" t="s">
        <v>517</v>
      </c>
      <c r="B192" s="65" t="s">
        <v>103</v>
      </c>
      <c r="C192" s="65" t="s">
        <v>518</v>
      </c>
      <c r="D192" s="217" t="s">
        <v>519</v>
      </c>
      <c r="E192" s="218"/>
      <c r="F192" s="65" t="s">
        <v>196</v>
      </c>
      <c r="G192" s="67">
        <v>96</v>
      </c>
      <c r="H192" s="85">
        <v>0</v>
      </c>
      <c r="I192" s="67">
        <f>G192*H192</f>
        <v>0</v>
      </c>
      <c r="J192" s="67">
        <v>6.9999999999999994E-5</v>
      </c>
      <c r="K192" s="67">
        <v>0</v>
      </c>
      <c r="L192" s="67">
        <f>G192*J192</f>
        <v>6.7199999999999994E-3</v>
      </c>
      <c r="M192" s="68" t="s">
        <v>111</v>
      </c>
      <c r="Z192" s="54">
        <f>IF(AQ192="5",BJ192,0)</f>
        <v>0</v>
      </c>
      <c r="AB192" s="54">
        <f>IF(AQ192="1",BH192,0)</f>
        <v>0</v>
      </c>
      <c r="AC192" s="54">
        <f>IF(AQ192="1",BI192,0)</f>
        <v>0</v>
      </c>
      <c r="AD192" s="54">
        <f>IF(AQ192="7",BH192,0)</f>
        <v>0</v>
      </c>
      <c r="AE192" s="54">
        <f>IF(AQ192="7",BI192,0)</f>
        <v>0</v>
      </c>
      <c r="AF192" s="54">
        <f>IF(AQ192="2",BH192,0)</f>
        <v>0</v>
      </c>
      <c r="AG192" s="54">
        <f>IF(AQ192="2",BI192,0)</f>
        <v>0</v>
      </c>
      <c r="AH192" s="54">
        <f>IF(AQ192="0",BJ192,0)</f>
        <v>0</v>
      </c>
      <c r="AI192" s="34" t="s">
        <v>103</v>
      </c>
      <c r="AJ192" s="67">
        <f>IF(AN192=0,I192,0)</f>
        <v>0</v>
      </c>
      <c r="AK192" s="67">
        <f>IF(AN192=12,I192,0)</f>
        <v>0</v>
      </c>
      <c r="AL192" s="67">
        <f>IF(AN192=21,I192,0)</f>
        <v>0</v>
      </c>
      <c r="AN192" s="54">
        <v>21</v>
      </c>
      <c r="AO192" s="54">
        <f>H192*1</f>
        <v>0</v>
      </c>
      <c r="AP192" s="54">
        <f>H192*(1-1)</f>
        <v>0</v>
      </c>
      <c r="AQ192" s="69" t="s">
        <v>168</v>
      </c>
      <c r="AV192" s="54">
        <f>AW192+AX192</f>
        <v>0</v>
      </c>
      <c r="AW192" s="54">
        <f>G192*AO192</f>
        <v>0</v>
      </c>
      <c r="AX192" s="54">
        <f>G192*AP192</f>
        <v>0</v>
      </c>
      <c r="AY192" s="56" t="s">
        <v>493</v>
      </c>
      <c r="AZ192" s="56" t="s">
        <v>418</v>
      </c>
      <c r="BA192" s="34" t="s">
        <v>114</v>
      </c>
      <c r="BC192" s="54">
        <f>AW192+AX192</f>
        <v>0</v>
      </c>
      <c r="BD192" s="54">
        <f>H192/(100-BE192)*100</f>
        <v>0</v>
      </c>
      <c r="BE192" s="54">
        <v>0</v>
      </c>
      <c r="BF192" s="54">
        <f>L192</f>
        <v>6.7199999999999994E-3</v>
      </c>
      <c r="BH192" s="67">
        <f>G192*AO192</f>
        <v>0</v>
      </c>
      <c r="BI192" s="67">
        <f>G192*AP192</f>
        <v>0</v>
      </c>
      <c r="BJ192" s="67">
        <f>G192*H192</f>
        <v>0</v>
      </c>
      <c r="BK192" s="67"/>
      <c r="BL192" s="54">
        <v>722</v>
      </c>
      <c r="BW192" s="54">
        <v>21</v>
      </c>
      <c r="BX192" s="66" t="s">
        <v>519</v>
      </c>
    </row>
    <row r="193" spans="1:76" ht="14.5" x14ac:dyDescent="0.35">
      <c r="A193" s="57"/>
      <c r="D193" s="58" t="s">
        <v>208</v>
      </c>
      <c r="E193" s="59" t="s">
        <v>520</v>
      </c>
      <c r="G193" s="60">
        <v>0</v>
      </c>
      <c r="M193" s="61"/>
    </row>
    <row r="194" spans="1:76" ht="14.5" x14ac:dyDescent="0.35">
      <c r="A194" s="57"/>
      <c r="D194" s="58" t="s">
        <v>521</v>
      </c>
      <c r="E194" s="59" t="s">
        <v>522</v>
      </c>
      <c r="G194" s="60">
        <v>96</v>
      </c>
      <c r="M194" s="61"/>
    </row>
    <row r="195" spans="1:76" ht="14.5" x14ac:dyDescent="0.35">
      <c r="A195" s="1" t="s">
        <v>523</v>
      </c>
      <c r="B195" s="2" t="s">
        <v>103</v>
      </c>
      <c r="C195" s="2" t="s">
        <v>524</v>
      </c>
      <c r="D195" s="155" t="s">
        <v>525</v>
      </c>
      <c r="E195" s="153"/>
      <c r="F195" s="2" t="s">
        <v>196</v>
      </c>
      <c r="G195" s="54">
        <v>312</v>
      </c>
      <c r="H195" s="84">
        <v>0</v>
      </c>
      <c r="I195" s="54">
        <f>G195*H195</f>
        <v>0</v>
      </c>
      <c r="J195" s="54">
        <v>8.0000000000000007E-5</v>
      </c>
      <c r="K195" s="54">
        <v>0</v>
      </c>
      <c r="L195" s="54">
        <f>G195*J195</f>
        <v>2.4960000000000003E-2</v>
      </c>
      <c r="M195" s="55" t="s">
        <v>111</v>
      </c>
      <c r="Z195" s="54">
        <f>IF(AQ195="5",BJ195,0)</f>
        <v>0</v>
      </c>
      <c r="AB195" s="54">
        <f>IF(AQ195="1",BH195,0)</f>
        <v>0</v>
      </c>
      <c r="AC195" s="54">
        <f>IF(AQ195="1",BI195,0)</f>
        <v>0</v>
      </c>
      <c r="AD195" s="54">
        <f>IF(AQ195="7",BH195,0)</f>
        <v>0</v>
      </c>
      <c r="AE195" s="54">
        <f>IF(AQ195="7",BI195,0)</f>
        <v>0</v>
      </c>
      <c r="AF195" s="54">
        <f>IF(AQ195="2",BH195,0)</f>
        <v>0</v>
      </c>
      <c r="AG195" s="54">
        <f>IF(AQ195="2",BI195,0)</f>
        <v>0</v>
      </c>
      <c r="AH195" s="54">
        <f>IF(AQ195="0",BJ195,0)</f>
        <v>0</v>
      </c>
      <c r="AI195" s="34" t="s">
        <v>103</v>
      </c>
      <c r="AJ195" s="54">
        <f>IF(AN195=0,I195,0)</f>
        <v>0</v>
      </c>
      <c r="AK195" s="54">
        <f>IF(AN195=12,I195,0)</f>
        <v>0</v>
      </c>
      <c r="AL195" s="54">
        <f>IF(AN195=21,I195,0)</f>
        <v>0</v>
      </c>
      <c r="AN195" s="54">
        <v>21</v>
      </c>
      <c r="AO195" s="54">
        <f>H195*0.019105691</f>
        <v>0</v>
      </c>
      <c r="AP195" s="54">
        <f>H195*(1-0.019105691)</f>
        <v>0</v>
      </c>
      <c r="AQ195" s="56" t="s">
        <v>168</v>
      </c>
      <c r="AV195" s="54">
        <f>AW195+AX195</f>
        <v>0</v>
      </c>
      <c r="AW195" s="54">
        <f>G195*AO195</f>
        <v>0</v>
      </c>
      <c r="AX195" s="54">
        <f>G195*AP195</f>
        <v>0</v>
      </c>
      <c r="AY195" s="56" t="s">
        <v>493</v>
      </c>
      <c r="AZ195" s="56" t="s">
        <v>418</v>
      </c>
      <c r="BA195" s="34" t="s">
        <v>114</v>
      </c>
      <c r="BC195" s="54">
        <f>AW195+AX195</f>
        <v>0</v>
      </c>
      <c r="BD195" s="54">
        <f>H195/(100-BE195)*100</f>
        <v>0</v>
      </c>
      <c r="BE195" s="54">
        <v>0</v>
      </c>
      <c r="BF195" s="54">
        <f>L195</f>
        <v>2.4960000000000003E-2</v>
      </c>
      <c r="BH195" s="54">
        <f>G195*AO195</f>
        <v>0</v>
      </c>
      <c r="BI195" s="54">
        <f>G195*AP195</f>
        <v>0</v>
      </c>
      <c r="BJ195" s="54">
        <f>G195*H195</f>
        <v>0</v>
      </c>
      <c r="BK195" s="54"/>
      <c r="BL195" s="54">
        <v>722</v>
      </c>
      <c r="BW195" s="54">
        <v>21</v>
      </c>
      <c r="BX195" s="3" t="s">
        <v>525</v>
      </c>
    </row>
    <row r="196" spans="1:76" ht="14.5" x14ac:dyDescent="0.35">
      <c r="A196" s="57"/>
      <c r="D196" s="58" t="s">
        <v>208</v>
      </c>
      <c r="E196" s="59" t="s">
        <v>508</v>
      </c>
      <c r="G196" s="60">
        <v>0</v>
      </c>
      <c r="M196" s="61"/>
    </row>
    <row r="197" spans="1:76" ht="14.5" x14ac:dyDescent="0.35">
      <c r="A197" s="57"/>
      <c r="D197" s="58" t="s">
        <v>430</v>
      </c>
      <c r="E197" s="59" t="s">
        <v>526</v>
      </c>
      <c r="G197" s="60">
        <v>120</v>
      </c>
      <c r="M197" s="61"/>
    </row>
    <row r="198" spans="1:76" ht="14.5" x14ac:dyDescent="0.35">
      <c r="A198" s="57"/>
      <c r="D198" s="58" t="s">
        <v>430</v>
      </c>
      <c r="E198" s="59" t="s">
        <v>527</v>
      </c>
      <c r="G198" s="60">
        <v>120</v>
      </c>
      <c r="M198" s="61"/>
    </row>
    <row r="199" spans="1:76" ht="14.5" x14ac:dyDescent="0.35">
      <c r="A199" s="57"/>
      <c r="D199" s="58" t="s">
        <v>460</v>
      </c>
      <c r="E199" s="59" t="s">
        <v>528</v>
      </c>
      <c r="G199" s="60">
        <v>72</v>
      </c>
      <c r="M199" s="61"/>
    </row>
    <row r="200" spans="1:76" ht="14.5" x14ac:dyDescent="0.35">
      <c r="A200" s="64" t="s">
        <v>529</v>
      </c>
      <c r="B200" s="65" t="s">
        <v>103</v>
      </c>
      <c r="C200" s="65" t="s">
        <v>530</v>
      </c>
      <c r="D200" s="217" t="s">
        <v>531</v>
      </c>
      <c r="E200" s="218"/>
      <c r="F200" s="65" t="s">
        <v>196</v>
      </c>
      <c r="G200" s="67">
        <v>120</v>
      </c>
      <c r="H200" s="85">
        <v>0</v>
      </c>
      <c r="I200" s="67">
        <f>G200*H200</f>
        <v>0</v>
      </c>
      <c r="J200" s="67">
        <v>1.0000000000000001E-5</v>
      </c>
      <c r="K200" s="67">
        <v>0</v>
      </c>
      <c r="L200" s="67">
        <f>G200*J200</f>
        <v>1.2000000000000001E-3</v>
      </c>
      <c r="M200" s="68" t="s">
        <v>111</v>
      </c>
      <c r="Z200" s="54">
        <f>IF(AQ200="5",BJ200,0)</f>
        <v>0</v>
      </c>
      <c r="AB200" s="54">
        <f>IF(AQ200="1",BH200,0)</f>
        <v>0</v>
      </c>
      <c r="AC200" s="54">
        <f>IF(AQ200="1",BI200,0)</f>
        <v>0</v>
      </c>
      <c r="AD200" s="54">
        <f>IF(AQ200="7",BH200,0)</f>
        <v>0</v>
      </c>
      <c r="AE200" s="54">
        <f>IF(AQ200="7",BI200,0)</f>
        <v>0</v>
      </c>
      <c r="AF200" s="54">
        <f>IF(AQ200="2",BH200,0)</f>
        <v>0</v>
      </c>
      <c r="AG200" s="54">
        <f>IF(AQ200="2",BI200,0)</f>
        <v>0</v>
      </c>
      <c r="AH200" s="54">
        <f>IF(AQ200="0",BJ200,0)</f>
        <v>0</v>
      </c>
      <c r="AI200" s="34" t="s">
        <v>103</v>
      </c>
      <c r="AJ200" s="67">
        <f>IF(AN200=0,I200,0)</f>
        <v>0</v>
      </c>
      <c r="AK200" s="67">
        <f>IF(AN200=12,I200,0)</f>
        <v>0</v>
      </c>
      <c r="AL200" s="67">
        <f>IF(AN200=21,I200,0)</f>
        <v>0</v>
      </c>
      <c r="AN200" s="54">
        <v>21</v>
      </c>
      <c r="AO200" s="54">
        <f>H200*1</f>
        <v>0</v>
      </c>
      <c r="AP200" s="54">
        <f>H200*(1-1)</f>
        <v>0</v>
      </c>
      <c r="AQ200" s="69" t="s">
        <v>168</v>
      </c>
      <c r="AV200" s="54">
        <f>AW200+AX200</f>
        <v>0</v>
      </c>
      <c r="AW200" s="54">
        <f>G200*AO200</f>
        <v>0</v>
      </c>
      <c r="AX200" s="54">
        <f>G200*AP200</f>
        <v>0</v>
      </c>
      <c r="AY200" s="56" t="s">
        <v>493</v>
      </c>
      <c r="AZ200" s="56" t="s">
        <v>418</v>
      </c>
      <c r="BA200" s="34" t="s">
        <v>114</v>
      </c>
      <c r="BC200" s="54">
        <f>AW200+AX200</f>
        <v>0</v>
      </c>
      <c r="BD200" s="54">
        <f>H200/(100-BE200)*100</f>
        <v>0</v>
      </c>
      <c r="BE200" s="54">
        <v>0</v>
      </c>
      <c r="BF200" s="54">
        <f>L200</f>
        <v>1.2000000000000001E-3</v>
      </c>
      <c r="BH200" s="67">
        <f>G200*AO200</f>
        <v>0</v>
      </c>
      <c r="BI200" s="67">
        <f>G200*AP200</f>
        <v>0</v>
      </c>
      <c r="BJ200" s="67">
        <f>G200*H200</f>
        <v>0</v>
      </c>
      <c r="BK200" s="67"/>
      <c r="BL200" s="54">
        <v>722</v>
      </c>
      <c r="BW200" s="54">
        <v>21</v>
      </c>
      <c r="BX200" s="66" t="s">
        <v>531</v>
      </c>
    </row>
    <row r="201" spans="1:76" ht="14.5" x14ac:dyDescent="0.35">
      <c r="A201" s="57"/>
      <c r="D201" s="58" t="s">
        <v>208</v>
      </c>
      <c r="E201" s="59" t="s">
        <v>508</v>
      </c>
      <c r="G201" s="60">
        <v>0</v>
      </c>
      <c r="M201" s="61"/>
    </row>
    <row r="202" spans="1:76" ht="14.5" x14ac:dyDescent="0.35">
      <c r="A202" s="57"/>
      <c r="D202" s="58" t="s">
        <v>430</v>
      </c>
      <c r="E202" s="59" t="s">
        <v>532</v>
      </c>
      <c r="G202" s="60">
        <v>120</v>
      </c>
      <c r="M202" s="61"/>
    </row>
    <row r="203" spans="1:76" ht="14.5" x14ac:dyDescent="0.35">
      <c r="A203" s="64" t="s">
        <v>533</v>
      </c>
      <c r="B203" s="65" t="s">
        <v>103</v>
      </c>
      <c r="C203" s="65" t="s">
        <v>534</v>
      </c>
      <c r="D203" s="217" t="s">
        <v>535</v>
      </c>
      <c r="E203" s="218"/>
      <c r="F203" s="65" t="s">
        <v>196</v>
      </c>
      <c r="G203" s="67">
        <v>120</v>
      </c>
      <c r="H203" s="85">
        <v>0</v>
      </c>
      <c r="I203" s="67">
        <f>G203*H203</f>
        <v>0</v>
      </c>
      <c r="J203" s="67">
        <v>1.0000000000000001E-5</v>
      </c>
      <c r="K203" s="67">
        <v>0</v>
      </c>
      <c r="L203" s="67">
        <f>G203*J203</f>
        <v>1.2000000000000001E-3</v>
      </c>
      <c r="M203" s="68" t="s">
        <v>111</v>
      </c>
      <c r="Z203" s="54">
        <f>IF(AQ203="5",BJ203,0)</f>
        <v>0</v>
      </c>
      <c r="AB203" s="54">
        <f>IF(AQ203="1",BH203,0)</f>
        <v>0</v>
      </c>
      <c r="AC203" s="54">
        <f>IF(AQ203="1",BI203,0)</f>
        <v>0</v>
      </c>
      <c r="AD203" s="54">
        <f>IF(AQ203="7",BH203,0)</f>
        <v>0</v>
      </c>
      <c r="AE203" s="54">
        <f>IF(AQ203="7",BI203,0)</f>
        <v>0</v>
      </c>
      <c r="AF203" s="54">
        <f>IF(AQ203="2",BH203,0)</f>
        <v>0</v>
      </c>
      <c r="AG203" s="54">
        <f>IF(AQ203="2",BI203,0)</f>
        <v>0</v>
      </c>
      <c r="AH203" s="54">
        <f>IF(AQ203="0",BJ203,0)</f>
        <v>0</v>
      </c>
      <c r="AI203" s="34" t="s">
        <v>103</v>
      </c>
      <c r="AJ203" s="67">
        <f>IF(AN203=0,I203,0)</f>
        <v>0</v>
      </c>
      <c r="AK203" s="67">
        <f>IF(AN203=12,I203,0)</f>
        <v>0</v>
      </c>
      <c r="AL203" s="67">
        <f>IF(AN203=21,I203,0)</f>
        <v>0</v>
      </c>
      <c r="AN203" s="54">
        <v>21</v>
      </c>
      <c r="AO203" s="54">
        <f>H203*1</f>
        <v>0</v>
      </c>
      <c r="AP203" s="54">
        <f>H203*(1-1)</f>
        <v>0</v>
      </c>
      <c r="AQ203" s="69" t="s">
        <v>168</v>
      </c>
      <c r="AV203" s="54">
        <f>AW203+AX203</f>
        <v>0</v>
      </c>
      <c r="AW203" s="54">
        <f>G203*AO203</f>
        <v>0</v>
      </c>
      <c r="AX203" s="54">
        <f>G203*AP203</f>
        <v>0</v>
      </c>
      <c r="AY203" s="56" t="s">
        <v>493</v>
      </c>
      <c r="AZ203" s="56" t="s">
        <v>418</v>
      </c>
      <c r="BA203" s="34" t="s">
        <v>114</v>
      </c>
      <c r="BC203" s="54">
        <f>AW203+AX203</f>
        <v>0</v>
      </c>
      <c r="BD203" s="54">
        <f>H203/(100-BE203)*100</f>
        <v>0</v>
      </c>
      <c r="BE203" s="54">
        <v>0</v>
      </c>
      <c r="BF203" s="54">
        <f>L203</f>
        <v>1.2000000000000001E-3</v>
      </c>
      <c r="BH203" s="67">
        <f>G203*AO203</f>
        <v>0</v>
      </c>
      <c r="BI203" s="67">
        <f>G203*AP203</f>
        <v>0</v>
      </c>
      <c r="BJ203" s="67">
        <f>G203*H203</f>
        <v>0</v>
      </c>
      <c r="BK203" s="67"/>
      <c r="BL203" s="54">
        <v>722</v>
      </c>
      <c r="BW203" s="54">
        <v>21</v>
      </c>
      <c r="BX203" s="66" t="s">
        <v>535</v>
      </c>
    </row>
    <row r="204" spans="1:76" ht="14.5" x14ac:dyDescent="0.35">
      <c r="A204" s="57"/>
      <c r="D204" s="58" t="s">
        <v>208</v>
      </c>
      <c r="E204" s="59" t="s">
        <v>508</v>
      </c>
      <c r="G204" s="60">
        <v>0</v>
      </c>
      <c r="M204" s="61"/>
    </row>
    <row r="205" spans="1:76" ht="14.5" x14ac:dyDescent="0.35">
      <c r="A205" s="57"/>
      <c r="D205" s="58" t="s">
        <v>430</v>
      </c>
      <c r="E205" s="59" t="s">
        <v>536</v>
      </c>
      <c r="G205" s="60">
        <v>120</v>
      </c>
      <c r="M205" s="61"/>
    </row>
    <row r="206" spans="1:76" ht="14.5" x14ac:dyDescent="0.35">
      <c r="A206" s="64" t="s">
        <v>537</v>
      </c>
      <c r="B206" s="65" t="s">
        <v>103</v>
      </c>
      <c r="C206" s="65" t="s">
        <v>538</v>
      </c>
      <c r="D206" s="217" t="s">
        <v>539</v>
      </c>
      <c r="E206" s="218"/>
      <c r="F206" s="65" t="s">
        <v>196</v>
      </c>
      <c r="G206" s="67">
        <v>72</v>
      </c>
      <c r="H206" s="85">
        <v>0</v>
      </c>
      <c r="I206" s="67">
        <f>G206*H206</f>
        <v>0</v>
      </c>
      <c r="J206" s="67">
        <v>0</v>
      </c>
      <c r="K206" s="67">
        <v>0</v>
      </c>
      <c r="L206" s="67">
        <f>G206*J206</f>
        <v>0</v>
      </c>
      <c r="M206" s="68" t="s">
        <v>111</v>
      </c>
      <c r="Z206" s="54">
        <f>IF(AQ206="5",BJ206,0)</f>
        <v>0</v>
      </c>
      <c r="AB206" s="54">
        <f>IF(AQ206="1",BH206,0)</f>
        <v>0</v>
      </c>
      <c r="AC206" s="54">
        <f>IF(AQ206="1",BI206,0)</f>
        <v>0</v>
      </c>
      <c r="AD206" s="54">
        <f>IF(AQ206="7",BH206,0)</f>
        <v>0</v>
      </c>
      <c r="AE206" s="54">
        <f>IF(AQ206="7",BI206,0)</f>
        <v>0</v>
      </c>
      <c r="AF206" s="54">
        <f>IF(AQ206="2",BH206,0)</f>
        <v>0</v>
      </c>
      <c r="AG206" s="54">
        <f>IF(AQ206="2",BI206,0)</f>
        <v>0</v>
      </c>
      <c r="AH206" s="54">
        <f>IF(AQ206="0",BJ206,0)</f>
        <v>0</v>
      </c>
      <c r="AI206" s="34" t="s">
        <v>103</v>
      </c>
      <c r="AJ206" s="67">
        <f>IF(AN206=0,I206,0)</f>
        <v>0</v>
      </c>
      <c r="AK206" s="67">
        <f>IF(AN206=12,I206,0)</f>
        <v>0</v>
      </c>
      <c r="AL206" s="67">
        <f>IF(AN206=21,I206,0)</f>
        <v>0</v>
      </c>
      <c r="AN206" s="54">
        <v>21</v>
      </c>
      <c r="AO206" s="54">
        <f>H206*1</f>
        <v>0</v>
      </c>
      <c r="AP206" s="54">
        <f>H206*(1-1)</f>
        <v>0</v>
      </c>
      <c r="AQ206" s="69" t="s">
        <v>168</v>
      </c>
      <c r="AV206" s="54">
        <f>AW206+AX206</f>
        <v>0</v>
      </c>
      <c r="AW206" s="54">
        <f>G206*AO206</f>
        <v>0</v>
      </c>
      <c r="AX206" s="54">
        <f>G206*AP206</f>
        <v>0</v>
      </c>
      <c r="AY206" s="56" t="s">
        <v>493</v>
      </c>
      <c r="AZ206" s="56" t="s">
        <v>418</v>
      </c>
      <c r="BA206" s="34" t="s">
        <v>114</v>
      </c>
      <c r="BC206" s="54">
        <f>AW206+AX206</f>
        <v>0</v>
      </c>
      <c r="BD206" s="54">
        <f>H206/(100-BE206)*100</f>
        <v>0</v>
      </c>
      <c r="BE206" s="54">
        <v>0</v>
      </c>
      <c r="BF206" s="54">
        <f>L206</f>
        <v>0</v>
      </c>
      <c r="BH206" s="67">
        <f>G206*AO206</f>
        <v>0</v>
      </c>
      <c r="BI206" s="67">
        <f>G206*AP206</f>
        <v>0</v>
      </c>
      <c r="BJ206" s="67">
        <f>G206*H206</f>
        <v>0</v>
      </c>
      <c r="BK206" s="67"/>
      <c r="BL206" s="54">
        <v>722</v>
      </c>
      <c r="BW206" s="54">
        <v>21</v>
      </c>
      <c r="BX206" s="66" t="s">
        <v>539</v>
      </c>
    </row>
    <row r="207" spans="1:76" ht="14.5" x14ac:dyDescent="0.35">
      <c r="A207" s="57"/>
      <c r="D207" s="58" t="s">
        <v>208</v>
      </c>
      <c r="E207" s="59" t="s">
        <v>508</v>
      </c>
      <c r="G207" s="60">
        <v>0</v>
      </c>
      <c r="M207" s="61"/>
    </row>
    <row r="208" spans="1:76" ht="14.5" x14ac:dyDescent="0.35">
      <c r="A208" s="57"/>
      <c r="D208" s="58" t="s">
        <v>460</v>
      </c>
      <c r="E208" s="59" t="s">
        <v>540</v>
      </c>
      <c r="G208" s="60">
        <v>72</v>
      </c>
      <c r="M208" s="61"/>
    </row>
    <row r="209" spans="1:76" ht="14.5" x14ac:dyDescent="0.35">
      <c r="A209" s="1" t="s">
        <v>541</v>
      </c>
      <c r="B209" s="2" t="s">
        <v>103</v>
      </c>
      <c r="C209" s="2" t="s">
        <v>542</v>
      </c>
      <c r="D209" s="155" t="s">
        <v>543</v>
      </c>
      <c r="E209" s="153"/>
      <c r="F209" s="2" t="s">
        <v>196</v>
      </c>
      <c r="G209" s="54">
        <v>72</v>
      </c>
      <c r="H209" s="84">
        <v>0</v>
      </c>
      <c r="I209" s="54">
        <f>G209*H209</f>
        <v>0</v>
      </c>
      <c r="J209" s="54">
        <v>8.0000000000000007E-5</v>
      </c>
      <c r="K209" s="54">
        <v>0</v>
      </c>
      <c r="L209" s="54">
        <f>G209*J209</f>
        <v>5.7600000000000004E-3</v>
      </c>
      <c r="M209" s="55" t="s">
        <v>111</v>
      </c>
      <c r="Z209" s="54">
        <f>IF(AQ209="5",BJ209,0)</f>
        <v>0</v>
      </c>
      <c r="AB209" s="54">
        <f>IF(AQ209="1",BH209,0)</f>
        <v>0</v>
      </c>
      <c r="AC209" s="54">
        <f>IF(AQ209="1",BI209,0)</f>
        <v>0</v>
      </c>
      <c r="AD209" s="54">
        <f>IF(AQ209="7",BH209,0)</f>
        <v>0</v>
      </c>
      <c r="AE209" s="54">
        <f>IF(AQ209="7",BI209,0)</f>
        <v>0</v>
      </c>
      <c r="AF209" s="54">
        <f>IF(AQ209="2",BH209,0)</f>
        <v>0</v>
      </c>
      <c r="AG209" s="54">
        <f>IF(AQ209="2",BI209,0)</f>
        <v>0</v>
      </c>
      <c r="AH209" s="54">
        <f>IF(AQ209="0",BJ209,0)</f>
        <v>0</v>
      </c>
      <c r="AI209" s="34" t="s">
        <v>103</v>
      </c>
      <c r="AJ209" s="54">
        <f>IF(AN209=0,I209,0)</f>
        <v>0</v>
      </c>
      <c r="AK209" s="54">
        <f>IF(AN209=12,I209,0)</f>
        <v>0</v>
      </c>
      <c r="AL209" s="54">
        <f>IF(AN209=21,I209,0)</f>
        <v>0</v>
      </c>
      <c r="AN209" s="54">
        <v>21</v>
      </c>
      <c r="AO209" s="54">
        <f>H209*0.013505747</f>
        <v>0</v>
      </c>
      <c r="AP209" s="54">
        <f>H209*(1-0.013505747)</f>
        <v>0</v>
      </c>
      <c r="AQ209" s="56" t="s">
        <v>168</v>
      </c>
      <c r="AV209" s="54">
        <f>AW209+AX209</f>
        <v>0</v>
      </c>
      <c r="AW209" s="54">
        <f>G209*AO209</f>
        <v>0</v>
      </c>
      <c r="AX209" s="54">
        <f>G209*AP209</f>
        <v>0</v>
      </c>
      <c r="AY209" s="56" t="s">
        <v>493</v>
      </c>
      <c r="AZ209" s="56" t="s">
        <v>418</v>
      </c>
      <c r="BA209" s="34" t="s">
        <v>114</v>
      </c>
      <c r="BC209" s="54">
        <f>AW209+AX209</f>
        <v>0</v>
      </c>
      <c r="BD209" s="54">
        <f>H209/(100-BE209)*100</f>
        <v>0</v>
      </c>
      <c r="BE209" s="54">
        <v>0</v>
      </c>
      <c r="BF209" s="54">
        <f>L209</f>
        <v>5.7600000000000004E-3</v>
      </c>
      <c r="BH209" s="54">
        <f>G209*AO209</f>
        <v>0</v>
      </c>
      <c r="BI209" s="54">
        <f>G209*AP209</f>
        <v>0</v>
      </c>
      <c r="BJ209" s="54">
        <f>G209*H209</f>
        <v>0</v>
      </c>
      <c r="BK209" s="54"/>
      <c r="BL209" s="54">
        <v>722</v>
      </c>
      <c r="BW209" s="54">
        <v>21</v>
      </c>
      <c r="BX209" s="3" t="s">
        <v>543</v>
      </c>
    </row>
    <row r="210" spans="1:76" ht="14.5" x14ac:dyDescent="0.35">
      <c r="A210" s="57"/>
      <c r="D210" s="58" t="s">
        <v>208</v>
      </c>
      <c r="E210" s="59" t="s">
        <v>508</v>
      </c>
      <c r="G210" s="60">
        <v>0</v>
      </c>
      <c r="M210" s="61"/>
    </row>
    <row r="211" spans="1:76" ht="14.5" x14ac:dyDescent="0.35">
      <c r="A211" s="57"/>
      <c r="D211" s="58" t="s">
        <v>406</v>
      </c>
      <c r="E211" s="59" t="s">
        <v>544</v>
      </c>
      <c r="G211" s="60">
        <v>24</v>
      </c>
      <c r="M211" s="61"/>
    </row>
    <row r="212" spans="1:76" ht="14.5" x14ac:dyDescent="0.35">
      <c r="A212" s="57"/>
      <c r="D212" s="58" t="s">
        <v>483</v>
      </c>
      <c r="E212" s="59" t="s">
        <v>545</v>
      </c>
      <c r="G212" s="60">
        <v>48</v>
      </c>
      <c r="M212" s="61"/>
    </row>
    <row r="213" spans="1:76" ht="14.5" x14ac:dyDescent="0.35">
      <c r="A213" s="64" t="s">
        <v>546</v>
      </c>
      <c r="B213" s="65" t="s">
        <v>103</v>
      </c>
      <c r="C213" s="65" t="s">
        <v>547</v>
      </c>
      <c r="D213" s="217" t="s">
        <v>548</v>
      </c>
      <c r="E213" s="218"/>
      <c r="F213" s="65" t="s">
        <v>196</v>
      </c>
      <c r="G213" s="67">
        <v>24</v>
      </c>
      <c r="H213" s="85">
        <v>0</v>
      </c>
      <c r="I213" s="67">
        <f>G213*H213</f>
        <v>0</v>
      </c>
      <c r="J213" s="67">
        <v>2.0000000000000002E-5</v>
      </c>
      <c r="K213" s="67">
        <v>0</v>
      </c>
      <c r="L213" s="67">
        <f>G213*J213</f>
        <v>4.8000000000000007E-4</v>
      </c>
      <c r="M213" s="68" t="s">
        <v>111</v>
      </c>
      <c r="Z213" s="54">
        <f>IF(AQ213="5",BJ213,0)</f>
        <v>0</v>
      </c>
      <c r="AB213" s="54">
        <f>IF(AQ213="1",BH213,0)</f>
        <v>0</v>
      </c>
      <c r="AC213" s="54">
        <f>IF(AQ213="1",BI213,0)</f>
        <v>0</v>
      </c>
      <c r="AD213" s="54">
        <f>IF(AQ213="7",BH213,0)</f>
        <v>0</v>
      </c>
      <c r="AE213" s="54">
        <f>IF(AQ213="7",BI213,0)</f>
        <v>0</v>
      </c>
      <c r="AF213" s="54">
        <f>IF(AQ213="2",BH213,0)</f>
        <v>0</v>
      </c>
      <c r="AG213" s="54">
        <f>IF(AQ213="2",BI213,0)</f>
        <v>0</v>
      </c>
      <c r="AH213" s="54">
        <f>IF(AQ213="0",BJ213,0)</f>
        <v>0</v>
      </c>
      <c r="AI213" s="34" t="s">
        <v>103</v>
      </c>
      <c r="AJ213" s="67">
        <f>IF(AN213=0,I213,0)</f>
        <v>0</v>
      </c>
      <c r="AK213" s="67">
        <f>IF(AN213=12,I213,0)</f>
        <v>0</v>
      </c>
      <c r="AL213" s="67">
        <f>IF(AN213=21,I213,0)</f>
        <v>0</v>
      </c>
      <c r="AN213" s="54">
        <v>21</v>
      </c>
      <c r="AO213" s="54">
        <f>H213*1</f>
        <v>0</v>
      </c>
      <c r="AP213" s="54">
        <f>H213*(1-1)</f>
        <v>0</v>
      </c>
      <c r="AQ213" s="69" t="s">
        <v>168</v>
      </c>
      <c r="AV213" s="54">
        <f>AW213+AX213</f>
        <v>0</v>
      </c>
      <c r="AW213" s="54">
        <f>G213*AO213</f>
        <v>0</v>
      </c>
      <c r="AX213" s="54">
        <f>G213*AP213</f>
        <v>0</v>
      </c>
      <c r="AY213" s="56" t="s">
        <v>493</v>
      </c>
      <c r="AZ213" s="56" t="s">
        <v>418</v>
      </c>
      <c r="BA213" s="34" t="s">
        <v>114</v>
      </c>
      <c r="BC213" s="54">
        <f>AW213+AX213</f>
        <v>0</v>
      </c>
      <c r="BD213" s="54">
        <f>H213/(100-BE213)*100</f>
        <v>0</v>
      </c>
      <c r="BE213" s="54">
        <v>0</v>
      </c>
      <c r="BF213" s="54">
        <f>L213</f>
        <v>4.8000000000000007E-4</v>
      </c>
      <c r="BH213" s="67">
        <f>G213*AO213</f>
        <v>0</v>
      </c>
      <c r="BI213" s="67">
        <f>G213*AP213</f>
        <v>0</v>
      </c>
      <c r="BJ213" s="67">
        <f>G213*H213</f>
        <v>0</v>
      </c>
      <c r="BK213" s="67"/>
      <c r="BL213" s="54">
        <v>722</v>
      </c>
      <c r="BW213" s="54">
        <v>21</v>
      </c>
      <c r="BX213" s="66" t="s">
        <v>548</v>
      </c>
    </row>
    <row r="214" spans="1:76" ht="14.5" x14ac:dyDescent="0.35">
      <c r="A214" s="57"/>
      <c r="D214" s="58" t="s">
        <v>208</v>
      </c>
      <c r="E214" s="59" t="s">
        <v>508</v>
      </c>
      <c r="G214" s="60">
        <v>0</v>
      </c>
      <c r="M214" s="61"/>
    </row>
    <row r="215" spans="1:76" ht="14.5" x14ac:dyDescent="0.35">
      <c r="A215" s="57"/>
      <c r="D215" s="58" t="s">
        <v>406</v>
      </c>
      <c r="E215" s="59" t="s">
        <v>549</v>
      </c>
      <c r="G215" s="60">
        <v>24</v>
      </c>
      <c r="M215" s="61"/>
    </row>
    <row r="216" spans="1:76" ht="14.5" x14ac:dyDescent="0.35">
      <c r="A216" s="64" t="s">
        <v>253</v>
      </c>
      <c r="B216" s="65" t="s">
        <v>103</v>
      </c>
      <c r="C216" s="65" t="s">
        <v>550</v>
      </c>
      <c r="D216" s="217" t="s">
        <v>551</v>
      </c>
      <c r="E216" s="218"/>
      <c r="F216" s="65" t="s">
        <v>196</v>
      </c>
      <c r="G216" s="67">
        <v>48</v>
      </c>
      <c r="H216" s="85">
        <v>0</v>
      </c>
      <c r="I216" s="67">
        <f>G216*H216</f>
        <v>0</v>
      </c>
      <c r="J216" s="67">
        <v>2.0000000000000002E-5</v>
      </c>
      <c r="K216" s="67">
        <v>0</v>
      </c>
      <c r="L216" s="67">
        <f>G216*J216</f>
        <v>9.6000000000000013E-4</v>
      </c>
      <c r="M216" s="68" t="s">
        <v>111</v>
      </c>
      <c r="Z216" s="54">
        <f>IF(AQ216="5",BJ216,0)</f>
        <v>0</v>
      </c>
      <c r="AB216" s="54">
        <f>IF(AQ216="1",BH216,0)</f>
        <v>0</v>
      </c>
      <c r="AC216" s="54">
        <f>IF(AQ216="1",BI216,0)</f>
        <v>0</v>
      </c>
      <c r="AD216" s="54">
        <f>IF(AQ216="7",BH216,0)</f>
        <v>0</v>
      </c>
      <c r="AE216" s="54">
        <f>IF(AQ216="7",BI216,0)</f>
        <v>0</v>
      </c>
      <c r="AF216" s="54">
        <f>IF(AQ216="2",BH216,0)</f>
        <v>0</v>
      </c>
      <c r="AG216" s="54">
        <f>IF(AQ216="2",BI216,0)</f>
        <v>0</v>
      </c>
      <c r="AH216" s="54">
        <f>IF(AQ216="0",BJ216,0)</f>
        <v>0</v>
      </c>
      <c r="AI216" s="34" t="s">
        <v>103</v>
      </c>
      <c r="AJ216" s="67">
        <f>IF(AN216=0,I216,0)</f>
        <v>0</v>
      </c>
      <c r="AK216" s="67">
        <f>IF(AN216=12,I216,0)</f>
        <v>0</v>
      </c>
      <c r="AL216" s="67">
        <f>IF(AN216=21,I216,0)</f>
        <v>0</v>
      </c>
      <c r="AN216" s="54">
        <v>21</v>
      </c>
      <c r="AO216" s="54">
        <f>H216*1</f>
        <v>0</v>
      </c>
      <c r="AP216" s="54">
        <f>H216*(1-1)</f>
        <v>0</v>
      </c>
      <c r="AQ216" s="69" t="s">
        <v>168</v>
      </c>
      <c r="AV216" s="54">
        <f>AW216+AX216</f>
        <v>0</v>
      </c>
      <c r="AW216" s="54">
        <f>G216*AO216</f>
        <v>0</v>
      </c>
      <c r="AX216" s="54">
        <f>G216*AP216</f>
        <v>0</v>
      </c>
      <c r="AY216" s="56" t="s">
        <v>493</v>
      </c>
      <c r="AZ216" s="56" t="s">
        <v>418</v>
      </c>
      <c r="BA216" s="34" t="s">
        <v>114</v>
      </c>
      <c r="BC216" s="54">
        <f>AW216+AX216</f>
        <v>0</v>
      </c>
      <c r="BD216" s="54">
        <f>H216/(100-BE216)*100</f>
        <v>0</v>
      </c>
      <c r="BE216" s="54">
        <v>0</v>
      </c>
      <c r="BF216" s="54">
        <f>L216</f>
        <v>9.6000000000000013E-4</v>
      </c>
      <c r="BH216" s="67">
        <f>G216*AO216</f>
        <v>0</v>
      </c>
      <c r="BI216" s="67">
        <f>G216*AP216</f>
        <v>0</v>
      </c>
      <c r="BJ216" s="67">
        <f>G216*H216</f>
        <v>0</v>
      </c>
      <c r="BK216" s="67"/>
      <c r="BL216" s="54">
        <v>722</v>
      </c>
      <c r="BW216" s="54">
        <v>21</v>
      </c>
      <c r="BX216" s="66" t="s">
        <v>551</v>
      </c>
    </row>
    <row r="217" spans="1:76" ht="14.5" x14ac:dyDescent="0.35">
      <c r="A217" s="57"/>
      <c r="D217" s="58" t="s">
        <v>208</v>
      </c>
      <c r="E217" s="59" t="s">
        <v>508</v>
      </c>
      <c r="G217" s="60">
        <v>0</v>
      </c>
      <c r="M217" s="61"/>
    </row>
    <row r="218" spans="1:76" ht="14.5" x14ac:dyDescent="0.35">
      <c r="A218" s="57"/>
      <c r="D218" s="58" t="s">
        <v>483</v>
      </c>
      <c r="E218" s="59" t="s">
        <v>552</v>
      </c>
      <c r="G218" s="60">
        <v>48</v>
      </c>
      <c r="M218" s="61"/>
    </row>
    <row r="219" spans="1:76" ht="25" x14ac:dyDescent="0.35">
      <c r="A219" s="1" t="s">
        <v>553</v>
      </c>
      <c r="B219" s="2" t="s">
        <v>103</v>
      </c>
      <c r="C219" s="2" t="s">
        <v>554</v>
      </c>
      <c r="D219" s="155" t="s">
        <v>555</v>
      </c>
      <c r="E219" s="153"/>
      <c r="F219" s="2" t="s">
        <v>153</v>
      </c>
      <c r="G219" s="54">
        <v>100.8</v>
      </c>
      <c r="H219" s="84">
        <v>0</v>
      </c>
      <c r="I219" s="54">
        <f>G219*H219</f>
        <v>0</v>
      </c>
      <c r="J219" s="54">
        <v>2.0000000000000002E-5</v>
      </c>
      <c r="K219" s="54">
        <v>0</v>
      </c>
      <c r="L219" s="54">
        <f>G219*J219</f>
        <v>2.016E-3</v>
      </c>
      <c r="M219" s="55" t="s">
        <v>10</v>
      </c>
      <c r="Z219" s="54">
        <f>IF(AQ219="5",BJ219,0)</f>
        <v>0</v>
      </c>
      <c r="AB219" s="54">
        <f>IF(AQ219="1",BH219,0)</f>
        <v>0</v>
      </c>
      <c r="AC219" s="54">
        <f>IF(AQ219="1",BI219,0)</f>
        <v>0</v>
      </c>
      <c r="AD219" s="54">
        <f>IF(AQ219="7",BH219,0)</f>
        <v>0</v>
      </c>
      <c r="AE219" s="54">
        <f>IF(AQ219="7",BI219,0)</f>
        <v>0</v>
      </c>
      <c r="AF219" s="54">
        <f>IF(AQ219="2",BH219,0)</f>
        <v>0</v>
      </c>
      <c r="AG219" s="54">
        <f>IF(AQ219="2",BI219,0)</f>
        <v>0</v>
      </c>
      <c r="AH219" s="54">
        <f>IF(AQ219="0",BJ219,0)</f>
        <v>0</v>
      </c>
      <c r="AI219" s="34" t="s">
        <v>103</v>
      </c>
      <c r="AJ219" s="54">
        <f>IF(AN219=0,I219,0)</f>
        <v>0</v>
      </c>
      <c r="AK219" s="54">
        <f>IF(AN219=12,I219,0)</f>
        <v>0</v>
      </c>
      <c r="AL219" s="54">
        <f>IF(AN219=21,I219,0)</f>
        <v>0</v>
      </c>
      <c r="AN219" s="54">
        <v>21</v>
      </c>
      <c r="AO219" s="54">
        <f>H219*0.155978119</f>
        <v>0</v>
      </c>
      <c r="AP219" s="54">
        <f>H219*(1-0.155978119)</f>
        <v>0</v>
      </c>
      <c r="AQ219" s="56" t="s">
        <v>168</v>
      </c>
      <c r="AV219" s="54">
        <f>AW219+AX219</f>
        <v>0</v>
      </c>
      <c r="AW219" s="54">
        <f>G219*AO219</f>
        <v>0</v>
      </c>
      <c r="AX219" s="54">
        <f>G219*AP219</f>
        <v>0</v>
      </c>
      <c r="AY219" s="56" t="s">
        <v>493</v>
      </c>
      <c r="AZ219" s="56" t="s">
        <v>418</v>
      </c>
      <c r="BA219" s="34" t="s">
        <v>114</v>
      </c>
      <c r="BC219" s="54">
        <f>AW219+AX219</f>
        <v>0</v>
      </c>
      <c r="BD219" s="54">
        <f>H219/(100-BE219)*100</f>
        <v>0</v>
      </c>
      <c r="BE219" s="54">
        <v>0</v>
      </c>
      <c r="BF219" s="54">
        <f>L219</f>
        <v>2.016E-3</v>
      </c>
      <c r="BH219" s="54">
        <f>G219*AO219</f>
        <v>0</v>
      </c>
      <c r="BI219" s="54">
        <f>G219*AP219</f>
        <v>0</v>
      </c>
      <c r="BJ219" s="54">
        <f>G219*H219</f>
        <v>0</v>
      </c>
      <c r="BK219" s="54"/>
      <c r="BL219" s="54">
        <v>722</v>
      </c>
      <c r="BW219" s="54">
        <v>21</v>
      </c>
      <c r="BX219" s="3" t="s">
        <v>555</v>
      </c>
    </row>
    <row r="220" spans="1:76" ht="14.5" x14ac:dyDescent="0.35">
      <c r="A220" s="57"/>
      <c r="D220" s="58" t="s">
        <v>208</v>
      </c>
      <c r="E220" s="59" t="s">
        <v>473</v>
      </c>
      <c r="G220" s="60">
        <v>0</v>
      </c>
      <c r="M220" s="61"/>
    </row>
    <row r="221" spans="1:76" ht="14.5" x14ac:dyDescent="0.35">
      <c r="A221" s="57"/>
      <c r="D221" s="58" t="s">
        <v>494</v>
      </c>
      <c r="E221" s="59" t="s">
        <v>495</v>
      </c>
      <c r="G221" s="60">
        <v>100.8</v>
      </c>
      <c r="M221" s="61"/>
    </row>
    <row r="222" spans="1:76" ht="25" x14ac:dyDescent="0.35">
      <c r="A222" s="1" t="s">
        <v>322</v>
      </c>
      <c r="B222" s="2" t="s">
        <v>103</v>
      </c>
      <c r="C222" s="2" t="s">
        <v>557</v>
      </c>
      <c r="D222" s="155" t="s">
        <v>558</v>
      </c>
      <c r="E222" s="153"/>
      <c r="F222" s="2" t="s">
        <v>153</v>
      </c>
      <c r="G222" s="54">
        <v>33.6</v>
      </c>
      <c r="H222" s="84">
        <v>0</v>
      </c>
      <c r="I222" s="54">
        <f>G222*H222</f>
        <v>0</v>
      </c>
      <c r="J222" s="54">
        <v>2.0000000000000002E-5</v>
      </c>
      <c r="K222" s="54">
        <v>0</v>
      </c>
      <c r="L222" s="54">
        <f>G222*J222</f>
        <v>6.7200000000000007E-4</v>
      </c>
      <c r="M222" s="55" t="s">
        <v>10</v>
      </c>
      <c r="Z222" s="54">
        <f>IF(AQ222="5",BJ222,0)</f>
        <v>0</v>
      </c>
      <c r="AB222" s="54">
        <f>IF(AQ222="1",BH222,0)</f>
        <v>0</v>
      </c>
      <c r="AC222" s="54">
        <f>IF(AQ222="1",BI222,0)</f>
        <v>0</v>
      </c>
      <c r="AD222" s="54">
        <f>IF(AQ222="7",BH222,0)</f>
        <v>0</v>
      </c>
      <c r="AE222" s="54">
        <f>IF(AQ222="7",BI222,0)</f>
        <v>0</v>
      </c>
      <c r="AF222" s="54">
        <f>IF(AQ222="2",BH222,0)</f>
        <v>0</v>
      </c>
      <c r="AG222" s="54">
        <f>IF(AQ222="2",BI222,0)</f>
        <v>0</v>
      </c>
      <c r="AH222" s="54">
        <f>IF(AQ222="0",BJ222,0)</f>
        <v>0</v>
      </c>
      <c r="AI222" s="34" t="s">
        <v>103</v>
      </c>
      <c r="AJ222" s="54">
        <f>IF(AN222=0,I222,0)</f>
        <v>0</v>
      </c>
      <c r="AK222" s="54">
        <f>IF(AN222=12,I222,0)</f>
        <v>0</v>
      </c>
      <c r="AL222" s="54">
        <f>IF(AN222=21,I222,0)</f>
        <v>0</v>
      </c>
      <c r="AN222" s="54">
        <v>21</v>
      </c>
      <c r="AO222" s="54">
        <f>H222*0.16705443</f>
        <v>0</v>
      </c>
      <c r="AP222" s="54">
        <f>H222*(1-0.16705443)</f>
        <v>0</v>
      </c>
      <c r="AQ222" s="56" t="s">
        <v>168</v>
      </c>
      <c r="AV222" s="54">
        <f>AW222+AX222</f>
        <v>0</v>
      </c>
      <c r="AW222" s="54">
        <f>G222*AO222</f>
        <v>0</v>
      </c>
      <c r="AX222" s="54">
        <f>G222*AP222</f>
        <v>0</v>
      </c>
      <c r="AY222" s="56" t="s">
        <v>493</v>
      </c>
      <c r="AZ222" s="56" t="s">
        <v>418</v>
      </c>
      <c r="BA222" s="34" t="s">
        <v>114</v>
      </c>
      <c r="BC222" s="54">
        <f>AW222+AX222</f>
        <v>0</v>
      </c>
      <c r="BD222" s="54">
        <f>H222/(100-BE222)*100</f>
        <v>0</v>
      </c>
      <c r="BE222" s="54">
        <v>0</v>
      </c>
      <c r="BF222" s="54">
        <f>L222</f>
        <v>6.7200000000000007E-4</v>
      </c>
      <c r="BH222" s="54">
        <f>G222*AO222</f>
        <v>0</v>
      </c>
      <c r="BI222" s="54">
        <f>G222*AP222</f>
        <v>0</v>
      </c>
      <c r="BJ222" s="54">
        <f>G222*H222</f>
        <v>0</v>
      </c>
      <c r="BK222" s="54"/>
      <c r="BL222" s="54">
        <v>722</v>
      </c>
      <c r="BW222" s="54">
        <v>21</v>
      </c>
      <c r="BX222" s="3" t="s">
        <v>558</v>
      </c>
    </row>
    <row r="223" spans="1:76" ht="14.5" x14ac:dyDescent="0.35">
      <c r="A223" s="57"/>
      <c r="D223" s="58" t="s">
        <v>208</v>
      </c>
      <c r="E223" s="59" t="s">
        <v>473</v>
      </c>
      <c r="G223" s="60">
        <v>0</v>
      </c>
      <c r="M223" s="61"/>
    </row>
    <row r="224" spans="1:76" ht="14.5" x14ac:dyDescent="0.35">
      <c r="A224" s="57"/>
      <c r="D224" s="58" t="s">
        <v>501</v>
      </c>
      <c r="E224" s="59" t="s">
        <v>502</v>
      </c>
      <c r="G224" s="60">
        <v>33.6</v>
      </c>
      <c r="M224" s="61"/>
    </row>
    <row r="225" spans="1:76" ht="25" x14ac:dyDescent="0.35">
      <c r="A225" s="1" t="s">
        <v>343</v>
      </c>
      <c r="B225" s="2" t="s">
        <v>103</v>
      </c>
      <c r="C225" s="2" t="s">
        <v>559</v>
      </c>
      <c r="D225" s="155" t="s">
        <v>560</v>
      </c>
      <c r="E225" s="153"/>
      <c r="F225" s="2" t="s">
        <v>153</v>
      </c>
      <c r="G225" s="54">
        <v>81.599999999999994</v>
      </c>
      <c r="H225" s="84">
        <v>0</v>
      </c>
      <c r="I225" s="54">
        <f>G225*H225</f>
        <v>0</v>
      </c>
      <c r="J225" s="54">
        <v>4.0000000000000003E-5</v>
      </c>
      <c r="K225" s="54">
        <v>0</v>
      </c>
      <c r="L225" s="54">
        <f>G225*J225</f>
        <v>3.264E-3</v>
      </c>
      <c r="M225" s="55" t="s">
        <v>10</v>
      </c>
      <c r="Z225" s="54">
        <f>IF(AQ225="5",BJ225,0)</f>
        <v>0</v>
      </c>
      <c r="AB225" s="54">
        <f>IF(AQ225="1",BH225,0)</f>
        <v>0</v>
      </c>
      <c r="AC225" s="54">
        <f>IF(AQ225="1",BI225,0)</f>
        <v>0</v>
      </c>
      <c r="AD225" s="54">
        <f>IF(AQ225="7",BH225,0)</f>
        <v>0</v>
      </c>
      <c r="AE225" s="54">
        <f>IF(AQ225="7",BI225,0)</f>
        <v>0</v>
      </c>
      <c r="AF225" s="54">
        <f>IF(AQ225="2",BH225,0)</f>
        <v>0</v>
      </c>
      <c r="AG225" s="54">
        <f>IF(AQ225="2",BI225,0)</f>
        <v>0</v>
      </c>
      <c r="AH225" s="54">
        <f>IF(AQ225="0",BJ225,0)</f>
        <v>0</v>
      </c>
      <c r="AI225" s="34" t="s">
        <v>103</v>
      </c>
      <c r="AJ225" s="54">
        <f>IF(AN225=0,I225,0)</f>
        <v>0</v>
      </c>
      <c r="AK225" s="54">
        <f>IF(AN225=12,I225,0)</f>
        <v>0</v>
      </c>
      <c r="AL225" s="54">
        <f>IF(AN225=21,I225,0)</f>
        <v>0</v>
      </c>
      <c r="AN225" s="54">
        <v>21</v>
      </c>
      <c r="AO225" s="54">
        <f>H225*0.250690659</f>
        <v>0</v>
      </c>
      <c r="AP225" s="54">
        <f>H225*(1-0.250690659)</f>
        <v>0</v>
      </c>
      <c r="AQ225" s="56" t="s">
        <v>168</v>
      </c>
      <c r="AV225" s="54">
        <f>AW225+AX225</f>
        <v>0</v>
      </c>
      <c r="AW225" s="54">
        <f>G225*AO225</f>
        <v>0</v>
      </c>
      <c r="AX225" s="54">
        <f>G225*AP225</f>
        <v>0</v>
      </c>
      <c r="AY225" s="56" t="s">
        <v>493</v>
      </c>
      <c r="AZ225" s="56" t="s">
        <v>418</v>
      </c>
      <c r="BA225" s="34" t="s">
        <v>114</v>
      </c>
      <c r="BC225" s="54">
        <f>AW225+AX225</f>
        <v>0</v>
      </c>
      <c r="BD225" s="54">
        <f>H225/(100-BE225)*100</f>
        <v>0</v>
      </c>
      <c r="BE225" s="54">
        <v>0</v>
      </c>
      <c r="BF225" s="54">
        <f>L225</f>
        <v>3.264E-3</v>
      </c>
      <c r="BH225" s="54">
        <f>G225*AO225</f>
        <v>0</v>
      </c>
      <c r="BI225" s="54">
        <f>G225*AP225</f>
        <v>0</v>
      </c>
      <c r="BJ225" s="54">
        <f>G225*H225</f>
        <v>0</v>
      </c>
      <c r="BK225" s="54"/>
      <c r="BL225" s="54">
        <v>722</v>
      </c>
      <c r="BW225" s="54">
        <v>21</v>
      </c>
      <c r="BX225" s="3" t="s">
        <v>560</v>
      </c>
    </row>
    <row r="226" spans="1:76" ht="14.5" x14ac:dyDescent="0.35">
      <c r="A226" s="57"/>
      <c r="D226" s="58" t="s">
        <v>208</v>
      </c>
      <c r="E226" s="59" t="s">
        <v>473</v>
      </c>
      <c r="G226" s="60">
        <v>0</v>
      </c>
      <c r="M226" s="61"/>
    </row>
    <row r="227" spans="1:76" ht="14.5" x14ac:dyDescent="0.35">
      <c r="A227" s="57"/>
      <c r="D227" s="58" t="s">
        <v>496</v>
      </c>
      <c r="E227" s="59" t="s">
        <v>497</v>
      </c>
      <c r="G227" s="60">
        <v>81.599999999999994</v>
      </c>
      <c r="M227" s="61"/>
    </row>
    <row r="228" spans="1:76" ht="25" x14ac:dyDescent="0.35">
      <c r="A228" s="1" t="s">
        <v>561</v>
      </c>
      <c r="B228" s="2" t="s">
        <v>103</v>
      </c>
      <c r="C228" s="2" t="s">
        <v>562</v>
      </c>
      <c r="D228" s="155" t="s">
        <v>563</v>
      </c>
      <c r="E228" s="153"/>
      <c r="F228" s="2" t="s">
        <v>153</v>
      </c>
      <c r="G228" s="54">
        <v>31.2</v>
      </c>
      <c r="H228" s="84">
        <v>0</v>
      </c>
      <c r="I228" s="54">
        <f>G228*H228</f>
        <v>0</v>
      </c>
      <c r="J228" s="54">
        <v>4.0000000000000003E-5</v>
      </c>
      <c r="K228" s="54">
        <v>0</v>
      </c>
      <c r="L228" s="54">
        <f>G228*J228</f>
        <v>1.248E-3</v>
      </c>
      <c r="M228" s="55" t="s">
        <v>10</v>
      </c>
      <c r="Z228" s="54">
        <f>IF(AQ228="5",BJ228,0)</f>
        <v>0</v>
      </c>
      <c r="AB228" s="54">
        <f>IF(AQ228="1",BH228,0)</f>
        <v>0</v>
      </c>
      <c r="AC228" s="54">
        <f>IF(AQ228="1",BI228,0)</f>
        <v>0</v>
      </c>
      <c r="AD228" s="54">
        <f>IF(AQ228="7",BH228,0)</f>
        <v>0</v>
      </c>
      <c r="AE228" s="54">
        <f>IF(AQ228="7",BI228,0)</f>
        <v>0</v>
      </c>
      <c r="AF228" s="54">
        <f>IF(AQ228="2",BH228,0)</f>
        <v>0</v>
      </c>
      <c r="AG228" s="54">
        <f>IF(AQ228="2",BI228,0)</f>
        <v>0</v>
      </c>
      <c r="AH228" s="54">
        <f>IF(AQ228="0",BJ228,0)</f>
        <v>0</v>
      </c>
      <c r="AI228" s="34" t="s">
        <v>103</v>
      </c>
      <c r="AJ228" s="54">
        <f>IF(AN228=0,I228,0)</f>
        <v>0</v>
      </c>
      <c r="AK228" s="54">
        <f>IF(AN228=12,I228,0)</f>
        <v>0</v>
      </c>
      <c r="AL228" s="54">
        <f>IF(AN228=21,I228,0)</f>
        <v>0</v>
      </c>
      <c r="AN228" s="54">
        <v>21</v>
      </c>
      <c r="AO228" s="54">
        <f>H228*0.266673304</f>
        <v>0</v>
      </c>
      <c r="AP228" s="54">
        <f>H228*(1-0.266673304)</f>
        <v>0</v>
      </c>
      <c r="AQ228" s="56" t="s">
        <v>168</v>
      </c>
      <c r="AV228" s="54">
        <f>AW228+AX228</f>
        <v>0</v>
      </c>
      <c r="AW228" s="54">
        <f>G228*AO228</f>
        <v>0</v>
      </c>
      <c r="AX228" s="54">
        <f>G228*AP228</f>
        <v>0</v>
      </c>
      <c r="AY228" s="56" t="s">
        <v>493</v>
      </c>
      <c r="AZ228" s="56" t="s">
        <v>418</v>
      </c>
      <c r="BA228" s="34" t="s">
        <v>114</v>
      </c>
      <c r="BC228" s="54">
        <f>AW228+AX228</f>
        <v>0</v>
      </c>
      <c r="BD228" s="54">
        <f>H228/(100-BE228)*100</f>
        <v>0</v>
      </c>
      <c r="BE228" s="54">
        <v>0</v>
      </c>
      <c r="BF228" s="54">
        <f>L228</f>
        <v>1.248E-3</v>
      </c>
      <c r="BH228" s="54">
        <f>G228*AO228</f>
        <v>0</v>
      </c>
      <c r="BI228" s="54">
        <f>G228*AP228</f>
        <v>0</v>
      </c>
      <c r="BJ228" s="54">
        <f>G228*H228</f>
        <v>0</v>
      </c>
      <c r="BK228" s="54"/>
      <c r="BL228" s="54">
        <v>722</v>
      </c>
      <c r="BW228" s="54">
        <v>21</v>
      </c>
      <c r="BX228" s="3" t="s">
        <v>563</v>
      </c>
    </row>
    <row r="229" spans="1:76" ht="14.5" x14ac:dyDescent="0.35">
      <c r="A229" s="57"/>
      <c r="D229" s="58" t="s">
        <v>208</v>
      </c>
      <c r="E229" s="59" t="s">
        <v>473</v>
      </c>
      <c r="G229" s="60">
        <v>0</v>
      </c>
      <c r="M229" s="61"/>
    </row>
    <row r="230" spans="1:76" ht="14.5" x14ac:dyDescent="0.35">
      <c r="A230" s="57"/>
      <c r="D230" s="58" t="s">
        <v>503</v>
      </c>
      <c r="E230" s="59" t="s">
        <v>504</v>
      </c>
      <c r="G230" s="60">
        <v>31.2</v>
      </c>
      <c r="M230" s="61"/>
    </row>
    <row r="231" spans="1:76" ht="14.5" x14ac:dyDescent="0.35">
      <c r="A231" s="1" t="s">
        <v>564</v>
      </c>
      <c r="B231" s="2" t="s">
        <v>103</v>
      </c>
      <c r="C231" s="2" t="s">
        <v>565</v>
      </c>
      <c r="D231" s="155" t="s">
        <v>566</v>
      </c>
      <c r="E231" s="153"/>
      <c r="F231" s="2" t="s">
        <v>196</v>
      </c>
      <c r="G231" s="54">
        <v>96</v>
      </c>
      <c r="H231" s="84">
        <v>0</v>
      </c>
      <c r="I231" s="54">
        <f>G231*H231</f>
        <v>0</v>
      </c>
      <c r="J231" s="54">
        <v>0</v>
      </c>
      <c r="K231" s="54">
        <v>0</v>
      </c>
      <c r="L231" s="54">
        <f>G231*J231</f>
        <v>0</v>
      </c>
      <c r="M231" s="55" t="s">
        <v>111</v>
      </c>
      <c r="Z231" s="54">
        <f>IF(AQ231="5",BJ231,0)</f>
        <v>0</v>
      </c>
      <c r="AB231" s="54">
        <f>IF(AQ231="1",BH231,0)</f>
        <v>0</v>
      </c>
      <c r="AC231" s="54">
        <f>IF(AQ231="1",BI231,0)</f>
        <v>0</v>
      </c>
      <c r="AD231" s="54">
        <f>IF(AQ231="7",BH231,0)</f>
        <v>0</v>
      </c>
      <c r="AE231" s="54">
        <f>IF(AQ231="7",BI231,0)</f>
        <v>0</v>
      </c>
      <c r="AF231" s="54">
        <f>IF(AQ231="2",BH231,0)</f>
        <v>0</v>
      </c>
      <c r="AG231" s="54">
        <f>IF(AQ231="2",BI231,0)</f>
        <v>0</v>
      </c>
      <c r="AH231" s="54">
        <f>IF(AQ231="0",BJ231,0)</f>
        <v>0</v>
      </c>
      <c r="AI231" s="34" t="s">
        <v>103</v>
      </c>
      <c r="AJ231" s="54">
        <f>IF(AN231=0,I231,0)</f>
        <v>0</v>
      </c>
      <c r="AK231" s="54">
        <f>IF(AN231=12,I231,0)</f>
        <v>0</v>
      </c>
      <c r="AL231" s="54">
        <f>IF(AN231=21,I231,0)</f>
        <v>0</v>
      </c>
      <c r="AN231" s="54">
        <v>21</v>
      </c>
      <c r="AO231" s="54">
        <f>H231*0</f>
        <v>0</v>
      </c>
      <c r="AP231" s="54">
        <f>H231*(1-0)</f>
        <v>0</v>
      </c>
      <c r="AQ231" s="56" t="s">
        <v>168</v>
      </c>
      <c r="AV231" s="54">
        <f>AW231+AX231</f>
        <v>0</v>
      </c>
      <c r="AW231" s="54">
        <f>G231*AO231</f>
        <v>0</v>
      </c>
      <c r="AX231" s="54">
        <f>G231*AP231</f>
        <v>0</v>
      </c>
      <c r="AY231" s="56" t="s">
        <v>493</v>
      </c>
      <c r="AZ231" s="56" t="s">
        <v>418</v>
      </c>
      <c r="BA231" s="34" t="s">
        <v>114</v>
      </c>
      <c r="BC231" s="54">
        <f>AW231+AX231</f>
        <v>0</v>
      </c>
      <c r="BD231" s="54">
        <f>H231/(100-BE231)*100</f>
        <v>0</v>
      </c>
      <c r="BE231" s="54">
        <v>0</v>
      </c>
      <c r="BF231" s="54">
        <f>L231</f>
        <v>0</v>
      </c>
      <c r="BH231" s="54">
        <f>G231*AO231</f>
        <v>0</v>
      </c>
      <c r="BI231" s="54">
        <f>G231*AP231</f>
        <v>0</v>
      </c>
      <c r="BJ231" s="54">
        <f>G231*H231</f>
        <v>0</v>
      </c>
      <c r="BK231" s="54"/>
      <c r="BL231" s="54">
        <v>722</v>
      </c>
      <c r="BW231" s="54">
        <v>21</v>
      </c>
      <c r="BX231" s="3" t="s">
        <v>566</v>
      </c>
    </row>
    <row r="232" spans="1:76" ht="14.5" x14ac:dyDescent="0.35">
      <c r="A232" s="57"/>
      <c r="D232" s="58" t="s">
        <v>208</v>
      </c>
      <c r="E232" s="59" t="s">
        <v>520</v>
      </c>
      <c r="G232" s="60">
        <v>0</v>
      </c>
      <c r="M232" s="61"/>
    </row>
    <row r="233" spans="1:76" ht="14.5" x14ac:dyDescent="0.35">
      <c r="A233" s="57"/>
      <c r="D233" s="58" t="s">
        <v>521</v>
      </c>
      <c r="E233" s="59" t="s">
        <v>567</v>
      </c>
      <c r="G233" s="60">
        <v>96</v>
      </c>
      <c r="M233" s="61"/>
    </row>
    <row r="234" spans="1:76" ht="14.5" x14ac:dyDescent="0.35">
      <c r="A234" s="1" t="s">
        <v>568</v>
      </c>
      <c r="B234" s="2" t="s">
        <v>103</v>
      </c>
      <c r="C234" s="2" t="s">
        <v>569</v>
      </c>
      <c r="D234" s="155" t="s">
        <v>570</v>
      </c>
      <c r="E234" s="153"/>
      <c r="F234" s="2" t="s">
        <v>196</v>
      </c>
      <c r="G234" s="54">
        <v>2</v>
      </c>
      <c r="H234" s="84">
        <v>0</v>
      </c>
      <c r="I234" s="54">
        <f>G234*H234</f>
        <v>0</v>
      </c>
      <c r="J234" s="54">
        <v>2.4399999999999999E-3</v>
      </c>
      <c r="K234" s="54">
        <v>2.4399999999999999E-3</v>
      </c>
      <c r="L234" s="54">
        <f>G234*J234</f>
        <v>4.8799999999999998E-3</v>
      </c>
      <c r="M234" s="55" t="s">
        <v>111</v>
      </c>
      <c r="Z234" s="54">
        <f>IF(AQ234="5",BJ234,0)</f>
        <v>0</v>
      </c>
      <c r="AB234" s="54">
        <f>IF(AQ234="1",BH234,0)</f>
        <v>0</v>
      </c>
      <c r="AC234" s="54">
        <f>IF(AQ234="1",BI234,0)</f>
        <v>0</v>
      </c>
      <c r="AD234" s="54">
        <f>IF(AQ234="7",BH234,0)</f>
        <v>0</v>
      </c>
      <c r="AE234" s="54">
        <f>IF(AQ234="7",BI234,0)</f>
        <v>0</v>
      </c>
      <c r="AF234" s="54">
        <f>IF(AQ234="2",BH234,0)</f>
        <v>0</v>
      </c>
      <c r="AG234" s="54">
        <f>IF(AQ234="2",BI234,0)</f>
        <v>0</v>
      </c>
      <c r="AH234" s="54">
        <f>IF(AQ234="0",BJ234,0)</f>
        <v>0</v>
      </c>
      <c r="AI234" s="34" t="s">
        <v>103</v>
      </c>
      <c r="AJ234" s="54">
        <f>IF(AN234=0,I234,0)</f>
        <v>0</v>
      </c>
      <c r="AK234" s="54">
        <f>IF(AN234=12,I234,0)</f>
        <v>0</v>
      </c>
      <c r="AL234" s="54">
        <f>IF(AN234=21,I234,0)</f>
        <v>0</v>
      </c>
      <c r="AN234" s="54">
        <v>21</v>
      </c>
      <c r="AO234" s="54">
        <f>H234*0</f>
        <v>0</v>
      </c>
      <c r="AP234" s="54">
        <f>H234*(1-0)</f>
        <v>0</v>
      </c>
      <c r="AQ234" s="56" t="s">
        <v>168</v>
      </c>
      <c r="AV234" s="54">
        <f>AW234+AX234</f>
        <v>0</v>
      </c>
      <c r="AW234" s="54">
        <f>G234*AO234</f>
        <v>0</v>
      </c>
      <c r="AX234" s="54">
        <f>G234*AP234</f>
        <v>0</v>
      </c>
      <c r="AY234" s="56" t="s">
        <v>493</v>
      </c>
      <c r="AZ234" s="56" t="s">
        <v>418</v>
      </c>
      <c r="BA234" s="34" t="s">
        <v>114</v>
      </c>
      <c r="BC234" s="54">
        <f>AW234+AX234</f>
        <v>0</v>
      </c>
      <c r="BD234" s="54">
        <f>H234/(100-BE234)*100</f>
        <v>0</v>
      </c>
      <c r="BE234" s="54">
        <v>0</v>
      </c>
      <c r="BF234" s="54">
        <f>L234</f>
        <v>4.8799999999999998E-3</v>
      </c>
      <c r="BH234" s="54">
        <f>G234*AO234</f>
        <v>0</v>
      </c>
      <c r="BI234" s="54">
        <f>G234*AP234</f>
        <v>0</v>
      </c>
      <c r="BJ234" s="54">
        <f>G234*H234</f>
        <v>0</v>
      </c>
      <c r="BK234" s="54"/>
      <c r="BL234" s="54">
        <v>722</v>
      </c>
      <c r="BW234" s="54">
        <v>21</v>
      </c>
      <c r="BX234" s="3" t="s">
        <v>570</v>
      </c>
    </row>
    <row r="235" spans="1:76" ht="14.5" x14ac:dyDescent="0.35">
      <c r="A235" s="57"/>
      <c r="D235" s="58" t="s">
        <v>572</v>
      </c>
      <c r="E235" s="59" t="s">
        <v>573</v>
      </c>
      <c r="G235" s="60">
        <v>2</v>
      </c>
      <c r="M235" s="61"/>
    </row>
    <row r="236" spans="1:76" ht="14.5" x14ac:dyDescent="0.35">
      <c r="A236" s="1" t="s">
        <v>574</v>
      </c>
      <c r="B236" s="2" t="s">
        <v>103</v>
      </c>
      <c r="C236" s="2" t="s">
        <v>575</v>
      </c>
      <c r="D236" s="155" t="s">
        <v>576</v>
      </c>
      <c r="E236" s="153"/>
      <c r="F236" s="2" t="s">
        <v>196</v>
      </c>
      <c r="G236" s="54">
        <v>2</v>
      </c>
      <c r="H236" s="84">
        <v>0</v>
      </c>
      <c r="I236" s="54">
        <f>G236*H236</f>
        <v>0</v>
      </c>
      <c r="J236" s="54">
        <v>2.0000000000000002E-5</v>
      </c>
      <c r="K236" s="54">
        <v>0</v>
      </c>
      <c r="L236" s="54">
        <f>G236*J236</f>
        <v>4.0000000000000003E-5</v>
      </c>
      <c r="M236" s="55" t="s">
        <v>111</v>
      </c>
      <c r="Z236" s="54">
        <f>IF(AQ236="5",BJ236,0)</f>
        <v>0</v>
      </c>
      <c r="AB236" s="54">
        <f>IF(AQ236="1",BH236,0)</f>
        <v>0</v>
      </c>
      <c r="AC236" s="54">
        <f>IF(AQ236="1",BI236,0)</f>
        <v>0</v>
      </c>
      <c r="AD236" s="54">
        <f>IF(AQ236="7",BH236,0)</f>
        <v>0</v>
      </c>
      <c r="AE236" s="54">
        <f>IF(AQ236="7",BI236,0)</f>
        <v>0</v>
      </c>
      <c r="AF236" s="54">
        <f>IF(AQ236="2",BH236,0)</f>
        <v>0</v>
      </c>
      <c r="AG236" s="54">
        <f>IF(AQ236="2",BI236,0)</f>
        <v>0</v>
      </c>
      <c r="AH236" s="54">
        <f>IF(AQ236="0",BJ236,0)</f>
        <v>0</v>
      </c>
      <c r="AI236" s="34" t="s">
        <v>103</v>
      </c>
      <c r="AJ236" s="54">
        <f>IF(AN236=0,I236,0)</f>
        <v>0</v>
      </c>
      <c r="AK236" s="54">
        <f>IF(AN236=12,I236,0)</f>
        <v>0</v>
      </c>
      <c r="AL236" s="54">
        <f>IF(AN236=21,I236,0)</f>
        <v>0</v>
      </c>
      <c r="AN236" s="54">
        <v>21</v>
      </c>
      <c r="AO236" s="54">
        <f>H236*0.014404946</f>
        <v>0</v>
      </c>
      <c r="AP236" s="54">
        <f>H236*(1-0.014404946)</f>
        <v>0</v>
      </c>
      <c r="AQ236" s="56" t="s">
        <v>168</v>
      </c>
      <c r="AV236" s="54">
        <f>AW236+AX236</f>
        <v>0</v>
      </c>
      <c r="AW236" s="54">
        <f>G236*AO236</f>
        <v>0</v>
      </c>
      <c r="AX236" s="54">
        <f>G236*AP236</f>
        <v>0</v>
      </c>
      <c r="AY236" s="56" t="s">
        <v>493</v>
      </c>
      <c r="AZ236" s="56" t="s">
        <v>418</v>
      </c>
      <c r="BA236" s="34" t="s">
        <v>114</v>
      </c>
      <c r="BC236" s="54">
        <f>AW236+AX236</f>
        <v>0</v>
      </c>
      <c r="BD236" s="54">
        <f>H236/(100-BE236)*100</f>
        <v>0</v>
      </c>
      <c r="BE236" s="54">
        <v>0</v>
      </c>
      <c r="BF236" s="54">
        <f>L236</f>
        <v>4.0000000000000003E-5</v>
      </c>
      <c r="BH236" s="54">
        <f>G236*AO236</f>
        <v>0</v>
      </c>
      <c r="BI236" s="54">
        <f>G236*AP236</f>
        <v>0</v>
      </c>
      <c r="BJ236" s="54">
        <f>G236*H236</f>
        <v>0</v>
      </c>
      <c r="BK236" s="54"/>
      <c r="BL236" s="54">
        <v>722</v>
      </c>
      <c r="BW236" s="54">
        <v>21</v>
      </c>
      <c r="BX236" s="3" t="s">
        <v>576</v>
      </c>
    </row>
    <row r="237" spans="1:76" ht="14.5" x14ac:dyDescent="0.35">
      <c r="A237" s="57"/>
      <c r="D237" s="58" t="s">
        <v>572</v>
      </c>
      <c r="E237" s="59" t="s">
        <v>573</v>
      </c>
      <c r="G237" s="60">
        <v>2</v>
      </c>
      <c r="M237" s="61"/>
    </row>
    <row r="238" spans="1:76" ht="14.5" x14ac:dyDescent="0.35">
      <c r="A238" s="1" t="s">
        <v>578</v>
      </c>
      <c r="B238" s="2" t="s">
        <v>103</v>
      </c>
      <c r="C238" s="2" t="s">
        <v>579</v>
      </c>
      <c r="D238" s="155" t="s">
        <v>580</v>
      </c>
      <c r="E238" s="153"/>
      <c r="F238" s="2" t="s">
        <v>581</v>
      </c>
      <c r="G238" s="54">
        <v>2</v>
      </c>
      <c r="H238" s="84">
        <v>0</v>
      </c>
      <c r="I238" s="54">
        <f>G238*H238</f>
        <v>0</v>
      </c>
      <c r="J238" s="54">
        <v>0</v>
      </c>
      <c r="K238" s="54">
        <v>0</v>
      </c>
      <c r="L238" s="54">
        <f>G238*J238</f>
        <v>0</v>
      </c>
      <c r="M238" s="55" t="s">
        <v>111</v>
      </c>
      <c r="Z238" s="54">
        <f>IF(AQ238="5",BJ238,0)</f>
        <v>0</v>
      </c>
      <c r="AB238" s="54">
        <f>IF(AQ238="1",BH238,0)</f>
        <v>0</v>
      </c>
      <c r="AC238" s="54">
        <f>IF(AQ238="1",BI238,0)</f>
        <v>0</v>
      </c>
      <c r="AD238" s="54">
        <f>IF(AQ238="7",BH238,0)</f>
        <v>0</v>
      </c>
      <c r="AE238" s="54">
        <f>IF(AQ238="7",BI238,0)</f>
        <v>0</v>
      </c>
      <c r="AF238" s="54">
        <f>IF(AQ238="2",BH238,0)</f>
        <v>0</v>
      </c>
      <c r="AG238" s="54">
        <f>IF(AQ238="2",BI238,0)</f>
        <v>0</v>
      </c>
      <c r="AH238" s="54">
        <f>IF(AQ238="0",BJ238,0)</f>
        <v>0</v>
      </c>
      <c r="AI238" s="34" t="s">
        <v>103</v>
      </c>
      <c r="AJ238" s="54">
        <f>IF(AN238=0,I238,0)</f>
        <v>0</v>
      </c>
      <c r="AK238" s="54">
        <f>IF(AN238=12,I238,0)</f>
        <v>0</v>
      </c>
      <c r="AL238" s="54">
        <f>IF(AN238=21,I238,0)</f>
        <v>0</v>
      </c>
      <c r="AN238" s="54">
        <v>21</v>
      </c>
      <c r="AO238" s="54">
        <f>H238*0</f>
        <v>0</v>
      </c>
      <c r="AP238" s="54">
        <f>H238*(1-0)</f>
        <v>0</v>
      </c>
      <c r="AQ238" s="56" t="s">
        <v>168</v>
      </c>
      <c r="AV238" s="54">
        <f>AW238+AX238</f>
        <v>0</v>
      </c>
      <c r="AW238" s="54">
        <f>G238*AO238</f>
        <v>0</v>
      </c>
      <c r="AX238" s="54">
        <f>G238*AP238</f>
        <v>0</v>
      </c>
      <c r="AY238" s="56" t="s">
        <v>493</v>
      </c>
      <c r="AZ238" s="56" t="s">
        <v>418</v>
      </c>
      <c r="BA238" s="34" t="s">
        <v>114</v>
      </c>
      <c r="BC238" s="54">
        <f>AW238+AX238</f>
        <v>0</v>
      </c>
      <c r="BD238" s="54">
        <f>H238/(100-BE238)*100</f>
        <v>0</v>
      </c>
      <c r="BE238" s="54">
        <v>0</v>
      </c>
      <c r="BF238" s="54">
        <f>L238</f>
        <v>0</v>
      </c>
      <c r="BH238" s="54">
        <f>G238*AO238</f>
        <v>0</v>
      </c>
      <c r="BI238" s="54">
        <f>G238*AP238</f>
        <v>0</v>
      </c>
      <c r="BJ238" s="54">
        <f>G238*H238</f>
        <v>0</v>
      </c>
      <c r="BK238" s="54"/>
      <c r="BL238" s="54">
        <v>722</v>
      </c>
      <c r="BW238" s="54">
        <v>21</v>
      </c>
      <c r="BX238" s="3" t="s">
        <v>580</v>
      </c>
    </row>
    <row r="239" spans="1:76" ht="14.5" x14ac:dyDescent="0.35">
      <c r="A239" s="57"/>
      <c r="D239" s="58" t="s">
        <v>572</v>
      </c>
      <c r="E239" s="59" t="s">
        <v>573</v>
      </c>
      <c r="G239" s="60">
        <v>2</v>
      </c>
      <c r="M239" s="61"/>
    </row>
    <row r="240" spans="1:76" ht="14.5" x14ac:dyDescent="0.35">
      <c r="A240" s="1" t="s">
        <v>582</v>
      </c>
      <c r="B240" s="2" t="s">
        <v>103</v>
      </c>
      <c r="C240" s="2" t="s">
        <v>583</v>
      </c>
      <c r="D240" s="155" t="s">
        <v>584</v>
      </c>
      <c r="E240" s="153"/>
      <c r="F240" s="2" t="s">
        <v>196</v>
      </c>
      <c r="G240" s="54">
        <v>2</v>
      </c>
      <c r="H240" s="84">
        <v>0</v>
      </c>
      <c r="I240" s="54">
        <f>G240*H240</f>
        <v>0</v>
      </c>
      <c r="J240" s="54">
        <v>5.4000000000000001E-4</v>
      </c>
      <c r="K240" s="54">
        <v>0</v>
      </c>
      <c r="L240" s="54">
        <f>G240*J240</f>
        <v>1.08E-3</v>
      </c>
      <c r="M240" s="55" t="s">
        <v>111</v>
      </c>
      <c r="Z240" s="54">
        <f>IF(AQ240="5",BJ240,0)</f>
        <v>0</v>
      </c>
      <c r="AB240" s="54">
        <f>IF(AQ240="1",BH240,0)</f>
        <v>0</v>
      </c>
      <c r="AC240" s="54">
        <f>IF(AQ240="1",BI240,0)</f>
        <v>0</v>
      </c>
      <c r="AD240" s="54">
        <f>IF(AQ240="7",BH240,0)</f>
        <v>0</v>
      </c>
      <c r="AE240" s="54">
        <f>IF(AQ240="7",BI240,0)</f>
        <v>0</v>
      </c>
      <c r="AF240" s="54">
        <f>IF(AQ240="2",BH240,0)</f>
        <v>0</v>
      </c>
      <c r="AG240" s="54">
        <f>IF(AQ240="2",BI240,0)</f>
        <v>0</v>
      </c>
      <c r="AH240" s="54">
        <f>IF(AQ240="0",BJ240,0)</f>
        <v>0</v>
      </c>
      <c r="AI240" s="34" t="s">
        <v>103</v>
      </c>
      <c r="AJ240" s="54">
        <f>IF(AN240=0,I240,0)</f>
        <v>0</v>
      </c>
      <c r="AK240" s="54">
        <f>IF(AN240=12,I240,0)</f>
        <v>0</v>
      </c>
      <c r="AL240" s="54">
        <f>IF(AN240=21,I240,0)</f>
        <v>0</v>
      </c>
      <c r="AN240" s="54">
        <v>21</v>
      </c>
      <c r="AO240" s="54">
        <f>H240*0.014126474</f>
        <v>0</v>
      </c>
      <c r="AP240" s="54">
        <f>H240*(1-0.014126474)</f>
        <v>0</v>
      </c>
      <c r="AQ240" s="56" t="s">
        <v>168</v>
      </c>
      <c r="AV240" s="54">
        <f>AW240+AX240</f>
        <v>0</v>
      </c>
      <c r="AW240" s="54">
        <f>G240*AO240</f>
        <v>0</v>
      </c>
      <c r="AX240" s="54">
        <f>G240*AP240</f>
        <v>0</v>
      </c>
      <c r="AY240" s="56" t="s">
        <v>493</v>
      </c>
      <c r="AZ240" s="56" t="s">
        <v>418</v>
      </c>
      <c r="BA240" s="34" t="s">
        <v>114</v>
      </c>
      <c r="BC240" s="54">
        <f>AW240+AX240</f>
        <v>0</v>
      </c>
      <c r="BD240" s="54">
        <f>H240/(100-BE240)*100</f>
        <v>0</v>
      </c>
      <c r="BE240" s="54">
        <v>0</v>
      </c>
      <c r="BF240" s="54">
        <f>L240</f>
        <v>1.08E-3</v>
      </c>
      <c r="BH240" s="54">
        <f>G240*AO240</f>
        <v>0</v>
      </c>
      <c r="BI240" s="54">
        <f>G240*AP240</f>
        <v>0</v>
      </c>
      <c r="BJ240" s="54">
        <f>G240*H240</f>
        <v>0</v>
      </c>
      <c r="BK240" s="54"/>
      <c r="BL240" s="54">
        <v>722</v>
      </c>
      <c r="BW240" s="54">
        <v>21</v>
      </c>
      <c r="BX240" s="3" t="s">
        <v>584</v>
      </c>
    </row>
    <row r="241" spans="1:76" ht="14.5" x14ac:dyDescent="0.35">
      <c r="A241" s="57"/>
      <c r="D241" s="58" t="s">
        <v>572</v>
      </c>
      <c r="E241" s="59" t="s">
        <v>573</v>
      </c>
      <c r="G241" s="60">
        <v>2</v>
      </c>
      <c r="M241" s="61"/>
    </row>
    <row r="242" spans="1:76" ht="14.5" x14ac:dyDescent="0.35">
      <c r="A242" s="1" t="s">
        <v>585</v>
      </c>
      <c r="B242" s="2" t="s">
        <v>103</v>
      </c>
      <c r="C242" s="2" t="s">
        <v>586</v>
      </c>
      <c r="D242" s="155" t="s">
        <v>587</v>
      </c>
      <c r="E242" s="153"/>
      <c r="F242" s="2" t="s">
        <v>581</v>
      </c>
      <c r="G242" s="54">
        <v>2</v>
      </c>
      <c r="H242" s="84">
        <v>0</v>
      </c>
      <c r="I242" s="54">
        <f>G242*H242</f>
        <v>0</v>
      </c>
      <c r="J242" s="54">
        <v>2.2409999999999999E-2</v>
      </c>
      <c r="K242" s="54">
        <v>0</v>
      </c>
      <c r="L242" s="54">
        <f>G242*J242</f>
        <v>4.4819999999999999E-2</v>
      </c>
      <c r="M242" s="55" t="s">
        <v>111</v>
      </c>
      <c r="Z242" s="54">
        <f>IF(AQ242="5",BJ242,0)</f>
        <v>0</v>
      </c>
      <c r="AB242" s="54">
        <f>IF(AQ242="1",BH242,0)</f>
        <v>0</v>
      </c>
      <c r="AC242" s="54">
        <f>IF(AQ242="1",BI242,0)</f>
        <v>0</v>
      </c>
      <c r="AD242" s="54">
        <f>IF(AQ242="7",BH242,0)</f>
        <v>0</v>
      </c>
      <c r="AE242" s="54">
        <f>IF(AQ242="7",BI242,0)</f>
        <v>0</v>
      </c>
      <c r="AF242" s="54">
        <f>IF(AQ242="2",BH242,0)</f>
        <v>0</v>
      </c>
      <c r="AG242" s="54">
        <f>IF(AQ242="2",BI242,0)</f>
        <v>0</v>
      </c>
      <c r="AH242" s="54">
        <f>IF(AQ242="0",BJ242,0)</f>
        <v>0</v>
      </c>
      <c r="AI242" s="34" t="s">
        <v>103</v>
      </c>
      <c r="AJ242" s="54">
        <f>IF(AN242=0,I242,0)</f>
        <v>0</v>
      </c>
      <c r="AK242" s="54">
        <f>IF(AN242=12,I242,0)</f>
        <v>0</v>
      </c>
      <c r="AL242" s="54">
        <f>IF(AN242=21,I242,0)</f>
        <v>0</v>
      </c>
      <c r="AN242" s="54">
        <v>21</v>
      </c>
      <c r="AO242" s="54">
        <f>H242*0.865230205</f>
        <v>0</v>
      </c>
      <c r="AP242" s="54">
        <f>H242*(1-0.865230205)</f>
        <v>0</v>
      </c>
      <c r="AQ242" s="56" t="s">
        <v>168</v>
      </c>
      <c r="AV242" s="54">
        <f>AW242+AX242</f>
        <v>0</v>
      </c>
      <c r="AW242" s="54">
        <f>G242*AO242</f>
        <v>0</v>
      </c>
      <c r="AX242" s="54">
        <f>G242*AP242</f>
        <v>0</v>
      </c>
      <c r="AY242" s="56" t="s">
        <v>493</v>
      </c>
      <c r="AZ242" s="56" t="s">
        <v>418</v>
      </c>
      <c r="BA242" s="34" t="s">
        <v>114</v>
      </c>
      <c r="BC242" s="54">
        <f>AW242+AX242</f>
        <v>0</v>
      </c>
      <c r="BD242" s="54">
        <f>H242/(100-BE242)*100</f>
        <v>0</v>
      </c>
      <c r="BE242" s="54">
        <v>0</v>
      </c>
      <c r="BF242" s="54">
        <f>L242</f>
        <v>4.4819999999999999E-2</v>
      </c>
      <c r="BH242" s="54">
        <f>G242*AO242</f>
        <v>0</v>
      </c>
      <c r="BI242" s="54">
        <f>G242*AP242</f>
        <v>0</v>
      </c>
      <c r="BJ242" s="54">
        <f>G242*H242</f>
        <v>0</v>
      </c>
      <c r="BK242" s="54"/>
      <c r="BL242" s="54">
        <v>722</v>
      </c>
      <c r="BW242" s="54">
        <v>21</v>
      </c>
      <c r="BX242" s="3" t="s">
        <v>587</v>
      </c>
    </row>
    <row r="243" spans="1:76" ht="14.5" x14ac:dyDescent="0.35">
      <c r="A243" s="57"/>
      <c r="D243" s="58" t="s">
        <v>572</v>
      </c>
      <c r="E243" s="59" t="s">
        <v>573</v>
      </c>
      <c r="G243" s="60">
        <v>2</v>
      </c>
      <c r="M243" s="61"/>
    </row>
    <row r="244" spans="1:76" ht="14.5" x14ac:dyDescent="0.35">
      <c r="A244" s="1" t="s">
        <v>591</v>
      </c>
      <c r="B244" s="2" t="s">
        <v>103</v>
      </c>
      <c r="C244" s="2" t="s">
        <v>592</v>
      </c>
      <c r="D244" s="155" t="s">
        <v>593</v>
      </c>
      <c r="E244" s="153"/>
      <c r="F244" s="2" t="s">
        <v>581</v>
      </c>
      <c r="G244" s="54">
        <v>2</v>
      </c>
      <c r="H244" s="84">
        <v>0</v>
      </c>
      <c r="I244" s="54">
        <f>G244*H244</f>
        <v>0</v>
      </c>
      <c r="J244" s="54">
        <v>0</v>
      </c>
      <c r="K244" s="54">
        <v>0</v>
      </c>
      <c r="L244" s="54">
        <f>G244*J244</f>
        <v>0</v>
      </c>
      <c r="M244" s="55" t="s">
        <v>10</v>
      </c>
      <c r="Z244" s="54">
        <f>IF(AQ244="5",BJ244,0)</f>
        <v>0</v>
      </c>
      <c r="AB244" s="54">
        <f>IF(AQ244="1",BH244,0)</f>
        <v>0</v>
      </c>
      <c r="AC244" s="54">
        <f>IF(AQ244="1",BI244,0)</f>
        <v>0</v>
      </c>
      <c r="AD244" s="54">
        <f>IF(AQ244="7",BH244,0)</f>
        <v>0</v>
      </c>
      <c r="AE244" s="54">
        <f>IF(AQ244="7",BI244,0)</f>
        <v>0</v>
      </c>
      <c r="AF244" s="54">
        <f>IF(AQ244="2",BH244,0)</f>
        <v>0</v>
      </c>
      <c r="AG244" s="54">
        <f>IF(AQ244="2",BI244,0)</f>
        <v>0</v>
      </c>
      <c r="AH244" s="54">
        <f>IF(AQ244="0",BJ244,0)</f>
        <v>0</v>
      </c>
      <c r="AI244" s="34" t="s">
        <v>103</v>
      </c>
      <c r="AJ244" s="54">
        <f>IF(AN244=0,I244,0)</f>
        <v>0</v>
      </c>
      <c r="AK244" s="54">
        <f>IF(AN244=12,I244,0)</f>
        <v>0</v>
      </c>
      <c r="AL244" s="54">
        <f>IF(AN244=21,I244,0)</f>
        <v>0</v>
      </c>
      <c r="AN244" s="54">
        <v>21</v>
      </c>
      <c r="AO244" s="54">
        <f>H244*0.904159132</f>
        <v>0</v>
      </c>
      <c r="AP244" s="54">
        <f>H244*(1-0.904159132)</f>
        <v>0</v>
      </c>
      <c r="AQ244" s="56" t="s">
        <v>168</v>
      </c>
      <c r="AV244" s="54">
        <f>AW244+AX244</f>
        <v>0</v>
      </c>
      <c r="AW244" s="54">
        <f>G244*AO244</f>
        <v>0</v>
      </c>
      <c r="AX244" s="54">
        <f>G244*AP244</f>
        <v>0</v>
      </c>
      <c r="AY244" s="56" t="s">
        <v>493</v>
      </c>
      <c r="AZ244" s="56" t="s">
        <v>418</v>
      </c>
      <c r="BA244" s="34" t="s">
        <v>114</v>
      </c>
      <c r="BC244" s="54">
        <f>AW244+AX244</f>
        <v>0</v>
      </c>
      <c r="BD244" s="54">
        <f>H244/(100-BE244)*100</f>
        <v>0</v>
      </c>
      <c r="BE244" s="54">
        <v>0</v>
      </c>
      <c r="BF244" s="54">
        <f>L244</f>
        <v>0</v>
      </c>
      <c r="BH244" s="54">
        <f>G244*AO244</f>
        <v>0</v>
      </c>
      <c r="BI244" s="54">
        <f>G244*AP244</f>
        <v>0</v>
      </c>
      <c r="BJ244" s="54">
        <f>G244*H244</f>
        <v>0</v>
      </c>
      <c r="BK244" s="54"/>
      <c r="BL244" s="54">
        <v>722</v>
      </c>
      <c r="BW244" s="54">
        <v>21</v>
      </c>
      <c r="BX244" s="3" t="s">
        <v>593</v>
      </c>
    </row>
    <row r="245" spans="1:76" ht="14.5" x14ac:dyDescent="0.35">
      <c r="A245" s="57"/>
      <c r="D245" s="58" t="s">
        <v>572</v>
      </c>
      <c r="E245" s="59" t="s">
        <v>573</v>
      </c>
      <c r="G245" s="60">
        <v>2</v>
      </c>
      <c r="M245" s="61"/>
    </row>
    <row r="246" spans="1:76" ht="14.5" x14ac:dyDescent="0.35">
      <c r="A246" s="1" t="s">
        <v>595</v>
      </c>
      <c r="B246" s="2" t="s">
        <v>103</v>
      </c>
      <c r="C246" s="2" t="s">
        <v>596</v>
      </c>
      <c r="D246" s="155" t="s">
        <v>597</v>
      </c>
      <c r="E246" s="153"/>
      <c r="F246" s="2" t="s">
        <v>196</v>
      </c>
      <c r="G246" s="54">
        <v>2</v>
      </c>
      <c r="H246" s="84">
        <v>0</v>
      </c>
      <c r="I246" s="54">
        <f>G246*H246</f>
        <v>0</v>
      </c>
      <c r="J246" s="54">
        <v>0</v>
      </c>
      <c r="K246" s="54">
        <v>0</v>
      </c>
      <c r="L246" s="54">
        <f>G246*J246</f>
        <v>0</v>
      </c>
      <c r="M246" s="55" t="s">
        <v>111</v>
      </c>
      <c r="Z246" s="54">
        <f>IF(AQ246="5",BJ246,0)</f>
        <v>0</v>
      </c>
      <c r="AB246" s="54">
        <f>IF(AQ246="1",BH246,0)</f>
        <v>0</v>
      </c>
      <c r="AC246" s="54">
        <f>IF(AQ246="1",BI246,0)</f>
        <v>0</v>
      </c>
      <c r="AD246" s="54">
        <f>IF(AQ246="7",BH246,0)</f>
        <v>0</v>
      </c>
      <c r="AE246" s="54">
        <f>IF(AQ246="7",BI246,0)</f>
        <v>0</v>
      </c>
      <c r="AF246" s="54">
        <f>IF(AQ246="2",BH246,0)</f>
        <v>0</v>
      </c>
      <c r="AG246" s="54">
        <f>IF(AQ246="2",BI246,0)</f>
        <v>0</v>
      </c>
      <c r="AH246" s="54">
        <f>IF(AQ246="0",BJ246,0)</f>
        <v>0</v>
      </c>
      <c r="AI246" s="34" t="s">
        <v>103</v>
      </c>
      <c r="AJ246" s="54">
        <f>IF(AN246=0,I246,0)</f>
        <v>0</v>
      </c>
      <c r="AK246" s="54">
        <f>IF(AN246=12,I246,0)</f>
        <v>0</v>
      </c>
      <c r="AL246" s="54">
        <f>IF(AN246=21,I246,0)</f>
        <v>0</v>
      </c>
      <c r="AN246" s="54">
        <v>21</v>
      </c>
      <c r="AO246" s="54">
        <f>H246*0</f>
        <v>0</v>
      </c>
      <c r="AP246" s="54">
        <f>H246*(1-0)</f>
        <v>0</v>
      </c>
      <c r="AQ246" s="56" t="s">
        <v>168</v>
      </c>
      <c r="AV246" s="54">
        <f>AW246+AX246</f>
        <v>0</v>
      </c>
      <c r="AW246" s="54">
        <f>G246*AO246</f>
        <v>0</v>
      </c>
      <c r="AX246" s="54">
        <f>G246*AP246</f>
        <v>0</v>
      </c>
      <c r="AY246" s="56" t="s">
        <v>493</v>
      </c>
      <c r="AZ246" s="56" t="s">
        <v>418</v>
      </c>
      <c r="BA246" s="34" t="s">
        <v>114</v>
      </c>
      <c r="BC246" s="54">
        <f>AW246+AX246</f>
        <v>0</v>
      </c>
      <c r="BD246" s="54">
        <f>H246/(100-BE246)*100</f>
        <v>0</v>
      </c>
      <c r="BE246" s="54">
        <v>0</v>
      </c>
      <c r="BF246" s="54">
        <f>L246</f>
        <v>0</v>
      </c>
      <c r="BH246" s="54">
        <f>G246*AO246</f>
        <v>0</v>
      </c>
      <c r="BI246" s="54">
        <f>G246*AP246</f>
        <v>0</v>
      </c>
      <c r="BJ246" s="54">
        <f>G246*H246</f>
        <v>0</v>
      </c>
      <c r="BK246" s="54"/>
      <c r="BL246" s="54">
        <v>722</v>
      </c>
      <c r="BW246" s="54">
        <v>21</v>
      </c>
      <c r="BX246" s="3" t="s">
        <v>597</v>
      </c>
    </row>
    <row r="247" spans="1:76" ht="14.5" x14ac:dyDescent="0.35">
      <c r="A247" s="57"/>
      <c r="D247" s="58" t="s">
        <v>572</v>
      </c>
      <c r="E247" s="59" t="s">
        <v>573</v>
      </c>
      <c r="G247" s="60">
        <v>2</v>
      </c>
      <c r="M247" s="61"/>
    </row>
    <row r="248" spans="1:76" ht="14.5" x14ac:dyDescent="0.35">
      <c r="A248" s="1" t="s">
        <v>598</v>
      </c>
      <c r="B248" s="2" t="s">
        <v>103</v>
      </c>
      <c r="C248" s="2" t="s">
        <v>599</v>
      </c>
      <c r="D248" s="155" t="s">
        <v>600</v>
      </c>
      <c r="E248" s="153"/>
      <c r="F248" s="2" t="s">
        <v>196</v>
      </c>
      <c r="G248" s="54">
        <v>2</v>
      </c>
      <c r="H248" s="84">
        <v>0</v>
      </c>
      <c r="I248" s="54">
        <f>G248*H248</f>
        <v>0</v>
      </c>
      <c r="J248" s="54">
        <v>0</v>
      </c>
      <c r="K248" s="54">
        <v>0</v>
      </c>
      <c r="L248" s="54">
        <f>G248*J248</f>
        <v>0</v>
      </c>
      <c r="M248" s="55" t="s">
        <v>111</v>
      </c>
      <c r="Z248" s="54">
        <f>IF(AQ248="5",BJ248,0)</f>
        <v>0</v>
      </c>
      <c r="AB248" s="54">
        <f>IF(AQ248="1",BH248,0)</f>
        <v>0</v>
      </c>
      <c r="AC248" s="54">
        <f>IF(AQ248="1",BI248,0)</f>
        <v>0</v>
      </c>
      <c r="AD248" s="54">
        <f>IF(AQ248="7",BH248,0)</f>
        <v>0</v>
      </c>
      <c r="AE248" s="54">
        <f>IF(AQ248="7",BI248,0)</f>
        <v>0</v>
      </c>
      <c r="AF248" s="54">
        <f>IF(AQ248="2",BH248,0)</f>
        <v>0</v>
      </c>
      <c r="AG248" s="54">
        <f>IF(AQ248="2",BI248,0)</f>
        <v>0</v>
      </c>
      <c r="AH248" s="54">
        <f>IF(AQ248="0",BJ248,0)</f>
        <v>0</v>
      </c>
      <c r="AI248" s="34" t="s">
        <v>103</v>
      </c>
      <c r="AJ248" s="54">
        <f>IF(AN248=0,I248,0)</f>
        <v>0</v>
      </c>
      <c r="AK248" s="54">
        <f>IF(AN248=12,I248,0)</f>
        <v>0</v>
      </c>
      <c r="AL248" s="54">
        <f>IF(AN248=21,I248,0)</f>
        <v>0</v>
      </c>
      <c r="AN248" s="54">
        <v>21</v>
      </c>
      <c r="AO248" s="54">
        <f>H248*0</f>
        <v>0</v>
      </c>
      <c r="AP248" s="54">
        <f>H248*(1-0)</f>
        <v>0</v>
      </c>
      <c r="AQ248" s="56" t="s">
        <v>168</v>
      </c>
      <c r="AV248" s="54">
        <f>AW248+AX248</f>
        <v>0</v>
      </c>
      <c r="AW248" s="54">
        <f>G248*AO248</f>
        <v>0</v>
      </c>
      <c r="AX248" s="54">
        <f>G248*AP248</f>
        <v>0</v>
      </c>
      <c r="AY248" s="56" t="s">
        <v>493</v>
      </c>
      <c r="AZ248" s="56" t="s">
        <v>418</v>
      </c>
      <c r="BA248" s="34" t="s">
        <v>114</v>
      </c>
      <c r="BC248" s="54">
        <f>AW248+AX248</f>
        <v>0</v>
      </c>
      <c r="BD248" s="54">
        <f>H248/(100-BE248)*100</f>
        <v>0</v>
      </c>
      <c r="BE248" s="54">
        <v>0</v>
      </c>
      <c r="BF248" s="54">
        <f>L248</f>
        <v>0</v>
      </c>
      <c r="BH248" s="54">
        <f>G248*AO248</f>
        <v>0</v>
      </c>
      <c r="BI248" s="54">
        <f>G248*AP248</f>
        <v>0</v>
      </c>
      <c r="BJ248" s="54">
        <f>G248*H248</f>
        <v>0</v>
      </c>
      <c r="BK248" s="54"/>
      <c r="BL248" s="54">
        <v>722</v>
      </c>
      <c r="BW248" s="54">
        <v>21</v>
      </c>
      <c r="BX248" s="3" t="s">
        <v>600</v>
      </c>
    </row>
    <row r="249" spans="1:76" ht="14.5" x14ac:dyDescent="0.35">
      <c r="A249" s="57"/>
      <c r="D249" s="58" t="s">
        <v>572</v>
      </c>
      <c r="E249" s="59" t="s">
        <v>573</v>
      </c>
      <c r="G249" s="60">
        <v>2</v>
      </c>
      <c r="M249" s="61"/>
    </row>
    <row r="250" spans="1:76" ht="14.5" x14ac:dyDescent="0.35">
      <c r="A250" s="1" t="s">
        <v>602</v>
      </c>
      <c r="B250" s="2" t="s">
        <v>103</v>
      </c>
      <c r="C250" s="2" t="s">
        <v>603</v>
      </c>
      <c r="D250" s="155" t="s">
        <v>604</v>
      </c>
      <c r="E250" s="153"/>
      <c r="F250" s="2" t="s">
        <v>153</v>
      </c>
      <c r="G250" s="54">
        <v>247.2</v>
      </c>
      <c r="H250" s="84">
        <v>0</v>
      </c>
      <c r="I250" s="54">
        <f>G250*H250</f>
        <v>0</v>
      </c>
      <c r="J250" s="54">
        <v>0</v>
      </c>
      <c r="K250" s="54">
        <v>0</v>
      </c>
      <c r="L250" s="54">
        <f>G250*J250</f>
        <v>0</v>
      </c>
      <c r="M250" s="55" t="s">
        <v>111</v>
      </c>
      <c r="Z250" s="54">
        <f>IF(AQ250="5",BJ250,0)</f>
        <v>0</v>
      </c>
      <c r="AB250" s="54">
        <f>IF(AQ250="1",BH250,0)</f>
        <v>0</v>
      </c>
      <c r="AC250" s="54">
        <f>IF(AQ250="1",BI250,0)</f>
        <v>0</v>
      </c>
      <c r="AD250" s="54">
        <f>IF(AQ250="7",BH250,0)</f>
        <v>0</v>
      </c>
      <c r="AE250" s="54">
        <f>IF(AQ250="7",BI250,0)</f>
        <v>0</v>
      </c>
      <c r="AF250" s="54">
        <f>IF(AQ250="2",BH250,0)</f>
        <v>0</v>
      </c>
      <c r="AG250" s="54">
        <f>IF(AQ250="2",BI250,0)</f>
        <v>0</v>
      </c>
      <c r="AH250" s="54">
        <f>IF(AQ250="0",BJ250,0)</f>
        <v>0</v>
      </c>
      <c r="AI250" s="34" t="s">
        <v>103</v>
      </c>
      <c r="AJ250" s="54">
        <f>IF(AN250=0,I250,0)</f>
        <v>0</v>
      </c>
      <c r="AK250" s="54">
        <f>IF(AN250=12,I250,0)</f>
        <v>0</v>
      </c>
      <c r="AL250" s="54">
        <f>IF(AN250=21,I250,0)</f>
        <v>0</v>
      </c>
      <c r="AN250" s="54">
        <v>21</v>
      </c>
      <c r="AO250" s="54">
        <f>H250*0.014893617</f>
        <v>0</v>
      </c>
      <c r="AP250" s="54">
        <f>H250*(1-0.014893617)</f>
        <v>0</v>
      </c>
      <c r="AQ250" s="56" t="s">
        <v>168</v>
      </c>
      <c r="AV250" s="54">
        <f>AW250+AX250</f>
        <v>0</v>
      </c>
      <c r="AW250" s="54">
        <f>G250*AO250</f>
        <v>0</v>
      </c>
      <c r="AX250" s="54">
        <f>G250*AP250</f>
        <v>0</v>
      </c>
      <c r="AY250" s="56" t="s">
        <v>493</v>
      </c>
      <c r="AZ250" s="56" t="s">
        <v>418</v>
      </c>
      <c r="BA250" s="34" t="s">
        <v>114</v>
      </c>
      <c r="BC250" s="54">
        <f>AW250+AX250</f>
        <v>0</v>
      </c>
      <c r="BD250" s="54">
        <f>H250/(100-BE250)*100</f>
        <v>0</v>
      </c>
      <c r="BE250" s="54">
        <v>0</v>
      </c>
      <c r="BF250" s="54">
        <f>L250</f>
        <v>0</v>
      </c>
      <c r="BH250" s="54">
        <f>G250*AO250</f>
        <v>0</v>
      </c>
      <c r="BI250" s="54">
        <f>G250*AP250</f>
        <v>0</v>
      </c>
      <c r="BJ250" s="54">
        <f>G250*H250</f>
        <v>0</v>
      </c>
      <c r="BK250" s="54"/>
      <c r="BL250" s="54">
        <v>722</v>
      </c>
      <c r="BW250" s="54">
        <v>21</v>
      </c>
      <c r="BX250" s="3" t="s">
        <v>604</v>
      </c>
    </row>
    <row r="251" spans="1:76" ht="14.5" x14ac:dyDescent="0.35">
      <c r="A251" s="57"/>
      <c r="D251" s="58" t="s">
        <v>208</v>
      </c>
      <c r="E251" s="59" t="s">
        <v>473</v>
      </c>
      <c r="G251" s="60">
        <v>0</v>
      </c>
      <c r="M251" s="61"/>
    </row>
    <row r="252" spans="1:76" ht="14.5" x14ac:dyDescent="0.35">
      <c r="A252" s="57"/>
      <c r="D252" s="58" t="s">
        <v>605</v>
      </c>
      <c r="E252" s="59" t="s">
        <v>10</v>
      </c>
      <c r="G252" s="60">
        <v>182.4</v>
      </c>
      <c r="M252" s="61"/>
    </row>
    <row r="253" spans="1:76" ht="14.5" x14ac:dyDescent="0.35">
      <c r="A253" s="57"/>
      <c r="D253" s="58" t="s">
        <v>606</v>
      </c>
      <c r="E253" s="59" t="s">
        <v>10</v>
      </c>
      <c r="G253" s="60">
        <v>64.8</v>
      </c>
      <c r="M253" s="61"/>
    </row>
    <row r="254" spans="1:76" ht="14.5" x14ac:dyDescent="0.35">
      <c r="A254" s="1" t="s">
        <v>607</v>
      </c>
      <c r="B254" s="2" t="s">
        <v>103</v>
      </c>
      <c r="C254" s="2" t="s">
        <v>608</v>
      </c>
      <c r="D254" s="155" t="s">
        <v>609</v>
      </c>
      <c r="E254" s="153"/>
      <c r="F254" s="2" t="s">
        <v>153</v>
      </c>
      <c r="G254" s="54">
        <v>247.2</v>
      </c>
      <c r="H254" s="84">
        <v>0</v>
      </c>
      <c r="I254" s="54">
        <f>G254*H254</f>
        <v>0</v>
      </c>
      <c r="J254" s="54">
        <v>1.0000000000000001E-5</v>
      </c>
      <c r="K254" s="54">
        <v>0</v>
      </c>
      <c r="L254" s="54">
        <f>G254*J254</f>
        <v>2.4720000000000002E-3</v>
      </c>
      <c r="M254" s="55" t="s">
        <v>111</v>
      </c>
      <c r="Z254" s="54">
        <f>IF(AQ254="5",BJ254,0)</f>
        <v>0</v>
      </c>
      <c r="AB254" s="54">
        <f>IF(AQ254="1",BH254,0)</f>
        <v>0</v>
      </c>
      <c r="AC254" s="54">
        <f>IF(AQ254="1",BI254,0)</f>
        <v>0</v>
      </c>
      <c r="AD254" s="54">
        <f>IF(AQ254="7",BH254,0)</f>
        <v>0</v>
      </c>
      <c r="AE254" s="54">
        <f>IF(AQ254="7",BI254,0)</f>
        <v>0</v>
      </c>
      <c r="AF254" s="54">
        <f>IF(AQ254="2",BH254,0)</f>
        <v>0</v>
      </c>
      <c r="AG254" s="54">
        <f>IF(AQ254="2",BI254,0)</f>
        <v>0</v>
      </c>
      <c r="AH254" s="54">
        <f>IF(AQ254="0",BJ254,0)</f>
        <v>0</v>
      </c>
      <c r="AI254" s="34" t="s">
        <v>103</v>
      </c>
      <c r="AJ254" s="54">
        <f>IF(AN254=0,I254,0)</f>
        <v>0</v>
      </c>
      <c r="AK254" s="54">
        <f>IF(AN254=12,I254,0)</f>
        <v>0</v>
      </c>
      <c r="AL254" s="54">
        <f>IF(AN254=21,I254,0)</f>
        <v>0</v>
      </c>
      <c r="AN254" s="54">
        <v>21</v>
      </c>
      <c r="AO254" s="54">
        <f>H254*0.051682692</f>
        <v>0</v>
      </c>
      <c r="AP254" s="54">
        <f>H254*(1-0.051682692)</f>
        <v>0</v>
      </c>
      <c r="AQ254" s="56" t="s">
        <v>168</v>
      </c>
      <c r="AV254" s="54">
        <f>AW254+AX254</f>
        <v>0</v>
      </c>
      <c r="AW254" s="54">
        <f>G254*AO254</f>
        <v>0</v>
      </c>
      <c r="AX254" s="54">
        <f>G254*AP254</f>
        <v>0</v>
      </c>
      <c r="AY254" s="56" t="s">
        <v>493</v>
      </c>
      <c r="AZ254" s="56" t="s">
        <v>418</v>
      </c>
      <c r="BA254" s="34" t="s">
        <v>114</v>
      </c>
      <c r="BC254" s="54">
        <f>AW254+AX254</f>
        <v>0</v>
      </c>
      <c r="BD254" s="54">
        <f>H254/(100-BE254)*100</f>
        <v>0</v>
      </c>
      <c r="BE254" s="54">
        <v>0</v>
      </c>
      <c r="BF254" s="54">
        <f>L254</f>
        <v>2.4720000000000002E-3</v>
      </c>
      <c r="BH254" s="54">
        <f>G254*AO254</f>
        <v>0</v>
      </c>
      <c r="BI254" s="54">
        <f>G254*AP254</f>
        <v>0</v>
      </c>
      <c r="BJ254" s="54">
        <f>G254*H254</f>
        <v>0</v>
      </c>
      <c r="BK254" s="54"/>
      <c r="BL254" s="54">
        <v>722</v>
      </c>
      <c r="BW254" s="54">
        <v>21</v>
      </c>
      <c r="BX254" s="3" t="s">
        <v>609</v>
      </c>
    </row>
    <row r="255" spans="1:76" ht="14.5" x14ac:dyDescent="0.35">
      <c r="A255" s="57"/>
      <c r="D255" s="58" t="s">
        <v>208</v>
      </c>
      <c r="E255" s="59" t="s">
        <v>473</v>
      </c>
      <c r="G255" s="60">
        <v>0</v>
      </c>
      <c r="M255" s="61"/>
    </row>
    <row r="256" spans="1:76" ht="14.5" x14ac:dyDescent="0.35">
      <c r="A256" s="57"/>
      <c r="D256" s="58" t="s">
        <v>605</v>
      </c>
      <c r="E256" s="59" t="s">
        <v>10</v>
      </c>
      <c r="G256" s="60">
        <v>182.4</v>
      </c>
      <c r="M256" s="61"/>
    </row>
    <row r="257" spans="1:76" ht="14.5" x14ac:dyDescent="0.35">
      <c r="A257" s="57"/>
      <c r="D257" s="58" t="s">
        <v>606</v>
      </c>
      <c r="E257" s="59" t="s">
        <v>10</v>
      </c>
      <c r="G257" s="60">
        <v>64.8</v>
      </c>
      <c r="M257" s="61"/>
    </row>
    <row r="258" spans="1:76" ht="14.5" x14ac:dyDescent="0.35">
      <c r="A258" s="1" t="s">
        <v>610</v>
      </c>
      <c r="B258" s="2" t="s">
        <v>103</v>
      </c>
      <c r="C258" s="2" t="s">
        <v>611</v>
      </c>
      <c r="D258" s="155" t="s">
        <v>612</v>
      </c>
      <c r="E258" s="153"/>
      <c r="F258" s="2" t="s">
        <v>412</v>
      </c>
      <c r="G258" s="54">
        <v>0.217</v>
      </c>
      <c r="H258" s="84">
        <v>0</v>
      </c>
      <c r="I258" s="54">
        <f>G258*H258</f>
        <v>0</v>
      </c>
      <c r="J258" s="54">
        <v>0</v>
      </c>
      <c r="K258" s="54">
        <v>0</v>
      </c>
      <c r="L258" s="54">
        <f>G258*J258</f>
        <v>0</v>
      </c>
      <c r="M258" s="55" t="s">
        <v>111</v>
      </c>
      <c r="Z258" s="54">
        <f>IF(AQ258="5",BJ258,0)</f>
        <v>0</v>
      </c>
      <c r="AB258" s="54">
        <f>IF(AQ258="1",BH258,0)</f>
        <v>0</v>
      </c>
      <c r="AC258" s="54">
        <f>IF(AQ258="1",BI258,0)</f>
        <v>0</v>
      </c>
      <c r="AD258" s="54">
        <f>IF(AQ258="7",BH258,0)</f>
        <v>0</v>
      </c>
      <c r="AE258" s="54">
        <f>IF(AQ258="7",BI258,0)</f>
        <v>0</v>
      </c>
      <c r="AF258" s="54">
        <f>IF(AQ258="2",BH258,0)</f>
        <v>0</v>
      </c>
      <c r="AG258" s="54">
        <f>IF(AQ258="2",BI258,0)</f>
        <v>0</v>
      </c>
      <c r="AH258" s="54">
        <f>IF(AQ258="0",BJ258,0)</f>
        <v>0</v>
      </c>
      <c r="AI258" s="34" t="s">
        <v>103</v>
      </c>
      <c r="AJ258" s="54">
        <f>IF(AN258=0,I258,0)</f>
        <v>0</v>
      </c>
      <c r="AK258" s="54">
        <f>IF(AN258=12,I258,0)</f>
        <v>0</v>
      </c>
      <c r="AL258" s="54">
        <f>IF(AN258=21,I258,0)</f>
        <v>0</v>
      </c>
      <c r="AN258" s="54">
        <v>21</v>
      </c>
      <c r="AO258" s="54">
        <f>H258*0</f>
        <v>0</v>
      </c>
      <c r="AP258" s="54">
        <f>H258*(1-0)</f>
        <v>0</v>
      </c>
      <c r="AQ258" s="56" t="s">
        <v>150</v>
      </c>
      <c r="AV258" s="54">
        <f>AW258+AX258</f>
        <v>0</v>
      </c>
      <c r="AW258" s="54">
        <f>G258*AO258</f>
        <v>0</v>
      </c>
      <c r="AX258" s="54">
        <f>G258*AP258</f>
        <v>0</v>
      </c>
      <c r="AY258" s="56" t="s">
        <v>493</v>
      </c>
      <c r="AZ258" s="56" t="s">
        <v>418</v>
      </c>
      <c r="BA258" s="34" t="s">
        <v>114</v>
      </c>
      <c r="BC258" s="54">
        <f>AW258+AX258</f>
        <v>0</v>
      </c>
      <c r="BD258" s="54">
        <f>H258/(100-BE258)*100</f>
        <v>0</v>
      </c>
      <c r="BE258" s="54">
        <v>0</v>
      </c>
      <c r="BF258" s="54">
        <f>L258</f>
        <v>0</v>
      </c>
      <c r="BH258" s="54">
        <f>G258*AO258</f>
        <v>0</v>
      </c>
      <c r="BI258" s="54">
        <f>G258*AP258</f>
        <v>0</v>
      </c>
      <c r="BJ258" s="54">
        <f>G258*H258</f>
        <v>0</v>
      </c>
      <c r="BK258" s="54"/>
      <c r="BL258" s="54">
        <v>722</v>
      </c>
      <c r="BW258" s="54">
        <v>21</v>
      </c>
      <c r="BX258" s="3" t="s">
        <v>612</v>
      </c>
    </row>
    <row r="259" spans="1:76" ht="14.5" x14ac:dyDescent="0.35">
      <c r="A259" s="1" t="s">
        <v>613</v>
      </c>
      <c r="B259" s="2" t="s">
        <v>103</v>
      </c>
      <c r="C259" s="2" t="s">
        <v>614</v>
      </c>
      <c r="D259" s="155" t="s">
        <v>615</v>
      </c>
      <c r="E259" s="153"/>
      <c r="F259" s="2" t="s">
        <v>581</v>
      </c>
      <c r="G259" s="54">
        <v>1</v>
      </c>
      <c r="H259" s="84">
        <v>0</v>
      </c>
      <c r="I259" s="54">
        <f>G259*H259</f>
        <v>0</v>
      </c>
      <c r="J259" s="54">
        <v>0</v>
      </c>
      <c r="K259" s="54">
        <v>0</v>
      </c>
      <c r="L259" s="54">
        <f>G259*J259</f>
        <v>0</v>
      </c>
      <c r="M259" s="55" t="s">
        <v>616</v>
      </c>
      <c r="Z259" s="54">
        <f>IF(AQ259="5",BJ259,0)</f>
        <v>0</v>
      </c>
      <c r="AB259" s="54">
        <f>IF(AQ259="1",BH259,0)</f>
        <v>0</v>
      </c>
      <c r="AC259" s="54">
        <f>IF(AQ259="1",BI259,0)</f>
        <v>0</v>
      </c>
      <c r="AD259" s="54">
        <f>IF(AQ259="7",BH259,0)</f>
        <v>0</v>
      </c>
      <c r="AE259" s="54">
        <f>IF(AQ259="7",BI259,0)</f>
        <v>0</v>
      </c>
      <c r="AF259" s="54">
        <f>IF(AQ259="2",BH259,0)</f>
        <v>0</v>
      </c>
      <c r="AG259" s="54">
        <f>IF(AQ259="2",BI259,0)</f>
        <v>0</v>
      </c>
      <c r="AH259" s="54">
        <f>IF(AQ259="0",BJ259,0)</f>
        <v>0</v>
      </c>
      <c r="AI259" s="34" t="s">
        <v>103</v>
      </c>
      <c r="AJ259" s="54">
        <f>IF(AN259=0,I259,0)</f>
        <v>0</v>
      </c>
      <c r="AK259" s="54">
        <f>IF(AN259=12,I259,0)</f>
        <v>0</v>
      </c>
      <c r="AL259" s="54">
        <f>IF(AN259=21,I259,0)</f>
        <v>0</v>
      </c>
      <c r="AN259" s="54">
        <v>21</v>
      </c>
      <c r="AO259" s="54">
        <f>H259*0</f>
        <v>0</v>
      </c>
      <c r="AP259" s="54">
        <f>H259*(1-0)</f>
        <v>0</v>
      </c>
      <c r="AQ259" s="56" t="s">
        <v>168</v>
      </c>
      <c r="AV259" s="54">
        <f>AW259+AX259</f>
        <v>0</v>
      </c>
      <c r="AW259" s="54">
        <f>G259*AO259</f>
        <v>0</v>
      </c>
      <c r="AX259" s="54">
        <f>G259*AP259</f>
        <v>0</v>
      </c>
      <c r="AY259" s="56" t="s">
        <v>493</v>
      </c>
      <c r="AZ259" s="56" t="s">
        <v>418</v>
      </c>
      <c r="BA259" s="34" t="s">
        <v>114</v>
      </c>
      <c r="BC259" s="54">
        <f>AW259+AX259</f>
        <v>0</v>
      </c>
      <c r="BD259" s="54">
        <f>H259/(100-BE259)*100</f>
        <v>0</v>
      </c>
      <c r="BE259" s="54">
        <v>0</v>
      </c>
      <c r="BF259" s="54">
        <f>L259</f>
        <v>0</v>
      </c>
      <c r="BH259" s="54">
        <f>G259*AO259</f>
        <v>0</v>
      </c>
      <c r="BI259" s="54">
        <f>G259*AP259</f>
        <v>0</v>
      </c>
      <c r="BJ259" s="54">
        <f>G259*H259</f>
        <v>0</v>
      </c>
      <c r="BK259" s="54"/>
      <c r="BL259" s="54">
        <v>722</v>
      </c>
      <c r="BW259" s="54">
        <v>21</v>
      </c>
      <c r="BX259" s="3" t="s">
        <v>615</v>
      </c>
    </row>
    <row r="260" spans="1:76" ht="14.5" x14ac:dyDescent="0.35">
      <c r="A260" s="50" t="s">
        <v>10</v>
      </c>
      <c r="B260" s="51" t="s">
        <v>103</v>
      </c>
      <c r="C260" s="51" t="s">
        <v>617</v>
      </c>
      <c r="D260" s="206" t="s">
        <v>618</v>
      </c>
      <c r="E260" s="207"/>
      <c r="F260" s="52" t="s">
        <v>84</v>
      </c>
      <c r="G260" s="52" t="s">
        <v>84</v>
      </c>
      <c r="H260" s="83" t="s">
        <v>84</v>
      </c>
      <c r="I260" s="27">
        <f>SUM(I261:I296)</f>
        <v>0</v>
      </c>
      <c r="J260" s="34" t="s">
        <v>10</v>
      </c>
      <c r="K260" s="34" t="s">
        <v>10</v>
      </c>
      <c r="L260" s="27">
        <f>SUM(L261:L296)</f>
        <v>13.708440000000001</v>
      </c>
      <c r="M260" s="53" t="s">
        <v>10</v>
      </c>
      <c r="AI260" s="34" t="s">
        <v>103</v>
      </c>
      <c r="AS260" s="27">
        <f>SUM(AJ261:AJ296)</f>
        <v>0</v>
      </c>
      <c r="AT260" s="27">
        <f>SUM(AK261:AK296)</f>
        <v>0</v>
      </c>
      <c r="AU260" s="27">
        <f>SUM(AL261:AL296)</f>
        <v>0</v>
      </c>
    </row>
    <row r="261" spans="1:76" ht="14.5" x14ac:dyDescent="0.35">
      <c r="A261" s="1" t="s">
        <v>619</v>
      </c>
      <c r="B261" s="2" t="s">
        <v>103</v>
      </c>
      <c r="C261" s="2" t="s">
        <v>620</v>
      </c>
      <c r="D261" s="155" t="s">
        <v>621</v>
      </c>
      <c r="E261" s="153"/>
      <c r="F261" s="2" t="s">
        <v>481</v>
      </c>
      <c r="G261" s="54">
        <v>48</v>
      </c>
      <c r="H261" s="84">
        <v>0</v>
      </c>
      <c r="I261" s="54">
        <f>G261*H261</f>
        <v>0</v>
      </c>
      <c r="J261" s="54">
        <v>1.4749999999999999E-2</v>
      </c>
      <c r="K261" s="54">
        <v>0</v>
      </c>
      <c r="L261" s="54">
        <f>G261*J261</f>
        <v>0.70799999999999996</v>
      </c>
      <c r="M261" s="55" t="s">
        <v>10</v>
      </c>
      <c r="Z261" s="54">
        <f>IF(AQ261="5",BJ261,0)</f>
        <v>0</v>
      </c>
      <c r="AB261" s="54">
        <f>IF(AQ261="1",BH261,0)</f>
        <v>0</v>
      </c>
      <c r="AC261" s="54">
        <f>IF(AQ261="1",BI261,0)</f>
        <v>0</v>
      </c>
      <c r="AD261" s="54">
        <f>IF(AQ261="7",BH261,0)</f>
        <v>0</v>
      </c>
      <c r="AE261" s="54">
        <f>IF(AQ261="7",BI261,0)</f>
        <v>0</v>
      </c>
      <c r="AF261" s="54">
        <f>IF(AQ261="2",BH261,0)</f>
        <v>0</v>
      </c>
      <c r="AG261" s="54">
        <f>IF(AQ261="2",BI261,0)</f>
        <v>0</v>
      </c>
      <c r="AH261" s="54">
        <f>IF(AQ261="0",BJ261,0)</f>
        <v>0</v>
      </c>
      <c r="AI261" s="34" t="s">
        <v>103</v>
      </c>
      <c r="AJ261" s="54">
        <f>IF(AN261=0,I261,0)</f>
        <v>0</v>
      </c>
      <c r="AK261" s="54">
        <f>IF(AN261=12,I261,0)</f>
        <v>0</v>
      </c>
      <c r="AL261" s="54">
        <f>IF(AN261=21,I261,0)</f>
        <v>0</v>
      </c>
      <c r="AN261" s="54">
        <v>21</v>
      </c>
      <c r="AO261" s="54">
        <f>H261*0.815787879</f>
        <v>0</v>
      </c>
      <c r="AP261" s="54">
        <f>H261*(1-0.815787879)</f>
        <v>0</v>
      </c>
      <c r="AQ261" s="56" t="s">
        <v>168</v>
      </c>
      <c r="AV261" s="54">
        <f>AW261+AX261</f>
        <v>0</v>
      </c>
      <c r="AW261" s="54">
        <f>G261*AO261</f>
        <v>0</v>
      </c>
      <c r="AX261" s="54">
        <f>G261*AP261</f>
        <v>0</v>
      </c>
      <c r="AY261" s="56" t="s">
        <v>622</v>
      </c>
      <c r="AZ261" s="56" t="s">
        <v>418</v>
      </c>
      <c r="BA261" s="34" t="s">
        <v>114</v>
      </c>
      <c r="BC261" s="54">
        <f>AW261+AX261</f>
        <v>0</v>
      </c>
      <c r="BD261" s="54">
        <f>H261/(100-BE261)*100</f>
        <v>0</v>
      </c>
      <c r="BE261" s="54">
        <v>0</v>
      </c>
      <c r="BF261" s="54">
        <f>L261</f>
        <v>0.70799999999999996</v>
      </c>
      <c r="BH261" s="54">
        <f>G261*AO261</f>
        <v>0</v>
      </c>
      <c r="BI261" s="54">
        <f>G261*AP261</f>
        <v>0</v>
      </c>
      <c r="BJ261" s="54">
        <f>G261*H261</f>
        <v>0</v>
      </c>
      <c r="BK261" s="54"/>
      <c r="BL261" s="54">
        <v>725</v>
      </c>
      <c r="BW261" s="54">
        <v>21</v>
      </c>
      <c r="BX261" s="3" t="s">
        <v>621</v>
      </c>
    </row>
    <row r="262" spans="1:76" ht="14.5" x14ac:dyDescent="0.35">
      <c r="A262" s="57"/>
      <c r="D262" s="58" t="s">
        <v>483</v>
      </c>
      <c r="E262" s="59" t="s">
        <v>624</v>
      </c>
      <c r="G262" s="60">
        <v>48</v>
      </c>
      <c r="M262" s="61"/>
    </row>
    <row r="263" spans="1:76" ht="14.5" x14ac:dyDescent="0.35">
      <c r="A263" s="1" t="s">
        <v>625</v>
      </c>
      <c r="B263" s="2" t="s">
        <v>103</v>
      </c>
      <c r="C263" s="2" t="s">
        <v>626</v>
      </c>
      <c r="D263" s="155" t="s">
        <v>627</v>
      </c>
      <c r="E263" s="153"/>
      <c r="F263" s="2" t="s">
        <v>581</v>
      </c>
      <c r="G263" s="54">
        <v>1</v>
      </c>
      <c r="H263" s="84">
        <v>0</v>
      </c>
      <c r="I263" s="54">
        <f>G263*H263</f>
        <v>0</v>
      </c>
      <c r="J263" s="54">
        <v>1.4420000000000001E-2</v>
      </c>
      <c r="K263" s="54">
        <v>0</v>
      </c>
      <c r="L263" s="54">
        <f>G263*J263</f>
        <v>1.4420000000000001E-2</v>
      </c>
      <c r="M263" s="55" t="s">
        <v>10</v>
      </c>
      <c r="Z263" s="54">
        <f>IF(AQ263="5",BJ263,0)</f>
        <v>0</v>
      </c>
      <c r="AB263" s="54">
        <f>IF(AQ263="1",BH263,0)</f>
        <v>0</v>
      </c>
      <c r="AC263" s="54">
        <f>IF(AQ263="1",BI263,0)</f>
        <v>0</v>
      </c>
      <c r="AD263" s="54">
        <f>IF(AQ263="7",BH263,0)</f>
        <v>0</v>
      </c>
      <c r="AE263" s="54">
        <f>IF(AQ263="7",BI263,0)</f>
        <v>0</v>
      </c>
      <c r="AF263" s="54">
        <f>IF(AQ263="2",BH263,0)</f>
        <v>0</v>
      </c>
      <c r="AG263" s="54">
        <f>IF(AQ263="2",BI263,0)</f>
        <v>0</v>
      </c>
      <c r="AH263" s="54">
        <f>IF(AQ263="0",BJ263,0)</f>
        <v>0</v>
      </c>
      <c r="AI263" s="34" t="s">
        <v>103</v>
      </c>
      <c r="AJ263" s="54">
        <f>IF(AN263=0,I263,0)</f>
        <v>0</v>
      </c>
      <c r="AK263" s="54">
        <f>IF(AN263=12,I263,0)</f>
        <v>0</v>
      </c>
      <c r="AL263" s="54">
        <f>IF(AN263=21,I263,0)</f>
        <v>0</v>
      </c>
      <c r="AN263" s="54">
        <v>21</v>
      </c>
      <c r="AO263" s="54">
        <f>H263*0.88264071</f>
        <v>0</v>
      </c>
      <c r="AP263" s="54">
        <f>H263*(1-0.88264071)</f>
        <v>0</v>
      </c>
      <c r="AQ263" s="56" t="s">
        <v>168</v>
      </c>
      <c r="AV263" s="54">
        <f>AW263+AX263</f>
        <v>0</v>
      </c>
      <c r="AW263" s="54">
        <f>G263*AO263</f>
        <v>0</v>
      </c>
      <c r="AX263" s="54">
        <f>G263*AP263</f>
        <v>0</v>
      </c>
      <c r="AY263" s="56" t="s">
        <v>622</v>
      </c>
      <c r="AZ263" s="56" t="s">
        <v>418</v>
      </c>
      <c r="BA263" s="34" t="s">
        <v>114</v>
      </c>
      <c r="BC263" s="54">
        <f>AW263+AX263</f>
        <v>0</v>
      </c>
      <c r="BD263" s="54">
        <f>H263/(100-BE263)*100</f>
        <v>0</v>
      </c>
      <c r="BE263" s="54">
        <v>0</v>
      </c>
      <c r="BF263" s="54">
        <f>L263</f>
        <v>1.4420000000000001E-2</v>
      </c>
      <c r="BH263" s="54">
        <f>G263*AO263</f>
        <v>0</v>
      </c>
      <c r="BI263" s="54">
        <f>G263*AP263</f>
        <v>0</v>
      </c>
      <c r="BJ263" s="54">
        <f>G263*H263</f>
        <v>0</v>
      </c>
      <c r="BK263" s="54"/>
      <c r="BL263" s="54">
        <v>725</v>
      </c>
      <c r="BW263" s="54">
        <v>21</v>
      </c>
      <c r="BX263" s="3" t="s">
        <v>627</v>
      </c>
    </row>
    <row r="264" spans="1:76" ht="14.5" x14ac:dyDescent="0.35">
      <c r="A264" s="57"/>
      <c r="D264" s="58" t="s">
        <v>629</v>
      </c>
      <c r="E264" s="59" t="s">
        <v>630</v>
      </c>
      <c r="G264" s="60">
        <v>1</v>
      </c>
      <c r="M264" s="61"/>
    </row>
    <row r="265" spans="1:76" ht="14.5" x14ac:dyDescent="0.35">
      <c r="A265" s="1" t="s">
        <v>631</v>
      </c>
      <c r="B265" s="2" t="s">
        <v>103</v>
      </c>
      <c r="C265" s="2" t="s">
        <v>632</v>
      </c>
      <c r="D265" s="155" t="s">
        <v>633</v>
      </c>
      <c r="E265" s="153"/>
      <c r="F265" s="2" t="s">
        <v>481</v>
      </c>
      <c r="G265" s="54">
        <v>24</v>
      </c>
      <c r="H265" s="84">
        <v>0</v>
      </c>
      <c r="I265" s="54">
        <f>G265*H265</f>
        <v>0</v>
      </c>
      <c r="J265" s="54">
        <v>0</v>
      </c>
      <c r="K265" s="54">
        <v>0</v>
      </c>
      <c r="L265" s="54">
        <f>G265*J265</f>
        <v>0</v>
      </c>
      <c r="M265" s="55" t="s">
        <v>10</v>
      </c>
      <c r="Z265" s="54">
        <f>IF(AQ265="5",BJ265,0)</f>
        <v>0</v>
      </c>
      <c r="AB265" s="54">
        <f>IF(AQ265="1",BH265,0)</f>
        <v>0</v>
      </c>
      <c r="AC265" s="54">
        <f>IF(AQ265="1",BI265,0)</f>
        <v>0</v>
      </c>
      <c r="AD265" s="54">
        <f>IF(AQ265="7",BH265,0)</f>
        <v>0</v>
      </c>
      <c r="AE265" s="54">
        <f>IF(AQ265="7",BI265,0)</f>
        <v>0</v>
      </c>
      <c r="AF265" s="54">
        <f>IF(AQ265="2",BH265,0)</f>
        <v>0</v>
      </c>
      <c r="AG265" s="54">
        <f>IF(AQ265="2",BI265,0)</f>
        <v>0</v>
      </c>
      <c r="AH265" s="54">
        <f>IF(AQ265="0",BJ265,0)</f>
        <v>0</v>
      </c>
      <c r="AI265" s="34" t="s">
        <v>103</v>
      </c>
      <c r="AJ265" s="54">
        <f>IF(AN265=0,I265,0)</f>
        <v>0</v>
      </c>
      <c r="AK265" s="54">
        <f>IF(AN265=12,I265,0)</f>
        <v>0</v>
      </c>
      <c r="AL265" s="54">
        <f>IF(AN265=21,I265,0)</f>
        <v>0</v>
      </c>
      <c r="AN265" s="54">
        <v>21</v>
      </c>
      <c r="AO265" s="54">
        <f>H265*0</f>
        <v>0</v>
      </c>
      <c r="AP265" s="54">
        <f>H265*(1-0)</f>
        <v>0</v>
      </c>
      <c r="AQ265" s="56" t="s">
        <v>168</v>
      </c>
      <c r="AV265" s="54">
        <f>AW265+AX265</f>
        <v>0</v>
      </c>
      <c r="AW265" s="54">
        <f>G265*AO265</f>
        <v>0</v>
      </c>
      <c r="AX265" s="54">
        <f>G265*AP265</f>
        <v>0</v>
      </c>
      <c r="AY265" s="56" t="s">
        <v>622</v>
      </c>
      <c r="AZ265" s="56" t="s">
        <v>418</v>
      </c>
      <c r="BA265" s="34" t="s">
        <v>114</v>
      </c>
      <c r="BC265" s="54">
        <f>AW265+AX265</f>
        <v>0</v>
      </c>
      <c r="BD265" s="54">
        <f>H265/(100-BE265)*100</f>
        <v>0</v>
      </c>
      <c r="BE265" s="54">
        <v>0</v>
      </c>
      <c r="BF265" s="54">
        <f>L265</f>
        <v>0</v>
      </c>
      <c r="BH265" s="54">
        <f>G265*AO265</f>
        <v>0</v>
      </c>
      <c r="BI265" s="54">
        <f>G265*AP265</f>
        <v>0</v>
      </c>
      <c r="BJ265" s="54">
        <f>G265*H265</f>
        <v>0</v>
      </c>
      <c r="BK265" s="54"/>
      <c r="BL265" s="54">
        <v>725</v>
      </c>
      <c r="BW265" s="54">
        <v>21</v>
      </c>
      <c r="BX265" s="3" t="s">
        <v>633</v>
      </c>
    </row>
    <row r="266" spans="1:76" ht="14.5" x14ac:dyDescent="0.35">
      <c r="A266" s="57"/>
      <c r="D266" s="58" t="s">
        <v>406</v>
      </c>
      <c r="E266" s="59" t="s">
        <v>634</v>
      </c>
      <c r="G266" s="60">
        <v>24</v>
      </c>
      <c r="M266" s="61"/>
    </row>
    <row r="267" spans="1:76" ht="14.5" x14ac:dyDescent="0.35">
      <c r="A267" s="1" t="s">
        <v>635</v>
      </c>
      <c r="B267" s="2" t="s">
        <v>103</v>
      </c>
      <c r="C267" s="2" t="s">
        <v>636</v>
      </c>
      <c r="D267" s="155" t="s">
        <v>637</v>
      </c>
      <c r="E267" s="153"/>
      <c r="F267" s="2" t="s">
        <v>481</v>
      </c>
      <c r="G267" s="54">
        <v>48</v>
      </c>
      <c r="H267" s="84">
        <v>0</v>
      </c>
      <c r="I267" s="54">
        <f>G267*H267</f>
        <v>0</v>
      </c>
      <c r="J267" s="54">
        <v>1.001E-2</v>
      </c>
      <c r="K267" s="54">
        <v>0</v>
      </c>
      <c r="L267" s="54">
        <f>G267*J267</f>
        <v>0.48048000000000002</v>
      </c>
      <c r="M267" s="55" t="s">
        <v>10</v>
      </c>
      <c r="Z267" s="54">
        <f>IF(AQ267="5",BJ267,0)</f>
        <v>0</v>
      </c>
      <c r="AB267" s="54">
        <f>IF(AQ267="1",BH267,0)</f>
        <v>0</v>
      </c>
      <c r="AC267" s="54">
        <f>IF(AQ267="1",BI267,0)</f>
        <v>0</v>
      </c>
      <c r="AD267" s="54">
        <f>IF(AQ267="7",BH267,0)</f>
        <v>0</v>
      </c>
      <c r="AE267" s="54">
        <f>IF(AQ267="7",BI267,0)</f>
        <v>0</v>
      </c>
      <c r="AF267" s="54">
        <f>IF(AQ267="2",BH267,0)</f>
        <v>0</v>
      </c>
      <c r="AG267" s="54">
        <f>IF(AQ267="2",BI267,0)</f>
        <v>0</v>
      </c>
      <c r="AH267" s="54">
        <f>IF(AQ267="0",BJ267,0)</f>
        <v>0</v>
      </c>
      <c r="AI267" s="34" t="s">
        <v>103</v>
      </c>
      <c r="AJ267" s="54">
        <f>IF(AN267=0,I267,0)</f>
        <v>0</v>
      </c>
      <c r="AK267" s="54">
        <f>IF(AN267=12,I267,0)</f>
        <v>0</v>
      </c>
      <c r="AL267" s="54">
        <f>IF(AN267=21,I267,0)</f>
        <v>0</v>
      </c>
      <c r="AN267" s="54">
        <v>21</v>
      </c>
      <c r="AO267" s="54">
        <f>H267*0.619934884</f>
        <v>0</v>
      </c>
      <c r="AP267" s="54">
        <f>H267*(1-0.619934884)</f>
        <v>0</v>
      </c>
      <c r="AQ267" s="56" t="s">
        <v>168</v>
      </c>
      <c r="AV267" s="54">
        <f>AW267+AX267</f>
        <v>0</v>
      </c>
      <c r="AW267" s="54">
        <f>G267*AO267</f>
        <v>0</v>
      </c>
      <c r="AX267" s="54">
        <f>G267*AP267</f>
        <v>0</v>
      </c>
      <c r="AY267" s="56" t="s">
        <v>622</v>
      </c>
      <c r="AZ267" s="56" t="s">
        <v>418</v>
      </c>
      <c r="BA267" s="34" t="s">
        <v>114</v>
      </c>
      <c r="BC267" s="54">
        <f>AW267+AX267</f>
        <v>0</v>
      </c>
      <c r="BD267" s="54">
        <f>H267/(100-BE267)*100</f>
        <v>0</v>
      </c>
      <c r="BE267" s="54">
        <v>0</v>
      </c>
      <c r="BF267" s="54">
        <f>L267</f>
        <v>0.48048000000000002</v>
      </c>
      <c r="BH267" s="54">
        <f>G267*AO267</f>
        <v>0</v>
      </c>
      <c r="BI267" s="54">
        <f>G267*AP267</f>
        <v>0</v>
      </c>
      <c r="BJ267" s="54">
        <f>G267*H267</f>
        <v>0</v>
      </c>
      <c r="BK267" s="54"/>
      <c r="BL267" s="54">
        <v>725</v>
      </c>
      <c r="BW267" s="54">
        <v>21</v>
      </c>
      <c r="BX267" s="3" t="s">
        <v>637</v>
      </c>
    </row>
    <row r="268" spans="1:76" ht="14.5" x14ac:dyDescent="0.35">
      <c r="A268" s="57"/>
      <c r="D268" s="58" t="s">
        <v>483</v>
      </c>
      <c r="E268" s="59" t="s">
        <v>638</v>
      </c>
      <c r="G268" s="60">
        <v>48</v>
      </c>
      <c r="M268" s="61"/>
    </row>
    <row r="269" spans="1:76" ht="14.5" x14ac:dyDescent="0.35">
      <c r="A269" s="1" t="s">
        <v>639</v>
      </c>
      <c r="B269" s="2" t="s">
        <v>103</v>
      </c>
      <c r="C269" s="2" t="s">
        <v>640</v>
      </c>
      <c r="D269" s="155" t="s">
        <v>641</v>
      </c>
      <c r="E269" s="153"/>
      <c r="F269" s="2" t="s">
        <v>196</v>
      </c>
      <c r="G269" s="54">
        <v>24</v>
      </c>
      <c r="H269" s="84">
        <v>0</v>
      </c>
      <c r="I269" s="54">
        <f>G269*H269</f>
        <v>0</v>
      </c>
      <c r="J269" s="54">
        <v>1.917E-2</v>
      </c>
      <c r="K269" s="54">
        <v>0</v>
      </c>
      <c r="L269" s="54">
        <f>G269*J269</f>
        <v>0.46007999999999999</v>
      </c>
      <c r="M269" s="55" t="s">
        <v>10</v>
      </c>
      <c r="Z269" s="54">
        <f>IF(AQ269="5",BJ269,0)</f>
        <v>0</v>
      </c>
      <c r="AB269" s="54">
        <f>IF(AQ269="1",BH269,0)</f>
        <v>0</v>
      </c>
      <c r="AC269" s="54">
        <f>IF(AQ269="1",BI269,0)</f>
        <v>0</v>
      </c>
      <c r="AD269" s="54">
        <f>IF(AQ269="7",BH269,0)</f>
        <v>0</v>
      </c>
      <c r="AE269" s="54">
        <f>IF(AQ269="7",BI269,0)</f>
        <v>0</v>
      </c>
      <c r="AF269" s="54">
        <f>IF(AQ269="2",BH269,0)</f>
        <v>0</v>
      </c>
      <c r="AG269" s="54">
        <f>IF(AQ269="2",BI269,0)</f>
        <v>0</v>
      </c>
      <c r="AH269" s="54">
        <f>IF(AQ269="0",BJ269,0)</f>
        <v>0</v>
      </c>
      <c r="AI269" s="34" t="s">
        <v>103</v>
      </c>
      <c r="AJ269" s="54">
        <f>IF(AN269=0,I269,0)</f>
        <v>0</v>
      </c>
      <c r="AK269" s="54">
        <f>IF(AN269=12,I269,0)</f>
        <v>0</v>
      </c>
      <c r="AL269" s="54">
        <f>IF(AN269=21,I269,0)</f>
        <v>0</v>
      </c>
      <c r="AN269" s="54">
        <v>21</v>
      </c>
      <c r="AO269" s="54">
        <f>H269*0.717275057</f>
        <v>0</v>
      </c>
      <c r="AP269" s="54">
        <f>H269*(1-0.717275057)</f>
        <v>0</v>
      </c>
      <c r="AQ269" s="56" t="s">
        <v>168</v>
      </c>
      <c r="AV269" s="54">
        <f>AW269+AX269</f>
        <v>0</v>
      </c>
      <c r="AW269" s="54">
        <f>G269*AO269</f>
        <v>0</v>
      </c>
      <c r="AX269" s="54">
        <f>G269*AP269</f>
        <v>0</v>
      </c>
      <c r="AY269" s="56" t="s">
        <v>622</v>
      </c>
      <c r="AZ269" s="56" t="s">
        <v>418</v>
      </c>
      <c r="BA269" s="34" t="s">
        <v>114</v>
      </c>
      <c r="BC269" s="54">
        <f>AW269+AX269</f>
        <v>0</v>
      </c>
      <c r="BD269" s="54">
        <f>H269/(100-BE269)*100</f>
        <v>0</v>
      </c>
      <c r="BE269" s="54">
        <v>0</v>
      </c>
      <c r="BF269" s="54">
        <f>L269</f>
        <v>0.46007999999999999</v>
      </c>
      <c r="BH269" s="54">
        <f>G269*AO269</f>
        <v>0</v>
      </c>
      <c r="BI269" s="54">
        <f>G269*AP269</f>
        <v>0</v>
      </c>
      <c r="BJ269" s="54">
        <f>G269*H269</f>
        <v>0</v>
      </c>
      <c r="BK269" s="54"/>
      <c r="BL269" s="54">
        <v>725</v>
      </c>
      <c r="BW269" s="54">
        <v>21</v>
      </c>
      <c r="BX269" s="3" t="s">
        <v>641</v>
      </c>
    </row>
    <row r="270" spans="1:76" ht="14.5" x14ac:dyDescent="0.35">
      <c r="A270" s="57"/>
      <c r="D270" s="58" t="s">
        <v>406</v>
      </c>
      <c r="E270" s="59" t="s">
        <v>643</v>
      </c>
      <c r="G270" s="60">
        <v>24</v>
      </c>
      <c r="M270" s="61"/>
    </row>
    <row r="271" spans="1:76" ht="14.5" x14ac:dyDescent="0.35">
      <c r="A271" s="1" t="s">
        <v>644</v>
      </c>
      <c r="B271" s="2" t="s">
        <v>103</v>
      </c>
      <c r="C271" s="2" t="s">
        <v>645</v>
      </c>
      <c r="D271" s="155" t="s">
        <v>646</v>
      </c>
      <c r="E271" s="153"/>
      <c r="F271" s="2" t="s">
        <v>196</v>
      </c>
      <c r="G271" s="54">
        <v>24</v>
      </c>
      <c r="H271" s="84">
        <v>0</v>
      </c>
      <c r="I271" s="54">
        <f>G271*H271</f>
        <v>0</v>
      </c>
      <c r="J271" s="54">
        <v>3.8280000000000002E-2</v>
      </c>
      <c r="K271" s="54">
        <v>0</v>
      </c>
      <c r="L271" s="54">
        <f>G271*J271</f>
        <v>0.91871999999999998</v>
      </c>
      <c r="M271" s="55" t="s">
        <v>10</v>
      </c>
      <c r="Z271" s="54">
        <f>IF(AQ271="5",BJ271,0)</f>
        <v>0</v>
      </c>
      <c r="AB271" s="54">
        <f>IF(AQ271="1",BH271,0)</f>
        <v>0</v>
      </c>
      <c r="AC271" s="54">
        <f>IF(AQ271="1",BI271,0)</f>
        <v>0</v>
      </c>
      <c r="AD271" s="54">
        <f>IF(AQ271="7",BH271,0)</f>
        <v>0</v>
      </c>
      <c r="AE271" s="54">
        <f>IF(AQ271="7",BI271,0)</f>
        <v>0</v>
      </c>
      <c r="AF271" s="54">
        <f>IF(AQ271="2",BH271,0)</f>
        <v>0</v>
      </c>
      <c r="AG271" s="54">
        <f>IF(AQ271="2",BI271,0)</f>
        <v>0</v>
      </c>
      <c r="AH271" s="54">
        <f>IF(AQ271="0",BJ271,0)</f>
        <v>0</v>
      </c>
      <c r="AI271" s="34" t="s">
        <v>103</v>
      </c>
      <c r="AJ271" s="54">
        <f>IF(AN271=0,I271,0)</f>
        <v>0</v>
      </c>
      <c r="AK271" s="54">
        <f>IF(AN271=12,I271,0)</f>
        <v>0</v>
      </c>
      <c r="AL271" s="54">
        <f>IF(AN271=21,I271,0)</f>
        <v>0</v>
      </c>
      <c r="AN271" s="54">
        <v>21</v>
      </c>
      <c r="AO271" s="54">
        <f>H271*0.837099518</f>
        <v>0</v>
      </c>
      <c r="AP271" s="54">
        <f>H271*(1-0.837099518)</f>
        <v>0</v>
      </c>
      <c r="AQ271" s="56" t="s">
        <v>168</v>
      </c>
      <c r="AV271" s="54">
        <f>AW271+AX271</f>
        <v>0</v>
      </c>
      <c r="AW271" s="54">
        <f>G271*AO271</f>
        <v>0</v>
      </c>
      <c r="AX271" s="54">
        <f>G271*AP271</f>
        <v>0</v>
      </c>
      <c r="AY271" s="56" t="s">
        <v>622</v>
      </c>
      <c r="AZ271" s="56" t="s">
        <v>418</v>
      </c>
      <c r="BA271" s="34" t="s">
        <v>114</v>
      </c>
      <c r="BC271" s="54">
        <f>AW271+AX271</f>
        <v>0</v>
      </c>
      <c r="BD271" s="54">
        <f>H271/(100-BE271)*100</f>
        <v>0</v>
      </c>
      <c r="BE271" s="54">
        <v>0</v>
      </c>
      <c r="BF271" s="54">
        <f>L271</f>
        <v>0.91871999999999998</v>
      </c>
      <c r="BH271" s="54">
        <f>G271*AO271</f>
        <v>0</v>
      </c>
      <c r="BI271" s="54">
        <f>G271*AP271</f>
        <v>0</v>
      </c>
      <c r="BJ271" s="54">
        <f>G271*H271</f>
        <v>0</v>
      </c>
      <c r="BK271" s="54"/>
      <c r="BL271" s="54">
        <v>725</v>
      </c>
      <c r="BW271" s="54">
        <v>21</v>
      </c>
      <c r="BX271" s="3" t="s">
        <v>646</v>
      </c>
    </row>
    <row r="272" spans="1:76" ht="14.5" x14ac:dyDescent="0.35">
      <c r="A272" s="57"/>
      <c r="D272" s="58" t="s">
        <v>406</v>
      </c>
      <c r="E272" s="59" t="s">
        <v>648</v>
      </c>
      <c r="G272" s="60">
        <v>24</v>
      </c>
      <c r="M272" s="61"/>
    </row>
    <row r="273" spans="1:76" ht="14.5" x14ac:dyDescent="0.35">
      <c r="A273" s="1" t="s">
        <v>649</v>
      </c>
      <c r="B273" s="2" t="s">
        <v>103</v>
      </c>
      <c r="C273" s="2" t="s">
        <v>650</v>
      </c>
      <c r="D273" s="155" t="s">
        <v>651</v>
      </c>
      <c r="E273" s="153"/>
      <c r="F273" s="2" t="s">
        <v>581</v>
      </c>
      <c r="G273" s="54">
        <v>24</v>
      </c>
      <c r="H273" s="84">
        <v>0</v>
      </c>
      <c r="I273" s="54">
        <f>G273*H273</f>
        <v>0</v>
      </c>
      <c r="J273" s="54">
        <v>8.7000000000000001E-4</v>
      </c>
      <c r="K273" s="54">
        <v>0</v>
      </c>
      <c r="L273" s="54">
        <f>G273*J273</f>
        <v>2.0879999999999999E-2</v>
      </c>
      <c r="M273" s="55" t="s">
        <v>111</v>
      </c>
      <c r="Z273" s="54">
        <f>IF(AQ273="5",BJ273,0)</f>
        <v>0</v>
      </c>
      <c r="AB273" s="54">
        <f>IF(AQ273="1",BH273,0)</f>
        <v>0</v>
      </c>
      <c r="AC273" s="54">
        <f>IF(AQ273="1",BI273,0)</f>
        <v>0</v>
      </c>
      <c r="AD273" s="54">
        <f>IF(AQ273="7",BH273,0)</f>
        <v>0</v>
      </c>
      <c r="AE273" s="54">
        <f>IF(AQ273="7",BI273,0)</f>
        <v>0</v>
      </c>
      <c r="AF273" s="54">
        <f>IF(AQ273="2",BH273,0)</f>
        <v>0</v>
      </c>
      <c r="AG273" s="54">
        <f>IF(AQ273="2",BI273,0)</f>
        <v>0</v>
      </c>
      <c r="AH273" s="54">
        <f>IF(AQ273="0",BJ273,0)</f>
        <v>0</v>
      </c>
      <c r="AI273" s="34" t="s">
        <v>103</v>
      </c>
      <c r="AJ273" s="54">
        <f>IF(AN273=0,I273,0)</f>
        <v>0</v>
      </c>
      <c r="AK273" s="54">
        <f>IF(AN273=12,I273,0)</f>
        <v>0</v>
      </c>
      <c r="AL273" s="54">
        <f>IF(AN273=21,I273,0)</f>
        <v>0</v>
      </c>
      <c r="AN273" s="54">
        <v>21</v>
      </c>
      <c r="AO273" s="54">
        <f>H273*0.217154472</f>
        <v>0</v>
      </c>
      <c r="AP273" s="54">
        <f>H273*(1-0.217154472)</f>
        <v>0</v>
      </c>
      <c r="AQ273" s="56" t="s">
        <v>168</v>
      </c>
      <c r="AV273" s="54">
        <f>AW273+AX273</f>
        <v>0</v>
      </c>
      <c r="AW273" s="54">
        <f>G273*AO273</f>
        <v>0</v>
      </c>
      <c r="AX273" s="54">
        <f>G273*AP273</f>
        <v>0</v>
      </c>
      <c r="AY273" s="56" t="s">
        <v>622</v>
      </c>
      <c r="AZ273" s="56" t="s">
        <v>418</v>
      </c>
      <c r="BA273" s="34" t="s">
        <v>114</v>
      </c>
      <c r="BC273" s="54">
        <f>AW273+AX273</f>
        <v>0</v>
      </c>
      <c r="BD273" s="54">
        <f>H273/(100-BE273)*100</f>
        <v>0</v>
      </c>
      <c r="BE273" s="54">
        <v>0</v>
      </c>
      <c r="BF273" s="54">
        <f>L273</f>
        <v>2.0879999999999999E-2</v>
      </c>
      <c r="BH273" s="54">
        <f>G273*AO273</f>
        <v>0</v>
      </c>
      <c r="BI273" s="54">
        <f>G273*AP273</f>
        <v>0</v>
      </c>
      <c r="BJ273" s="54">
        <f>G273*H273</f>
        <v>0</v>
      </c>
      <c r="BK273" s="54"/>
      <c r="BL273" s="54">
        <v>725</v>
      </c>
      <c r="BW273" s="54">
        <v>21</v>
      </c>
      <c r="BX273" s="3" t="s">
        <v>651</v>
      </c>
    </row>
    <row r="274" spans="1:76" ht="14.5" x14ac:dyDescent="0.35">
      <c r="A274" s="57"/>
      <c r="D274" s="58" t="s">
        <v>406</v>
      </c>
      <c r="E274" s="59" t="s">
        <v>652</v>
      </c>
      <c r="G274" s="60">
        <v>24</v>
      </c>
      <c r="M274" s="61"/>
    </row>
    <row r="275" spans="1:76" ht="14.5" x14ac:dyDescent="0.35">
      <c r="A275" s="64" t="s">
        <v>654</v>
      </c>
      <c r="B275" s="65" t="s">
        <v>103</v>
      </c>
      <c r="C275" s="65" t="s">
        <v>655</v>
      </c>
      <c r="D275" s="217" t="s">
        <v>656</v>
      </c>
      <c r="E275" s="218"/>
      <c r="F275" s="65" t="s">
        <v>196</v>
      </c>
      <c r="G275" s="67">
        <v>24</v>
      </c>
      <c r="H275" s="85">
        <v>0</v>
      </c>
      <c r="I275" s="67">
        <f>G275*H275</f>
        <v>0</v>
      </c>
      <c r="J275" s="67">
        <v>2.5999999999999999E-3</v>
      </c>
      <c r="K275" s="67">
        <v>0</v>
      </c>
      <c r="L275" s="67">
        <f>G275*J275</f>
        <v>6.2399999999999997E-2</v>
      </c>
      <c r="M275" s="68" t="s">
        <v>111</v>
      </c>
      <c r="Z275" s="54">
        <f>IF(AQ275="5",BJ275,0)</f>
        <v>0</v>
      </c>
      <c r="AB275" s="54">
        <f>IF(AQ275="1",BH275,0)</f>
        <v>0</v>
      </c>
      <c r="AC275" s="54">
        <f>IF(AQ275="1",BI275,0)</f>
        <v>0</v>
      </c>
      <c r="AD275" s="54">
        <f>IF(AQ275="7",BH275,0)</f>
        <v>0</v>
      </c>
      <c r="AE275" s="54">
        <f>IF(AQ275="7",BI275,0)</f>
        <v>0</v>
      </c>
      <c r="AF275" s="54">
        <f>IF(AQ275="2",BH275,0)</f>
        <v>0</v>
      </c>
      <c r="AG275" s="54">
        <f>IF(AQ275="2",BI275,0)</f>
        <v>0</v>
      </c>
      <c r="AH275" s="54">
        <f>IF(AQ275="0",BJ275,0)</f>
        <v>0</v>
      </c>
      <c r="AI275" s="34" t="s">
        <v>103</v>
      </c>
      <c r="AJ275" s="67">
        <f>IF(AN275=0,I275,0)</f>
        <v>0</v>
      </c>
      <c r="AK275" s="67">
        <f>IF(AN275=12,I275,0)</f>
        <v>0</v>
      </c>
      <c r="AL275" s="67">
        <f>IF(AN275=21,I275,0)</f>
        <v>0</v>
      </c>
      <c r="AN275" s="54">
        <v>21</v>
      </c>
      <c r="AO275" s="54">
        <f>H275*1</f>
        <v>0</v>
      </c>
      <c r="AP275" s="54">
        <f>H275*(1-1)</f>
        <v>0</v>
      </c>
      <c r="AQ275" s="69" t="s">
        <v>168</v>
      </c>
      <c r="AV275" s="54">
        <f>AW275+AX275</f>
        <v>0</v>
      </c>
      <c r="AW275" s="54">
        <f>G275*AO275</f>
        <v>0</v>
      </c>
      <c r="AX275" s="54">
        <f>G275*AP275</f>
        <v>0</v>
      </c>
      <c r="AY275" s="56" t="s">
        <v>622</v>
      </c>
      <c r="AZ275" s="56" t="s">
        <v>418</v>
      </c>
      <c r="BA275" s="34" t="s">
        <v>114</v>
      </c>
      <c r="BC275" s="54">
        <f>AW275+AX275</f>
        <v>0</v>
      </c>
      <c r="BD275" s="54">
        <f>H275/(100-BE275)*100</f>
        <v>0</v>
      </c>
      <c r="BE275" s="54">
        <v>0</v>
      </c>
      <c r="BF275" s="54">
        <f>L275</f>
        <v>6.2399999999999997E-2</v>
      </c>
      <c r="BH275" s="67">
        <f>G275*AO275</f>
        <v>0</v>
      </c>
      <c r="BI275" s="67">
        <f>G275*AP275</f>
        <v>0</v>
      </c>
      <c r="BJ275" s="67">
        <f>G275*H275</f>
        <v>0</v>
      </c>
      <c r="BK275" s="67"/>
      <c r="BL275" s="54">
        <v>725</v>
      </c>
      <c r="BW275" s="54">
        <v>21</v>
      </c>
      <c r="BX275" s="66" t="s">
        <v>656</v>
      </c>
    </row>
    <row r="276" spans="1:76" ht="14.5" x14ac:dyDescent="0.35">
      <c r="A276" s="57"/>
      <c r="D276" s="58" t="s">
        <v>406</v>
      </c>
      <c r="E276" s="59" t="s">
        <v>657</v>
      </c>
      <c r="G276" s="60">
        <v>24</v>
      </c>
      <c r="M276" s="61"/>
    </row>
    <row r="277" spans="1:76" ht="14.5" x14ac:dyDescent="0.35">
      <c r="A277" s="64" t="s">
        <v>659</v>
      </c>
      <c r="B277" s="65" t="s">
        <v>103</v>
      </c>
      <c r="C277" s="65" t="s">
        <v>660</v>
      </c>
      <c r="D277" s="217" t="s">
        <v>661</v>
      </c>
      <c r="E277" s="218"/>
      <c r="F277" s="65" t="s">
        <v>196</v>
      </c>
      <c r="G277" s="67">
        <v>24</v>
      </c>
      <c r="H277" s="85">
        <v>0</v>
      </c>
      <c r="I277" s="67">
        <f>G277*H277</f>
        <v>0</v>
      </c>
      <c r="J277" s="67">
        <v>1.55E-2</v>
      </c>
      <c r="K277" s="67">
        <v>0</v>
      </c>
      <c r="L277" s="67">
        <f>G277*J277</f>
        <v>0.372</v>
      </c>
      <c r="M277" s="68" t="s">
        <v>10</v>
      </c>
      <c r="Z277" s="54">
        <f>IF(AQ277="5",BJ277,0)</f>
        <v>0</v>
      </c>
      <c r="AB277" s="54">
        <f>IF(AQ277="1",BH277,0)</f>
        <v>0</v>
      </c>
      <c r="AC277" s="54">
        <f>IF(AQ277="1",BI277,0)</f>
        <v>0</v>
      </c>
      <c r="AD277" s="54">
        <f>IF(AQ277="7",BH277,0)</f>
        <v>0</v>
      </c>
      <c r="AE277" s="54">
        <f>IF(AQ277="7",BI277,0)</f>
        <v>0</v>
      </c>
      <c r="AF277" s="54">
        <f>IF(AQ277="2",BH277,0)</f>
        <v>0</v>
      </c>
      <c r="AG277" s="54">
        <f>IF(AQ277="2",BI277,0)</f>
        <v>0</v>
      </c>
      <c r="AH277" s="54">
        <f>IF(AQ277="0",BJ277,0)</f>
        <v>0</v>
      </c>
      <c r="AI277" s="34" t="s">
        <v>103</v>
      </c>
      <c r="AJ277" s="67">
        <f>IF(AN277=0,I277,0)</f>
        <v>0</v>
      </c>
      <c r="AK277" s="67">
        <f>IF(AN277=12,I277,0)</f>
        <v>0</v>
      </c>
      <c r="AL277" s="67">
        <f>IF(AN277=21,I277,0)</f>
        <v>0</v>
      </c>
      <c r="AN277" s="54">
        <v>21</v>
      </c>
      <c r="AO277" s="54">
        <f>H277*1</f>
        <v>0</v>
      </c>
      <c r="AP277" s="54">
        <f>H277*(1-1)</f>
        <v>0</v>
      </c>
      <c r="AQ277" s="69" t="s">
        <v>168</v>
      </c>
      <c r="AV277" s="54">
        <f>AW277+AX277</f>
        <v>0</v>
      </c>
      <c r="AW277" s="54">
        <f>G277*AO277</f>
        <v>0</v>
      </c>
      <c r="AX277" s="54">
        <f>G277*AP277</f>
        <v>0</v>
      </c>
      <c r="AY277" s="56" t="s">
        <v>622</v>
      </c>
      <c r="AZ277" s="56" t="s">
        <v>418</v>
      </c>
      <c r="BA277" s="34" t="s">
        <v>114</v>
      </c>
      <c r="BC277" s="54">
        <f>AW277+AX277</f>
        <v>0</v>
      </c>
      <c r="BD277" s="54">
        <f>H277/(100-BE277)*100</f>
        <v>0</v>
      </c>
      <c r="BE277" s="54">
        <v>0</v>
      </c>
      <c r="BF277" s="54">
        <f>L277</f>
        <v>0.372</v>
      </c>
      <c r="BH277" s="67">
        <f>G277*AO277</f>
        <v>0</v>
      </c>
      <c r="BI277" s="67">
        <f>G277*AP277</f>
        <v>0</v>
      </c>
      <c r="BJ277" s="67">
        <f>G277*H277</f>
        <v>0</v>
      </c>
      <c r="BK277" s="67"/>
      <c r="BL277" s="54">
        <v>725</v>
      </c>
      <c r="BW277" s="54">
        <v>21</v>
      </c>
      <c r="BX277" s="66" t="s">
        <v>661</v>
      </c>
    </row>
    <row r="278" spans="1:76" ht="14.5" x14ac:dyDescent="0.35">
      <c r="A278" s="57"/>
      <c r="D278" s="58" t="s">
        <v>406</v>
      </c>
      <c r="E278" s="59" t="s">
        <v>662</v>
      </c>
      <c r="G278" s="60">
        <v>24</v>
      </c>
      <c r="M278" s="61"/>
    </row>
    <row r="279" spans="1:76" ht="14.5" x14ac:dyDescent="0.35">
      <c r="A279" s="1" t="s">
        <v>663</v>
      </c>
      <c r="B279" s="2" t="s">
        <v>103</v>
      </c>
      <c r="C279" s="2" t="s">
        <v>664</v>
      </c>
      <c r="D279" s="155" t="s">
        <v>665</v>
      </c>
      <c r="E279" s="153"/>
      <c r="F279" s="2" t="s">
        <v>196</v>
      </c>
      <c r="G279" s="54">
        <v>24</v>
      </c>
      <c r="H279" s="84">
        <v>0</v>
      </c>
      <c r="I279" s="54">
        <f>G279*H279</f>
        <v>0</v>
      </c>
      <c r="J279" s="54">
        <v>1.933E-2</v>
      </c>
      <c r="K279" s="54">
        <v>1.933E-2</v>
      </c>
      <c r="L279" s="54">
        <f>G279*J279</f>
        <v>0.46392</v>
      </c>
      <c r="M279" s="55" t="s">
        <v>10</v>
      </c>
      <c r="Z279" s="54">
        <f>IF(AQ279="5",BJ279,0)</f>
        <v>0</v>
      </c>
      <c r="AB279" s="54">
        <f>IF(AQ279="1",BH279,0)</f>
        <v>0</v>
      </c>
      <c r="AC279" s="54">
        <f>IF(AQ279="1",BI279,0)</f>
        <v>0</v>
      </c>
      <c r="AD279" s="54">
        <f>IF(AQ279="7",BH279,0)</f>
        <v>0</v>
      </c>
      <c r="AE279" s="54">
        <f>IF(AQ279="7",BI279,0)</f>
        <v>0</v>
      </c>
      <c r="AF279" s="54">
        <f>IF(AQ279="2",BH279,0)</f>
        <v>0</v>
      </c>
      <c r="AG279" s="54">
        <f>IF(AQ279="2",BI279,0)</f>
        <v>0</v>
      </c>
      <c r="AH279" s="54">
        <f>IF(AQ279="0",BJ279,0)</f>
        <v>0</v>
      </c>
      <c r="AI279" s="34" t="s">
        <v>103</v>
      </c>
      <c r="AJ279" s="54">
        <f>IF(AN279=0,I279,0)</f>
        <v>0</v>
      </c>
      <c r="AK279" s="54">
        <f>IF(AN279=12,I279,0)</f>
        <v>0</v>
      </c>
      <c r="AL279" s="54">
        <f>IF(AN279=21,I279,0)</f>
        <v>0</v>
      </c>
      <c r="AN279" s="54">
        <v>21</v>
      </c>
      <c r="AO279" s="54">
        <f>H279*0</f>
        <v>0</v>
      </c>
      <c r="AP279" s="54">
        <f>H279*(1-0)</f>
        <v>0</v>
      </c>
      <c r="AQ279" s="56" t="s">
        <v>168</v>
      </c>
      <c r="AV279" s="54">
        <f>AW279+AX279</f>
        <v>0</v>
      </c>
      <c r="AW279" s="54">
        <f>G279*AO279</f>
        <v>0</v>
      </c>
      <c r="AX279" s="54">
        <f>G279*AP279</f>
        <v>0</v>
      </c>
      <c r="AY279" s="56" t="s">
        <v>622</v>
      </c>
      <c r="AZ279" s="56" t="s">
        <v>418</v>
      </c>
      <c r="BA279" s="34" t="s">
        <v>114</v>
      </c>
      <c r="BC279" s="54">
        <f>AW279+AX279</f>
        <v>0</v>
      </c>
      <c r="BD279" s="54">
        <f>H279/(100-BE279)*100</f>
        <v>0</v>
      </c>
      <c r="BE279" s="54">
        <v>0</v>
      </c>
      <c r="BF279" s="54">
        <f>L279</f>
        <v>0.46392</v>
      </c>
      <c r="BH279" s="54">
        <f>G279*AO279</f>
        <v>0</v>
      </c>
      <c r="BI279" s="54">
        <f>G279*AP279</f>
        <v>0</v>
      </c>
      <c r="BJ279" s="54">
        <f>G279*H279</f>
        <v>0</v>
      </c>
      <c r="BK279" s="54"/>
      <c r="BL279" s="54">
        <v>725</v>
      </c>
      <c r="BW279" s="54">
        <v>21</v>
      </c>
      <c r="BX279" s="3" t="s">
        <v>665</v>
      </c>
    </row>
    <row r="280" spans="1:76" ht="14.5" x14ac:dyDescent="0.35">
      <c r="A280" s="57"/>
      <c r="D280" s="58" t="s">
        <v>406</v>
      </c>
      <c r="E280" s="59" t="s">
        <v>667</v>
      </c>
      <c r="G280" s="60">
        <v>24</v>
      </c>
      <c r="M280" s="61"/>
    </row>
    <row r="281" spans="1:76" ht="14.5" x14ac:dyDescent="0.35">
      <c r="A281" s="1" t="s">
        <v>668</v>
      </c>
      <c r="B281" s="2" t="s">
        <v>103</v>
      </c>
      <c r="C281" s="2" t="s">
        <v>669</v>
      </c>
      <c r="D281" s="155" t="s">
        <v>670</v>
      </c>
      <c r="E281" s="153"/>
      <c r="F281" s="2" t="s">
        <v>196</v>
      </c>
      <c r="G281" s="54">
        <v>24</v>
      </c>
      <c r="H281" s="84">
        <v>0</v>
      </c>
      <c r="I281" s="54">
        <f>G281*H281</f>
        <v>0</v>
      </c>
      <c r="J281" s="54">
        <v>3.1870000000000002E-2</v>
      </c>
      <c r="K281" s="54">
        <v>3.1870000000000002E-2</v>
      </c>
      <c r="L281" s="54">
        <f>G281*J281</f>
        <v>0.76488</v>
      </c>
      <c r="M281" s="55" t="s">
        <v>10</v>
      </c>
      <c r="Z281" s="54">
        <f>IF(AQ281="5",BJ281,0)</f>
        <v>0</v>
      </c>
      <c r="AB281" s="54">
        <f>IF(AQ281="1",BH281,0)</f>
        <v>0</v>
      </c>
      <c r="AC281" s="54">
        <f>IF(AQ281="1",BI281,0)</f>
        <v>0</v>
      </c>
      <c r="AD281" s="54">
        <f>IF(AQ281="7",BH281,0)</f>
        <v>0</v>
      </c>
      <c r="AE281" s="54">
        <f>IF(AQ281="7",BI281,0)</f>
        <v>0</v>
      </c>
      <c r="AF281" s="54">
        <f>IF(AQ281="2",BH281,0)</f>
        <v>0</v>
      </c>
      <c r="AG281" s="54">
        <f>IF(AQ281="2",BI281,0)</f>
        <v>0</v>
      </c>
      <c r="AH281" s="54">
        <f>IF(AQ281="0",BJ281,0)</f>
        <v>0</v>
      </c>
      <c r="AI281" s="34" t="s">
        <v>103</v>
      </c>
      <c r="AJ281" s="54">
        <f>IF(AN281=0,I281,0)</f>
        <v>0</v>
      </c>
      <c r="AK281" s="54">
        <f>IF(AN281=12,I281,0)</f>
        <v>0</v>
      </c>
      <c r="AL281" s="54">
        <f>IF(AN281=21,I281,0)</f>
        <v>0</v>
      </c>
      <c r="AN281" s="54">
        <v>21</v>
      </c>
      <c r="AO281" s="54">
        <f>H281*0</f>
        <v>0</v>
      </c>
      <c r="AP281" s="54">
        <f>H281*(1-0)</f>
        <v>0</v>
      </c>
      <c r="AQ281" s="56" t="s">
        <v>168</v>
      </c>
      <c r="AV281" s="54">
        <f>AW281+AX281</f>
        <v>0</v>
      </c>
      <c r="AW281" s="54">
        <f>G281*AO281</f>
        <v>0</v>
      </c>
      <c r="AX281" s="54">
        <f>G281*AP281</f>
        <v>0</v>
      </c>
      <c r="AY281" s="56" t="s">
        <v>622</v>
      </c>
      <c r="AZ281" s="56" t="s">
        <v>418</v>
      </c>
      <c r="BA281" s="34" t="s">
        <v>114</v>
      </c>
      <c r="BC281" s="54">
        <f>AW281+AX281</f>
        <v>0</v>
      </c>
      <c r="BD281" s="54">
        <f>H281/(100-BE281)*100</f>
        <v>0</v>
      </c>
      <c r="BE281" s="54">
        <v>0</v>
      </c>
      <c r="BF281" s="54">
        <f>L281</f>
        <v>0.76488</v>
      </c>
      <c r="BH281" s="54">
        <f>G281*AO281</f>
        <v>0</v>
      </c>
      <c r="BI281" s="54">
        <f>G281*AP281</f>
        <v>0</v>
      </c>
      <c r="BJ281" s="54">
        <f>G281*H281</f>
        <v>0</v>
      </c>
      <c r="BK281" s="54"/>
      <c r="BL281" s="54">
        <v>725</v>
      </c>
      <c r="BW281" s="54">
        <v>21</v>
      </c>
      <c r="BX281" s="3" t="s">
        <v>670</v>
      </c>
    </row>
    <row r="282" spans="1:76" ht="14.5" x14ac:dyDescent="0.35">
      <c r="A282" s="57"/>
      <c r="D282" s="58" t="s">
        <v>406</v>
      </c>
      <c r="E282" s="59" t="s">
        <v>667</v>
      </c>
      <c r="G282" s="60">
        <v>24</v>
      </c>
      <c r="M282" s="61"/>
    </row>
    <row r="283" spans="1:76" ht="14.5" x14ac:dyDescent="0.35">
      <c r="A283" s="1" t="s">
        <v>671</v>
      </c>
      <c r="B283" s="2" t="s">
        <v>103</v>
      </c>
      <c r="C283" s="2" t="s">
        <v>672</v>
      </c>
      <c r="D283" s="155" t="s">
        <v>673</v>
      </c>
      <c r="E283" s="153"/>
      <c r="F283" s="2" t="s">
        <v>196</v>
      </c>
      <c r="G283" s="54">
        <v>24</v>
      </c>
      <c r="H283" s="84">
        <v>0</v>
      </c>
      <c r="I283" s="54">
        <f>G283*H283</f>
        <v>0</v>
      </c>
      <c r="J283" s="54">
        <v>0.38567000000000001</v>
      </c>
      <c r="K283" s="54">
        <v>0.38472000000000001</v>
      </c>
      <c r="L283" s="54">
        <f>G283*J283</f>
        <v>9.2560800000000008</v>
      </c>
      <c r="M283" s="55" t="s">
        <v>10</v>
      </c>
      <c r="Z283" s="54">
        <f>IF(AQ283="5",BJ283,0)</f>
        <v>0</v>
      </c>
      <c r="AB283" s="54">
        <f>IF(AQ283="1",BH283,0)</f>
        <v>0</v>
      </c>
      <c r="AC283" s="54">
        <f>IF(AQ283="1",BI283,0)</f>
        <v>0</v>
      </c>
      <c r="AD283" s="54">
        <f>IF(AQ283="7",BH283,0)</f>
        <v>0</v>
      </c>
      <c r="AE283" s="54">
        <f>IF(AQ283="7",BI283,0)</f>
        <v>0</v>
      </c>
      <c r="AF283" s="54">
        <f>IF(AQ283="2",BH283,0)</f>
        <v>0</v>
      </c>
      <c r="AG283" s="54">
        <f>IF(AQ283="2",BI283,0)</f>
        <v>0</v>
      </c>
      <c r="AH283" s="54">
        <f>IF(AQ283="0",BJ283,0)</f>
        <v>0</v>
      </c>
      <c r="AI283" s="34" t="s">
        <v>103</v>
      </c>
      <c r="AJ283" s="54">
        <f>IF(AN283=0,I283,0)</f>
        <v>0</v>
      </c>
      <c r="AK283" s="54">
        <f>IF(AN283=12,I283,0)</f>
        <v>0</v>
      </c>
      <c r="AL283" s="54">
        <f>IF(AN283=21,I283,0)</f>
        <v>0</v>
      </c>
      <c r="AN283" s="54">
        <v>21</v>
      </c>
      <c r="AO283" s="54">
        <f>H283*0.017915933</f>
        <v>0</v>
      </c>
      <c r="AP283" s="54">
        <f>H283*(1-0.017915933)</f>
        <v>0</v>
      </c>
      <c r="AQ283" s="56" t="s">
        <v>168</v>
      </c>
      <c r="AV283" s="54">
        <f>AW283+AX283</f>
        <v>0</v>
      </c>
      <c r="AW283" s="54">
        <f>G283*AO283</f>
        <v>0</v>
      </c>
      <c r="AX283" s="54">
        <f>G283*AP283</f>
        <v>0</v>
      </c>
      <c r="AY283" s="56" t="s">
        <v>622</v>
      </c>
      <c r="AZ283" s="56" t="s">
        <v>418</v>
      </c>
      <c r="BA283" s="34" t="s">
        <v>114</v>
      </c>
      <c r="BC283" s="54">
        <f>AW283+AX283</f>
        <v>0</v>
      </c>
      <c r="BD283" s="54">
        <f>H283/(100-BE283)*100</f>
        <v>0</v>
      </c>
      <c r="BE283" s="54">
        <v>0</v>
      </c>
      <c r="BF283" s="54">
        <f>L283</f>
        <v>9.2560800000000008</v>
      </c>
      <c r="BH283" s="54">
        <f>G283*AO283</f>
        <v>0</v>
      </c>
      <c r="BI283" s="54">
        <f>G283*AP283</f>
        <v>0</v>
      </c>
      <c r="BJ283" s="54">
        <f>G283*H283</f>
        <v>0</v>
      </c>
      <c r="BK283" s="54"/>
      <c r="BL283" s="54">
        <v>725</v>
      </c>
      <c r="BW283" s="54">
        <v>21</v>
      </c>
      <c r="BX283" s="3" t="s">
        <v>673</v>
      </c>
    </row>
    <row r="284" spans="1:76" ht="14.5" x14ac:dyDescent="0.35">
      <c r="A284" s="57"/>
      <c r="D284" s="58" t="s">
        <v>406</v>
      </c>
      <c r="E284" s="59" t="s">
        <v>667</v>
      </c>
      <c r="G284" s="60">
        <v>24</v>
      </c>
      <c r="M284" s="61"/>
    </row>
    <row r="285" spans="1:76" ht="14.5" x14ac:dyDescent="0.35">
      <c r="A285" s="1" t="s">
        <v>674</v>
      </c>
      <c r="B285" s="2" t="s">
        <v>103</v>
      </c>
      <c r="C285" s="2" t="s">
        <v>675</v>
      </c>
      <c r="D285" s="155" t="s">
        <v>676</v>
      </c>
      <c r="E285" s="153"/>
      <c r="F285" s="2" t="s">
        <v>581</v>
      </c>
      <c r="G285" s="54">
        <v>24</v>
      </c>
      <c r="H285" s="84">
        <v>0</v>
      </c>
      <c r="I285" s="54">
        <f>G285*H285</f>
        <v>0</v>
      </c>
      <c r="J285" s="54">
        <v>2.5999999999999998E-4</v>
      </c>
      <c r="K285" s="54">
        <v>0</v>
      </c>
      <c r="L285" s="54">
        <f>G285*J285</f>
        <v>6.239999999999999E-3</v>
      </c>
      <c r="M285" s="55" t="s">
        <v>111</v>
      </c>
      <c r="Z285" s="54">
        <f>IF(AQ285="5",BJ285,0)</f>
        <v>0</v>
      </c>
      <c r="AB285" s="54">
        <f>IF(AQ285="1",BH285,0)</f>
        <v>0</v>
      </c>
      <c r="AC285" s="54">
        <f>IF(AQ285="1",BI285,0)</f>
        <v>0</v>
      </c>
      <c r="AD285" s="54">
        <f>IF(AQ285="7",BH285,0)</f>
        <v>0</v>
      </c>
      <c r="AE285" s="54">
        <f>IF(AQ285="7",BI285,0)</f>
        <v>0</v>
      </c>
      <c r="AF285" s="54">
        <f>IF(AQ285="2",BH285,0)</f>
        <v>0</v>
      </c>
      <c r="AG285" s="54">
        <f>IF(AQ285="2",BI285,0)</f>
        <v>0</v>
      </c>
      <c r="AH285" s="54">
        <f>IF(AQ285="0",BJ285,0)</f>
        <v>0</v>
      </c>
      <c r="AI285" s="34" t="s">
        <v>103</v>
      </c>
      <c r="AJ285" s="54">
        <f>IF(AN285=0,I285,0)</f>
        <v>0</v>
      </c>
      <c r="AK285" s="54">
        <f>IF(AN285=12,I285,0)</f>
        <v>0</v>
      </c>
      <c r="AL285" s="54">
        <f>IF(AN285=21,I285,0)</f>
        <v>0</v>
      </c>
      <c r="AN285" s="54">
        <v>21</v>
      </c>
      <c r="AO285" s="54">
        <f>H285*0.829600844</f>
        <v>0</v>
      </c>
      <c r="AP285" s="54">
        <f>H285*(1-0.829600844)</f>
        <v>0</v>
      </c>
      <c r="AQ285" s="56" t="s">
        <v>168</v>
      </c>
      <c r="AV285" s="54">
        <f>AW285+AX285</f>
        <v>0</v>
      </c>
      <c r="AW285" s="54">
        <f>G285*AO285</f>
        <v>0</v>
      </c>
      <c r="AX285" s="54">
        <f>G285*AP285</f>
        <v>0</v>
      </c>
      <c r="AY285" s="56" t="s">
        <v>622</v>
      </c>
      <c r="AZ285" s="56" t="s">
        <v>418</v>
      </c>
      <c r="BA285" s="34" t="s">
        <v>114</v>
      </c>
      <c r="BC285" s="54">
        <f>AW285+AX285</f>
        <v>0</v>
      </c>
      <c r="BD285" s="54">
        <f>H285/(100-BE285)*100</f>
        <v>0</v>
      </c>
      <c r="BE285" s="54">
        <v>0</v>
      </c>
      <c r="BF285" s="54">
        <f>L285</f>
        <v>6.239999999999999E-3</v>
      </c>
      <c r="BH285" s="54">
        <f>G285*AO285</f>
        <v>0</v>
      </c>
      <c r="BI285" s="54">
        <f>G285*AP285</f>
        <v>0</v>
      </c>
      <c r="BJ285" s="54">
        <f>G285*H285</f>
        <v>0</v>
      </c>
      <c r="BK285" s="54"/>
      <c r="BL285" s="54">
        <v>725</v>
      </c>
      <c r="BW285" s="54">
        <v>21</v>
      </c>
      <c r="BX285" s="3" t="s">
        <v>676</v>
      </c>
    </row>
    <row r="286" spans="1:76" ht="14.5" x14ac:dyDescent="0.35">
      <c r="A286" s="57"/>
      <c r="D286" s="58" t="s">
        <v>406</v>
      </c>
      <c r="E286" s="59" t="s">
        <v>677</v>
      </c>
      <c r="G286" s="60">
        <v>24</v>
      </c>
      <c r="M286" s="61"/>
    </row>
    <row r="287" spans="1:76" ht="14.5" x14ac:dyDescent="0.35">
      <c r="A287" s="1" t="s">
        <v>678</v>
      </c>
      <c r="B287" s="2" t="s">
        <v>103</v>
      </c>
      <c r="C287" s="2" t="s">
        <v>679</v>
      </c>
      <c r="D287" s="155" t="s">
        <v>680</v>
      </c>
      <c r="E287" s="153"/>
      <c r="F287" s="2" t="s">
        <v>581</v>
      </c>
      <c r="G287" s="54">
        <v>1</v>
      </c>
      <c r="H287" s="84">
        <v>0</v>
      </c>
      <c r="I287" s="54">
        <f>G287*H287</f>
        <v>0</v>
      </c>
      <c r="J287" s="54">
        <v>3.4700000000000002E-2</v>
      </c>
      <c r="K287" s="54">
        <v>3.4700000000000002E-2</v>
      </c>
      <c r="L287" s="54">
        <f>G287*J287</f>
        <v>3.4700000000000002E-2</v>
      </c>
      <c r="M287" s="55" t="s">
        <v>111</v>
      </c>
      <c r="Z287" s="54">
        <f>IF(AQ287="5",BJ287,0)</f>
        <v>0</v>
      </c>
      <c r="AB287" s="54">
        <f>IF(AQ287="1",BH287,0)</f>
        <v>0</v>
      </c>
      <c r="AC287" s="54">
        <f>IF(AQ287="1",BI287,0)</f>
        <v>0</v>
      </c>
      <c r="AD287" s="54">
        <f>IF(AQ287="7",BH287,0)</f>
        <v>0</v>
      </c>
      <c r="AE287" s="54">
        <f>IF(AQ287="7",BI287,0)</f>
        <v>0</v>
      </c>
      <c r="AF287" s="54">
        <f>IF(AQ287="2",BH287,0)</f>
        <v>0</v>
      </c>
      <c r="AG287" s="54">
        <f>IF(AQ287="2",BI287,0)</f>
        <v>0</v>
      </c>
      <c r="AH287" s="54">
        <f>IF(AQ287="0",BJ287,0)</f>
        <v>0</v>
      </c>
      <c r="AI287" s="34" t="s">
        <v>103</v>
      </c>
      <c r="AJ287" s="54">
        <f>IF(AN287=0,I287,0)</f>
        <v>0</v>
      </c>
      <c r="AK287" s="54">
        <f>IF(AN287=12,I287,0)</f>
        <v>0</v>
      </c>
      <c r="AL287" s="54">
        <f>IF(AN287=21,I287,0)</f>
        <v>0</v>
      </c>
      <c r="AN287" s="54">
        <v>21</v>
      </c>
      <c r="AO287" s="54">
        <f>H287*0</f>
        <v>0</v>
      </c>
      <c r="AP287" s="54">
        <f>H287*(1-0)</f>
        <v>0</v>
      </c>
      <c r="AQ287" s="56" t="s">
        <v>168</v>
      </c>
      <c r="AV287" s="54">
        <f>AW287+AX287</f>
        <v>0</v>
      </c>
      <c r="AW287" s="54">
        <f>G287*AO287</f>
        <v>0</v>
      </c>
      <c r="AX287" s="54">
        <f>G287*AP287</f>
        <v>0</v>
      </c>
      <c r="AY287" s="56" t="s">
        <v>622</v>
      </c>
      <c r="AZ287" s="56" t="s">
        <v>418</v>
      </c>
      <c r="BA287" s="34" t="s">
        <v>114</v>
      </c>
      <c r="BC287" s="54">
        <f>AW287+AX287</f>
        <v>0</v>
      </c>
      <c r="BD287" s="54">
        <f>H287/(100-BE287)*100</f>
        <v>0</v>
      </c>
      <c r="BE287" s="54">
        <v>0</v>
      </c>
      <c r="BF287" s="54">
        <f>L287</f>
        <v>3.4700000000000002E-2</v>
      </c>
      <c r="BH287" s="54">
        <f>G287*AO287</f>
        <v>0</v>
      </c>
      <c r="BI287" s="54">
        <f>G287*AP287</f>
        <v>0</v>
      </c>
      <c r="BJ287" s="54">
        <f>G287*H287</f>
        <v>0</v>
      </c>
      <c r="BK287" s="54"/>
      <c r="BL287" s="54">
        <v>725</v>
      </c>
      <c r="BW287" s="54">
        <v>21</v>
      </c>
      <c r="BX287" s="3" t="s">
        <v>680</v>
      </c>
    </row>
    <row r="288" spans="1:76" ht="14.5" x14ac:dyDescent="0.35">
      <c r="A288" s="57"/>
      <c r="D288" s="58" t="s">
        <v>629</v>
      </c>
      <c r="E288" s="59" t="s">
        <v>681</v>
      </c>
      <c r="G288" s="60">
        <v>1</v>
      </c>
      <c r="M288" s="61"/>
    </row>
    <row r="289" spans="1:76" ht="14.5" x14ac:dyDescent="0.35">
      <c r="A289" s="1" t="s">
        <v>682</v>
      </c>
      <c r="B289" s="2" t="s">
        <v>103</v>
      </c>
      <c r="C289" s="2" t="s">
        <v>683</v>
      </c>
      <c r="D289" s="155" t="s">
        <v>684</v>
      </c>
      <c r="E289" s="153"/>
      <c r="F289" s="2" t="s">
        <v>196</v>
      </c>
      <c r="G289" s="54">
        <v>1</v>
      </c>
      <c r="H289" s="84">
        <v>0</v>
      </c>
      <c r="I289" s="54">
        <f>G289*H289</f>
        <v>0</v>
      </c>
      <c r="J289" s="54">
        <v>8.0000000000000007E-5</v>
      </c>
      <c r="K289" s="54">
        <v>0</v>
      </c>
      <c r="L289" s="54">
        <f>G289*J289</f>
        <v>8.0000000000000007E-5</v>
      </c>
      <c r="M289" s="55" t="s">
        <v>111</v>
      </c>
      <c r="Z289" s="54">
        <f>IF(AQ289="5",BJ289,0)</f>
        <v>0</v>
      </c>
      <c r="AB289" s="54">
        <f>IF(AQ289="1",BH289,0)</f>
        <v>0</v>
      </c>
      <c r="AC289" s="54">
        <f>IF(AQ289="1",BI289,0)</f>
        <v>0</v>
      </c>
      <c r="AD289" s="54">
        <f>IF(AQ289="7",BH289,0)</f>
        <v>0</v>
      </c>
      <c r="AE289" s="54">
        <f>IF(AQ289="7",BI289,0)</f>
        <v>0</v>
      </c>
      <c r="AF289" s="54">
        <f>IF(AQ289="2",BH289,0)</f>
        <v>0</v>
      </c>
      <c r="AG289" s="54">
        <f>IF(AQ289="2",BI289,0)</f>
        <v>0</v>
      </c>
      <c r="AH289" s="54">
        <f>IF(AQ289="0",BJ289,0)</f>
        <v>0</v>
      </c>
      <c r="AI289" s="34" t="s">
        <v>103</v>
      </c>
      <c r="AJ289" s="54">
        <f>IF(AN289=0,I289,0)</f>
        <v>0</v>
      </c>
      <c r="AK289" s="54">
        <f>IF(AN289=12,I289,0)</f>
        <v>0</v>
      </c>
      <c r="AL289" s="54">
        <f>IF(AN289=21,I289,0)</f>
        <v>0</v>
      </c>
      <c r="AN289" s="54">
        <v>21</v>
      </c>
      <c r="AO289" s="54">
        <f>H289*0.124127849</f>
        <v>0</v>
      </c>
      <c r="AP289" s="54">
        <f>H289*(1-0.124127849)</f>
        <v>0</v>
      </c>
      <c r="AQ289" s="56" t="s">
        <v>168</v>
      </c>
      <c r="AV289" s="54">
        <f>AW289+AX289</f>
        <v>0</v>
      </c>
      <c r="AW289" s="54">
        <f>G289*AO289</f>
        <v>0</v>
      </c>
      <c r="AX289" s="54">
        <f>G289*AP289</f>
        <v>0</v>
      </c>
      <c r="AY289" s="56" t="s">
        <v>622</v>
      </c>
      <c r="AZ289" s="56" t="s">
        <v>418</v>
      </c>
      <c r="BA289" s="34" t="s">
        <v>114</v>
      </c>
      <c r="BC289" s="54">
        <f>AW289+AX289</f>
        <v>0</v>
      </c>
      <c r="BD289" s="54">
        <f>H289/(100-BE289)*100</f>
        <v>0</v>
      </c>
      <c r="BE289" s="54">
        <v>0</v>
      </c>
      <c r="BF289" s="54">
        <f>L289</f>
        <v>8.0000000000000007E-5</v>
      </c>
      <c r="BH289" s="54">
        <f>G289*AO289</f>
        <v>0</v>
      </c>
      <c r="BI289" s="54">
        <f>G289*AP289</f>
        <v>0</v>
      </c>
      <c r="BJ289" s="54">
        <f>G289*H289</f>
        <v>0</v>
      </c>
      <c r="BK289" s="54"/>
      <c r="BL289" s="54">
        <v>725</v>
      </c>
      <c r="BW289" s="54">
        <v>21</v>
      </c>
      <c r="BX289" s="3" t="s">
        <v>684</v>
      </c>
    </row>
    <row r="290" spans="1:76" ht="14.5" x14ac:dyDescent="0.35">
      <c r="A290" s="57"/>
      <c r="D290" s="58" t="s">
        <v>629</v>
      </c>
      <c r="E290" s="59" t="s">
        <v>685</v>
      </c>
      <c r="G290" s="60">
        <v>1</v>
      </c>
      <c r="M290" s="61"/>
    </row>
    <row r="291" spans="1:76" ht="14.5" x14ac:dyDescent="0.35">
      <c r="A291" s="1" t="s">
        <v>686</v>
      </c>
      <c r="B291" s="2" t="s">
        <v>103</v>
      </c>
      <c r="C291" s="2" t="s">
        <v>687</v>
      </c>
      <c r="D291" s="155" t="s">
        <v>688</v>
      </c>
      <c r="E291" s="153"/>
      <c r="F291" s="2" t="s">
        <v>581</v>
      </c>
      <c r="G291" s="54">
        <v>1</v>
      </c>
      <c r="H291" s="84">
        <v>0</v>
      </c>
      <c r="I291" s="54">
        <f>G291*H291</f>
        <v>0</v>
      </c>
      <c r="J291" s="54">
        <v>1.56E-3</v>
      </c>
      <c r="K291" s="54">
        <v>1.56E-3</v>
      </c>
      <c r="L291" s="54">
        <f>G291*J291</f>
        <v>1.56E-3</v>
      </c>
      <c r="M291" s="55" t="s">
        <v>111</v>
      </c>
      <c r="Z291" s="54">
        <f>IF(AQ291="5",BJ291,0)</f>
        <v>0</v>
      </c>
      <c r="AB291" s="54">
        <f>IF(AQ291="1",BH291,0)</f>
        <v>0</v>
      </c>
      <c r="AC291" s="54">
        <f>IF(AQ291="1",BI291,0)</f>
        <v>0</v>
      </c>
      <c r="AD291" s="54">
        <f>IF(AQ291="7",BH291,0)</f>
        <v>0</v>
      </c>
      <c r="AE291" s="54">
        <f>IF(AQ291="7",BI291,0)</f>
        <v>0</v>
      </c>
      <c r="AF291" s="54">
        <f>IF(AQ291="2",BH291,0)</f>
        <v>0</v>
      </c>
      <c r="AG291" s="54">
        <f>IF(AQ291="2",BI291,0)</f>
        <v>0</v>
      </c>
      <c r="AH291" s="54">
        <f>IF(AQ291="0",BJ291,0)</f>
        <v>0</v>
      </c>
      <c r="AI291" s="34" t="s">
        <v>103</v>
      </c>
      <c r="AJ291" s="54">
        <f>IF(AN291=0,I291,0)</f>
        <v>0</v>
      </c>
      <c r="AK291" s="54">
        <f>IF(AN291=12,I291,0)</f>
        <v>0</v>
      </c>
      <c r="AL291" s="54">
        <f>IF(AN291=21,I291,0)</f>
        <v>0</v>
      </c>
      <c r="AN291" s="54">
        <v>21</v>
      </c>
      <c r="AO291" s="54">
        <f>H291*0</f>
        <v>0</v>
      </c>
      <c r="AP291" s="54">
        <f>H291*(1-0)</f>
        <v>0</v>
      </c>
      <c r="AQ291" s="56" t="s">
        <v>168</v>
      </c>
      <c r="AV291" s="54">
        <f>AW291+AX291</f>
        <v>0</v>
      </c>
      <c r="AW291" s="54">
        <f>G291*AO291</f>
        <v>0</v>
      </c>
      <c r="AX291" s="54">
        <f>G291*AP291</f>
        <v>0</v>
      </c>
      <c r="AY291" s="56" t="s">
        <v>622</v>
      </c>
      <c r="AZ291" s="56" t="s">
        <v>418</v>
      </c>
      <c r="BA291" s="34" t="s">
        <v>114</v>
      </c>
      <c r="BC291" s="54">
        <f>AW291+AX291</f>
        <v>0</v>
      </c>
      <c r="BD291" s="54">
        <f>H291/(100-BE291)*100</f>
        <v>0</v>
      </c>
      <c r="BE291" s="54">
        <v>0</v>
      </c>
      <c r="BF291" s="54">
        <f>L291</f>
        <v>1.56E-3</v>
      </c>
      <c r="BH291" s="54">
        <f>G291*AO291</f>
        <v>0</v>
      </c>
      <c r="BI291" s="54">
        <f>G291*AP291</f>
        <v>0</v>
      </c>
      <c r="BJ291" s="54">
        <f>G291*H291</f>
        <v>0</v>
      </c>
      <c r="BK291" s="54"/>
      <c r="BL291" s="54">
        <v>725</v>
      </c>
      <c r="BW291" s="54">
        <v>21</v>
      </c>
      <c r="BX291" s="3" t="s">
        <v>688</v>
      </c>
    </row>
    <row r="292" spans="1:76" ht="14.5" x14ac:dyDescent="0.35">
      <c r="A292" s="57"/>
      <c r="D292" s="58" t="s">
        <v>629</v>
      </c>
      <c r="E292" s="59" t="s">
        <v>685</v>
      </c>
      <c r="G292" s="60">
        <v>1</v>
      </c>
      <c r="M292" s="61"/>
    </row>
    <row r="293" spans="1:76" ht="14.5" x14ac:dyDescent="0.35">
      <c r="A293" s="1" t="s">
        <v>689</v>
      </c>
      <c r="B293" s="2" t="s">
        <v>103</v>
      </c>
      <c r="C293" s="2" t="s">
        <v>690</v>
      </c>
      <c r="D293" s="155" t="s">
        <v>691</v>
      </c>
      <c r="E293" s="153"/>
      <c r="F293" s="2" t="s">
        <v>110</v>
      </c>
      <c r="G293" s="54">
        <v>0</v>
      </c>
      <c r="H293" s="84">
        <v>0</v>
      </c>
      <c r="I293" s="54">
        <f>G293*H293</f>
        <v>0</v>
      </c>
      <c r="J293" s="54">
        <v>8.0000000000000007E-5</v>
      </c>
      <c r="K293" s="54">
        <v>0</v>
      </c>
      <c r="L293" s="54">
        <f>G293*J293</f>
        <v>0</v>
      </c>
      <c r="M293" s="55" t="s">
        <v>111</v>
      </c>
      <c r="Z293" s="54">
        <f>IF(AQ293="5",BJ293,0)</f>
        <v>0</v>
      </c>
      <c r="AB293" s="54">
        <f>IF(AQ293="1",BH293,0)</f>
        <v>0</v>
      </c>
      <c r="AC293" s="54">
        <f>IF(AQ293="1",BI293,0)</f>
        <v>0</v>
      </c>
      <c r="AD293" s="54">
        <f>IF(AQ293="7",BH293,0)</f>
        <v>0</v>
      </c>
      <c r="AE293" s="54">
        <f>IF(AQ293="7",BI293,0)</f>
        <v>0</v>
      </c>
      <c r="AF293" s="54">
        <f>IF(AQ293="2",BH293,0)</f>
        <v>0</v>
      </c>
      <c r="AG293" s="54">
        <f>IF(AQ293="2",BI293,0)</f>
        <v>0</v>
      </c>
      <c r="AH293" s="54">
        <f>IF(AQ293="0",BJ293,0)</f>
        <v>0</v>
      </c>
      <c r="AI293" s="34" t="s">
        <v>103</v>
      </c>
      <c r="AJ293" s="54">
        <f>IF(AN293=0,I293,0)</f>
        <v>0</v>
      </c>
      <c r="AK293" s="54">
        <f>IF(AN293=12,I293,0)</f>
        <v>0</v>
      </c>
      <c r="AL293" s="54">
        <f>IF(AN293=21,I293,0)</f>
        <v>0</v>
      </c>
      <c r="AN293" s="54">
        <v>21</v>
      </c>
      <c r="AO293" s="54">
        <f>H293*0</f>
        <v>0</v>
      </c>
      <c r="AP293" s="54">
        <f>H293*(1-0)</f>
        <v>0</v>
      </c>
      <c r="AQ293" s="56" t="s">
        <v>168</v>
      </c>
      <c r="AV293" s="54">
        <f>AW293+AX293</f>
        <v>0</v>
      </c>
      <c r="AW293" s="54">
        <f>G293*AO293</f>
        <v>0</v>
      </c>
      <c r="AX293" s="54">
        <f>G293*AP293</f>
        <v>0</v>
      </c>
      <c r="AY293" s="56" t="s">
        <v>622</v>
      </c>
      <c r="AZ293" s="56" t="s">
        <v>418</v>
      </c>
      <c r="BA293" s="34" t="s">
        <v>114</v>
      </c>
      <c r="BC293" s="54">
        <f>AW293+AX293</f>
        <v>0</v>
      </c>
      <c r="BD293" s="54">
        <f>H293/(100-BE293)*100</f>
        <v>0</v>
      </c>
      <c r="BE293" s="54">
        <v>0</v>
      </c>
      <c r="BF293" s="54">
        <f>L293</f>
        <v>0</v>
      </c>
      <c r="BH293" s="54">
        <f>G293*AO293</f>
        <v>0</v>
      </c>
      <c r="BI293" s="54">
        <f>G293*AP293</f>
        <v>0</v>
      </c>
      <c r="BJ293" s="54">
        <f>G293*H293</f>
        <v>0</v>
      </c>
      <c r="BK293" s="54"/>
      <c r="BL293" s="54">
        <v>725</v>
      </c>
      <c r="BW293" s="54">
        <v>21</v>
      </c>
      <c r="BX293" s="3" t="s">
        <v>691</v>
      </c>
    </row>
    <row r="294" spans="1:76" ht="14.5" x14ac:dyDescent="0.35">
      <c r="A294" s="64" t="s">
        <v>693</v>
      </c>
      <c r="B294" s="65" t="s">
        <v>103</v>
      </c>
      <c r="C294" s="65" t="s">
        <v>694</v>
      </c>
      <c r="D294" s="217" t="s">
        <v>695</v>
      </c>
      <c r="E294" s="218"/>
      <c r="F294" s="65" t="s">
        <v>196</v>
      </c>
      <c r="G294" s="67">
        <v>24</v>
      </c>
      <c r="H294" s="85">
        <v>0</v>
      </c>
      <c r="I294" s="67">
        <f>G294*H294</f>
        <v>0</v>
      </c>
      <c r="J294" s="67">
        <v>6.0000000000000001E-3</v>
      </c>
      <c r="K294" s="67">
        <v>0</v>
      </c>
      <c r="L294" s="67">
        <f>G294*J294</f>
        <v>0.14400000000000002</v>
      </c>
      <c r="M294" s="68" t="s">
        <v>111</v>
      </c>
      <c r="Z294" s="54">
        <f>IF(AQ294="5",BJ294,0)</f>
        <v>0</v>
      </c>
      <c r="AB294" s="54">
        <f>IF(AQ294="1",BH294,0)</f>
        <v>0</v>
      </c>
      <c r="AC294" s="54">
        <f>IF(AQ294="1",BI294,0)</f>
        <v>0</v>
      </c>
      <c r="AD294" s="54">
        <f>IF(AQ294="7",BH294,0)</f>
        <v>0</v>
      </c>
      <c r="AE294" s="54">
        <f>IF(AQ294="7",BI294,0)</f>
        <v>0</v>
      </c>
      <c r="AF294" s="54">
        <f>IF(AQ294="2",BH294,0)</f>
        <v>0</v>
      </c>
      <c r="AG294" s="54">
        <f>IF(AQ294="2",BI294,0)</f>
        <v>0</v>
      </c>
      <c r="AH294" s="54">
        <f>IF(AQ294="0",BJ294,0)</f>
        <v>0</v>
      </c>
      <c r="AI294" s="34" t="s">
        <v>103</v>
      </c>
      <c r="AJ294" s="67">
        <f>IF(AN294=0,I294,0)</f>
        <v>0</v>
      </c>
      <c r="AK294" s="67">
        <f>IF(AN294=12,I294,0)</f>
        <v>0</v>
      </c>
      <c r="AL294" s="67">
        <f>IF(AN294=21,I294,0)</f>
        <v>0</v>
      </c>
      <c r="AN294" s="54">
        <v>21</v>
      </c>
      <c r="AO294" s="54">
        <f>H294*1</f>
        <v>0</v>
      </c>
      <c r="AP294" s="54">
        <f>H294*(1-1)</f>
        <v>0</v>
      </c>
      <c r="AQ294" s="69" t="s">
        <v>168</v>
      </c>
      <c r="AV294" s="54">
        <f>AW294+AX294</f>
        <v>0</v>
      </c>
      <c r="AW294" s="54">
        <f>G294*AO294</f>
        <v>0</v>
      </c>
      <c r="AX294" s="54">
        <f>G294*AP294</f>
        <v>0</v>
      </c>
      <c r="AY294" s="56" t="s">
        <v>622</v>
      </c>
      <c r="AZ294" s="56" t="s">
        <v>418</v>
      </c>
      <c r="BA294" s="34" t="s">
        <v>114</v>
      </c>
      <c r="BC294" s="54">
        <f>AW294+AX294</f>
        <v>0</v>
      </c>
      <c r="BD294" s="54">
        <f>H294/(100-BE294)*100</f>
        <v>0</v>
      </c>
      <c r="BE294" s="54">
        <v>0</v>
      </c>
      <c r="BF294" s="54">
        <f>L294</f>
        <v>0.14400000000000002</v>
      </c>
      <c r="BH294" s="67">
        <f>G294*AO294</f>
        <v>0</v>
      </c>
      <c r="BI294" s="67">
        <f>G294*AP294</f>
        <v>0</v>
      </c>
      <c r="BJ294" s="67">
        <f>G294*H294</f>
        <v>0</v>
      </c>
      <c r="BK294" s="67"/>
      <c r="BL294" s="54">
        <v>725</v>
      </c>
      <c r="BW294" s="54">
        <v>21</v>
      </c>
      <c r="BX294" s="66" t="s">
        <v>695</v>
      </c>
    </row>
    <row r="295" spans="1:76" ht="14.5" x14ac:dyDescent="0.35">
      <c r="A295" s="57"/>
      <c r="D295" s="58" t="s">
        <v>406</v>
      </c>
      <c r="E295" s="59" t="s">
        <v>697</v>
      </c>
      <c r="G295" s="60">
        <v>24</v>
      </c>
      <c r="M295" s="61"/>
    </row>
    <row r="296" spans="1:76" ht="14.5" x14ac:dyDescent="0.35">
      <c r="A296" s="1" t="s">
        <v>698</v>
      </c>
      <c r="B296" s="2" t="s">
        <v>103</v>
      </c>
      <c r="C296" s="2" t="s">
        <v>699</v>
      </c>
      <c r="D296" s="155" t="s">
        <v>700</v>
      </c>
      <c r="E296" s="153"/>
      <c r="F296" s="2" t="s">
        <v>412</v>
      </c>
      <c r="G296" s="54">
        <v>13.708</v>
      </c>
      <c r="H296" s="84">
        <v>0</v>
      </c>
      <c r="I296" s="54">
        <f>G296*H296</f>
        <v>0</v>
      </c>
      <c r="J296" s="54">
        <v>0</v>
      </c>
      <c r="K296" s="54">
        <v>0</v>
      </c>
      <c r="L296" s="54">
        <f>G296*J296</f>
        <v>0</v>
      </c>
      <c r="M296" s="55" t="s">
        <v>111</v>
      </c>
      <c r="Z296" s="54">
        <f>IF(AQ296="5",BJ296,0)</f>
        <v>0</v>
      </c>
      <c r="AB296" s="54">
        <f>IF(AQ296="1",BH296,0)</f>
        <v>0</v>
      </c>
      <c r="AC296" s="54">
        <f>IF(AQ296="1",BI296,0)</f>
        <v>0</v>
      </c>
      <c r="AD296" s="54">
        <f>IF(AQ296="7",BH296,0)</f>
        <v>0</v>
      </c>
      <c r="AE296" s="54">
        <f>IF(AQ296="7",BI296,0)</f>
        <v>0</v>
      </c>
      <c r="AF296" s="54">
        <f>IF(AQ296="2",BH296,0)</f>
        <v>0</v>
      </c>
      <c r="AG296" s="54">
        <f>IF(AQ296="2",BI296,0)</f>
        <v>0</v>
      </c>
      <c r="AH296" s="54">
        <f>IF(AQ296="0",BJ296,0)</f>
        <v>0</v>
      </c>
      <c r="AI296" s="34" t="s">
        <v>103</v>
      </c>
      <c r="AJ296" s="54">
        <f>IF(AN296=0,I296,0)</f>
        <v>0</v>
      </c>
      <c r="AK296" s="54">
        <f>IF(AN296=12,I296,0)</f>
        <v>0</v>
      </c>
      <c r="AL296" s="54">
        <f>IF(AN296=21,I296,0)</f>
        <v>0</v>
      </c>
      <c r="AN296" s="54">
        <v>21</v>
      </c>
      <c r="AO296" s="54">
        <f>H296*0</f>
        <v>0</v>
      </c>
      <c r="AP296" s="54">
        <f>H296*(1-0)</f>
        <v>0</v>
      </c>
      <c r="AQ296" s="56" t="s">
        <v>150</v>
      </c>
      <c r="AV296" s="54">
        <f>AW296+AX296</f>
        <v>0</v>
      </c>
      <c r="AW296" s="54">
        <f>G296*AO296</f>
        <v>0</v>
      </c>
      <c r="AX296" s="54">
        <f>G296*AP296</f>
        <v>0</v>
      </c>
      <c r="AY296" s="56" t="s">
        <v>622</v>
      </c>
      <c r="AZ296" s="56" t="s">
        <v>418</v>
      </c>
      <c r="BA296" s="34" t="s">
        <v>114</v>
      </c>
      <c r="BC296" s="54">
        <f>AW296+AX296</f>
        <v>0</v>
      </c>
      <c r="BD296" s="54">
        <f>H296/(100-BE296)*100</f>
        <v>0</v>
      </c>
      <c r="BE296" s="54">
        <v>0</v>
      </c>
      <c r="BF296" s="54">
        <f>L296</f>
        <v>0</v>
      </c>
      <c r="BH296" s="54">
        <f>G296*AO296</f>
        <v>0</v>
      </c>
      <c r="BI296" s="54">
        <f>G296*AP296</f>
        <v>0</v>
      </c>
      <c r="BJ296" s="54">
        <f>G296*H296</f>
        <v>0</v>
      </c>
      <c r="BK296" s="54"/>
      <c r="BL296" s="54">
        <v>725</v>
      </c>
      <c r="BW296" s="54">
        <v>21</v>
      </c>
      <c r="BX296" s="3" t="s">
        <v>700</v>
      </c>
    </row>
    <row r="297" spans="1:76" ht="14.5" x14ac:dyDescent="0.35">
      <c r="A297" s="50" t="s">
        <v>10</v>
      </c>
      <c r="B297" s="51" t="s">
        <v>103</v>
      </c>
      <c r="C297" s="51" t="s">
        <v>701</v>
      </c>
      <c r="D297" s="206" t="s">
        <v>702</v>
      </c>
      <c r="E297" s="207"/>
      <c r="F297" s="52" t="s">
        <v>84</v>
      </c>
      <c r="G297" s="52" t="s">
        <v>84</v>
      </c>
      <c r="H297" s="83" t="s">
        <v>84</v>
      </c>
      <c r="I297" s="27">
        <f>SUM(I298:I302)</f>
        <v>0</v>
      </c>
      <c r="J297" s="34" t="s">
        <v>10</v>
      </c>
      <c r="K297" s="34" t="s">
        <v>10</v>
      </c>
      <c r="L297" s="27">
        <f>SUM(L298:L302)</f>
        <v>0.22487999999999997</v>
      </c>
      <c r="M297" s="53" t="s">
        <v>10</v>
      </c>
      <c r="AI297" s="34" t="s">
        <v>103</v>
      </c>
      <c r="AS297" s="27">
        <f>SUM(AJ298:AJ302)</f>
        <v>0</v>
      </c>
      <c r="AT297" s="27">
        <f>SUM(AK298:AK302)</f>
        <v>0</v>
      </c>
      <c r="AU297" s="27">
        <f>SUM(AL298:AL302)</f>
        <v>0</v>
      </c>
    </row>
    <row r="298" spans="1:76" ht="14.5" x14ac:dyDescent="0.35">
      <c r="A298" s="1" t="s">
        <v>703</v>
      </c>
      <c r="B298" s="2" t="s">
        <v>103</v>
      </c>
      <c r="C298" s="2" t="s">
        <v>704</v>
      </c>
      <c r="D298" s="155" t="s">
        <v>705</v>
      </c>
      <c r="E298" s="153"/>
      <c r="F298" s="2" t="s">
        <v>581</v>
      </c>
      <c r="G298" s="54">
        <v>24</v>
      </c>
      <c r="H298" s="84">
        <v>0</v>
      </c>
      <c r="I298" s="54">
        <f>G298*H298</f>
        <v>0</v>
      </c>
      <c r="J298" s="54">
        <v>8.9999999999999993E-3</v>
      </c>
      <c r="K298" s="54">
        <v>0</v>
      </c>
      <c r="L298" s="54">
        <f>G298*J298</f>
        <v>0.21599999999999997</v>
      </c>
      <c r="M298" s="55" t="s">
        <v>111</v>
      </c>
      <c r="Z298" s="54">
        <f>IF(AQ298="5",BJ298,0)</f>
        <v>0</v>
      </c>
      <c r="AB298" s="54">
        <f>IF(AQ298="1",BH298,0)</f>
        <v>0</v>
      </c>
      <c r="AC298" s="54">
        <f>IF(AQ298="1",BI298,0)</f>
        <v>0</v>
      </c>
      <c r="AD298" s="54">
        <f>IF(AQ298="7",BH298,0)</f>
        <v>0</v>
      </c>
      <c r="AE298" s="54">
        <f>IF(AQ298="7",BI298,0)</f>
        <v>0</v>
      </c>
      <c r="AF298" s="54">
        <f>IF(AQ298="2",BH298,0)</f>
        <v>0</v>
      </c>
      <c r="AG298" s="54">
        <f>IF(AQ298="2",BI298,0)</f>
        <v>0</v>
      </c>
      <c r="AH298" s="54">
        <f>IF(AQ298="0",BJ298,0)</f>
        <v>0</v>
      </c>
      <c r="AI298" s="34" t="s">
        <v>103</v>
      </c>
      <c r="AJ298" s="54">
        <f>IF(AN298=0,I298,0)</f>
        <v>0</v>
      </c>
      <c r="AK298" s="54">
        <f>IF(AN298=12,I298,0)</f>
        <v>0</v>
      </c>
      <c r="AL298" s="54">
        <f>IF(AN298=21,I298,0)</f>
        <v>0</v>
      </c>
      <c r="AN298" s="54">
        <v>21</v>
      </c>
      <c r="AO298" s="54">
        <f>H298*0.869689481</f>
        <v>0</v>
      </c>
      <c r="AP298" s="54">
        <f>H298*(1-0.869689481)</f>
        <v>0</v>
      </c>
      <c r="AQ298" s="56" t="s">
        <v>168</v>
      </c>
      <c r="AV298" s="54">
        <f>AW298+AX298</f>
        <v>0</v>
      </c>
      <c r="AW298" s="54">
        <f>G298*AO298</f>
        <v>0</v>
      </c>
      <c r="AX298" s="54">
        <f>G298*AP298</f>
        <v>0</v>
      </c>
      <c r="AY298" s="56" t="s">
        <v>706</v>
      </c>
      <c r="AZ298" s="56" t="s">
        <v>418</v>
      </c>
      <c r="BA298" s="34" t="s">
        <v>114</v>
      </c>
      <c r="BC298" s="54">
        <f>AW298+AX298</f>
        <v>0</v>
      </c>
      <c r="BD298" s="54">
        <f>H298/(100-BE298)*100</f>
        <v>0</v>
      </c>
      <c r="BE298" s="54">
        <v>0</v>
      </c>
      <c r="BF298" s="54">
        <f>L298</f>
        <v>0.21599999999999997</v>
      </c>
      <c r="BH298" s="54">
        <f>G298*AO298</f>
        <v>0</v>
      </c>
      <c r="BI298" s="54">
        <f>G298*AP298</f>
        <v>0</v>
      </c>
      <c r="BJ298" s="54">
        <f>G298*H298</f>
        <v>0</v>
      </c>
      <c r="BK298" s="54"/>
      <c r="BL298" s="54">
        <v>726</v>
      </c>
      <c r="BW298" s="54">
        <v>21</v>
      </c>
      <c r="BX298" s="3" t="s">
        <v>705</v>
      </c>
    </row>
    <row r="299" spans="1:76" ht="14.5" x14ac:dyDescent="0.35">
      <c r="A299" s="57"/>
      <c r="D299" s="58" t="s">
        <v>406</v>
      </c>
      <c r="E299" s="59" t="s">
        <v>707</v>
      </c>
      <c r="G299" s="60">
        <v>24</v>
      </c>
      <c r="M299" s="61"/>
    </row>
    <row r="300" spans="1:76" ht="14.5" x14ac:dyDescent="0.35">
      <c r="A300" s="64" t="s">
        <v>709</v>
      </c>
      <c r="B300" s="65" t="s">
        <v>103</v>
      </c>
      <c r="C300" s="65" t="s">
        <v>710</v>
      </c>
      <c r="D300" s="217" t="s">
        <v>711</v>
      </c>
      <c r="E300" s="218"/>
      <c r="F300" s="65" t="s">
        <v>196</v>
      </c>
      <c r="G300" s="67">
        <v>24</v>
      </c>
      <c r="H300" s="85">
        <v>0</v>
      </c>
      <c r="I300" s="67">
        <f>G300*H300</f>
        <v>0</v>
      </c>
      <c r="J300" s="67">
        <v>3.6999999999999999E-4</v>
      </c>
      <c r="K300" s="67">
        <v>0</v>
      </c>
      <c r="L300" s="67">
        <f>G300*J300</f>
        <v>8.879999999999999E-3</v>
      </c>
      <c r="M300" s="68" t="s">
        <v>111</v>
      </c>
      <c r="Z300" s="54">
        <f>IF(AQ300="5",BJ300,0)</f>
        <v>0</v>
      </c>
      <c r="AB300" s="54">
        <f>IF(AQ300="1",BH300,0)</f>
        <v>0</v>
      </c>
      <c r="AC300" s="54">
        <f>IF(AQ300="1",BI300,0)</f>
        <v>0</v>
      </c>
      <c r="AD300" s="54">
        <f>IF(AQ300="7",BH300,0)</f>
        <v>0</v>
      </c>
      <c r="AE300" s="54">
        <f>IF(AQ300="7",BI300,0)</f>
        <v>0</v>
      </c>
      <c r="AF300" s="54">
        <f>IF(AQ300="2",BH300,0)</f>
        <v>0</v>
      </c>
      <c r="AG300" s="54">
        <f>IF(AQ300="2",BI300,0)</f>
        <v>0</v>
      </c>
      <c r="AH300" s="54">
        <f>IF(AQ300="0",BJ300,0)</f>
        <v>0</v>
      </c>
      <c r="AI300" s="34" t="s">
        <v>103</v>
      </c>
      <c r="AJ300" s="67">
        <f>IF(AN300=0,I300,0)</f>
        <v>0</v>
      </c>
      <c r="AK300" s="67">
        <f>IF(AN300=12,I300,0)</f>
        <v>0</v>
      </c>
      <c r="AL300" s="67">
        <f>IF(AN300=21,I300,0)</f>
        <v>0</v>
      </c>
      <c r="AN300" s="54">
        <v>21</v>
      </c>
      <c r="AO300" s="54">
        <f>H300*1</f>
        <v>0</v>
      </c>
      <c r="AP300" s="54">
        <f>H300*(1-1)</f>
        <v>0</v>
      </c>
      <c r="AQ300" s="69" t="s">
        <v>168</v>
      </c>
      <c r="AV300" s="54">
        <f>AW300+AX300</f>
        <v>0</v>
      </c>
      <c r="AW300" s="54">
        <f>G300*AO300</f>
        <v>0</v>
      </c>
      <c r="AX300" s="54">
        <f>G300*AP300</f>
        <v>0</v>
      </c>
      <c r="AY300" s="56" t="s">
        <v>706</v>
      </c>
      <c r="AZ300" s="56" t="s">
        <v>418</v>
      </c>
      <c r="BA300" s="34" t="s">
        <v>114</v>
      </c>
      <c r="BC300" s="54">
        <f>AW300+AX300</f>
        <v>0</v>
      </c>
      <c r="BD300" s="54">
        <f>H300/(100-BE300)*100</f>
        <v>0</v>
      </c>
      <c r="BE300" s="54">
        <v>0</v>
      </c>
      <c r="BF300" s="54">
        <f>L300</f>
        <v>8.879999999999999E-3</v>
      </c>
      <c r="BH300" s="67">
        <f>G300*AO300</f>
        <v>0</v>
      </c>
      <c r="BI300" s="67">
        <f>G300*AP300</f>
        <v>0</v>
      </c>
      <c r="BJ300" s="67">
        <f>G300*H300</f>
        <v>0</v>
      </c>
      <c r="BK300" s="67"/>
      <c r="BL300" s="54">
        <v>726</v>
      </c>
      <c r="BW300" s="54">
        <v>21</v>
      </c>
      <c r="BX300" s="66" t="s">
        <v>711</v>
      </c>
    </row>
    <row r="301" spans="1:76" ht="14.5" x14ac:dyDescent="0.35">
      <c r="A301" s="57"/>
      <c r="D301" s="58" t="s">
        <v>406</v>
      </c>
      <c r="E301" s="59" t="s">
        <v>712</v>
      </c>
      <c r="G301" s="60">
        <v>24</v>
      </c>
      <c r="M301" s="61"/>
    </row>
    <row r="302" spans="1:76" ht="14.5" x14ac:dyDescent="0.35">
      <c r="A302" s="1" t="s">
        <v>714</v>
      </c>
      <c r="B302" s="2" t="s">
        <v>103</v>
      </c>
      <c r="C302" s="2" t="s">
        <v>715</v>
      </c>
      <c r="D302" s="155" t="s">
        <v>716</v>
      </c>
      <c r="E302" s="153"/>
      <c r="F302" s="2" t="s">
        <v>412</v>
      </c>
      <c r="G302" s="54">
        <v>0.22500000000000001</v>
      </c>
      <c r="H302" s="84">
        <v>0</v>
      </c>
      <c r="I302" s="54">
        <f>G302*H302</f>
        <v>0</v>
      </c>
      <c r="J302" s="54">
        <v>0</v>
      </c>
      <c r="K302" s="54">
        <v>0</v>
      </c>
      <c r="L302" s="54">
        <f>G302*J302</f>
        <v>0</v>
      </c>
      <c r="M302" s="55" t="s">
        <v>111</v>
      </c>
      <c r="Z302" s="54">
        <f>IF(AQ302="5",BJ302,0)</f>
        <v>0</v>
      </c>
      <c r="AB302" s="54">
        <f>IF(AQ302="1",BH302,0)</f>
        <v>0</v>
      </c>
      <c r="AC302" s="54">
        <f>IF(AQ302="1",BI302,0)</f>
        <v>0</v>
      </c>
      <c r="AD302" s="54">
        <f>IF(AQ302="7",BH302,0)</f>
        <v>0</v>
      </c>
      <c r="AE302" s="54">
        <f>IF(AQ302="7",BI302,0)</f>
        <v>0</v>
      </c>
      <c r="AF302" s="54">
        <f>IF(AQ302="2",BH302,0)</f>
        <v>0</v>
      </c>
      <c r="AG302" s="54">
        <f>IF(AQ302="2",BI302,0)</f>
        <v>0</v>
      </c>
      <c r="AH302" s="54">
        <f>IF(AQ302="0",BJ302,0)</f>
        <v>0</v>
      </c>
      <c r="AI302" s="34" t="s">
        <v>103</v>
      </c>
      <c r="AJ302" s="54">
        <f>IF(AN302=0,I302,0)</f>
        <v>0</v>
      </c>
      <c r="AK302" s="54">
        <f>IF(AN302=12,I302,0)</f>
        <v>0</v>
      </c>
      <c r="AL302" s="54">
        <f>IF(AN302=21,I302,0)</f>
        <v>0</v>
      </c>
      <c r="AN302" s="54">
        <v>21</v>
      </c>
      <c r="AO302" s="54">
        <f>H302*0</f>
        <v>0</v>
      </c>
      <c r="AP302" s="54">
        <f>H302*(1-0)</f>
        <v>0</v>
      </c>
      <c r="AQ302" s="56" t="s">
        <v>150</v>
      </c>
      <c r="AV302" s="54">
        <f>AW302+AX302</f>
        <v>0</v>
      </c>
      <c r="AW302" s="54">
        <f>G302*AO302</f>
        <v>0</v>
      </c>
      <c r="AX302" s="54">
        <f>G302*AP302</f>
        <v>0</v>
      </c>
      <c r="AY302" s="56" t="s">
        <v>706</v>
      </c>
      <c r="AZ302" s="56" t="s">
        <v>418</v>
      </c>
      <c r="BA302" s="34" t="s">
        <v>114</v>
      </c>
      <c r="BC302" s="54">
        <f>AW302+AX302</f>
        <v>0</v>
      </c>
      <c r="BD302" s="54">
        <f>H302/(100-BE302)*100</f>
        <v>0</v>
      </c>
      <c r="BE302" s="54">
        <v>0</v>
      </c>
      <c r="BF302" s="54">
        <f>L302</f>
        <v>0</v>
      </c>
      <c r="BH302" s="54">
        <f>G302*AO302</f>
        <v>0</v>
      </c>
      <c r="BI302" s="54">
        <f>G302*AP302</f>
        <v>0</v>
      </c>
      <c r="BJ302" s="54">
        <f>G302*H302</f>
        <v>0</v>
      </c>
      <c r="BK302" s="54"/>
      <c r="BL302" s="54">
        <v>726</v>
      </c>
      <c r="BW302" s="54">
        <v>21</v>
      </c>
      <c r="BX302" s="3" t="s">
        <v>716</v>
      </c>
    </row>
    <row r="303" spans="1:76" ht="14.5" x14ac:dyDescent="0.35">
      <c r="A303" s="50" t="s">
        <v>10</v>
      </c>
      <c r="B303" s="51" t="s">
        <v>103</v>
      </c>
      <c r="C303" s="51" t="s">
        <v>717</v>
      </c>
      <c r="D303" s="206" t="s">
        <v>718</v>
      </c>
      <c r="E303" s="207"/>
      <c r="F303" s="52" t="s">
        <v>84</v>
      </c>
      <c r="G303" s="52" t="s">
        <v>84</v>
      </c>
      <c r="H303" s="83" t="s">
        <v>84</v>
      </c>
      <c r="I303" s="27">
        <f>SUM(I304:I324)</f>
        <v>0</v>
      </c>
      <c r="J303" s="34" t="s">
        <v>10</v>
      </c>
      <c r="K303" s="34" t="s">
        <v>10</v>
      </c>
      <c r="L303" s="27">
        <f>SUM(L304:L324)</f>
        <v>0.17555999999999999</v>
      </c>
      <c r="M303" s="53" t="s">
        <v>10</v>
      </c>
      <c r="AI303" s="34" t="s">
        <v>103</v>
      </c>
      <c r="AS303" s="27">
        <f>SUM(AJ304:AJ324)</f>
        <v>0</v>
      </c>
      <c r="AT303" s="27">
        <f>SUM(AK304:AK324)</f>
        <v>0</v>
      </c>
      <c r="AU303" s="27">
        <f>SUM(AL304:AL324)</f>
        <v>0</v>
      </c>
    </row>
    <row r="304" spans="1:76" ht="14.5" x14ac:dyDescent="0.35">
      <c r="A304" s="1" t="s">
        <v>719</v>
      </c>
      <c r="B304" s="2" t="s">
        <v>103</v>
      </c>
      <c r="C304" s="2" t="s">
        <v>720</v>
      </c>
      <c r="D304" s="155" t="s">
        <v>721</v>
      </c>
      <c r="E304" s="153"/>
      <c r="F304" s="2" t="s">
        <v>153</v>
      </c>
      <c r="G304" s="54">
        <v>8.4</v>
      </c>
      <c r="H304" s="84">
        <v>0</v>
      </c>
      <c r="I304" s="54">
        <f>G304*H304</f>
        <v>0</v>
      </c>
      <c r="J304" s="54">
        <v>5.8999999999999999E-3</v>
      </c>
      <c r="K304" s="54">
        <v>5.8999999999999999E-3</v>
      </c>
      <c r="L304" s="54">
        <f>G304*J304</f>
        <v>4.956E-2</v>
      </c>
      <c r="M304" s="55" t="s">
        <v>111</v>
      </c>
      <c r="Z304" s="54">
        <f>IF(AQ304="5",BJ304,0)</f>
        <v>0</v>
      </c>
      <c r="AB304" s="54">
        <f>IF(AQ304="1",BH304,0)</f>
        <v>0</v>
      </c>
      <c r="AC304" s="54">
        <f>IF(AQ304="1",BI304,0)</f>
        <v>0</v>
      </c>
      <c r="AD304" s="54">
        <f>IF(AQ304="7",BH304,0)</f>
        <v>0</v>
      </c>
      <c r="AE304" s="54">
        <f>IF(AQ304="7",BI304,0)</f>
        <v>0</v>
      </c>
      <c r="AF304" s="54">
        <f>IF(AQ304="2",BH304,0)</f>
        <v>0</v>
      </c>
      <c r="AG304" s="54">
        <f>IF(AQ304="2",BI304,0)</f>
        <v>0</v>
      </c>
      <c r="AH304" s="54">
        <f>IF(AQ304="0",BJ304,0)</f>
        <v>0</v>
      </c>
      <c r="AI304" s="34" t="s">
        <v>103</v>
      </c>
      <c r="AJ304" s="54">
        <f>IF(AN304=0,I304,0)</f>
        <v>0</v>
      </c>
      <c r="AK304" s="54">
        <f>IF(AN304=12,I304,0)</f>
        <v>0</v>
      </c>
      <c r="AL304" s="54">
        <f>IF(AN304=21,I304,0)</f>
        <v>0</v>
      </c>
      <c r="AN304" s="54">
        <v>21</v>
      </c>
      <c r="AO304" s="54">
        <f>H304*0</f>
        <v>0</v>
      </c>
      <c r="AP304" s="54">
        <f>H304*(1-0)</f>
        <v>0</v>
      </c>
      <c r="AQ304" s="56" t="s">
        <v>168</v>
      </c>
      <c r="AV304" s="54">
        <f>AW304+AX304</f>
        <v>0</v>
      </c>
      <c r="AW304" s="54">
        <f>G304*AO304</f>
        <v>0</v>
      </c>
      <c r="AX304" s="54">
        <f>G304*AP304</f>
        <v>0</v>
      </c>
      <c r="AY304" s="56" t="s">
        <v>722</v>
      </c>
      <c r="AZ304" s="56" t="s">
        <v>418</v>
      </c>
      <c r="BA304" s="34" t="s">
        <v>114</v>
      </c>
      <c r="BC304" s="54">
        <f>AW304+AX304</f>
        <v>0</v>
      </c>
      <c r="BD304" s="54">
        <f>H304/(100-BE304)*100</f>
        <v>0</v>
      </c>
      <c r="BE304" s="54">
        <v>0</v>
      </c>
      <c r="BF304" s="54">
        <f>L304</f>
        <v>4.956E-2</v>
      </c>
      <c r="BH304" s="54">
        <f>G304*AO304</f>
        <v>0</v>
      </c>
      <c r="BI304" s="54">
        <f>G304*AP304</f>
        <v>0</v>
      </c>
      <c r="BJ304" s="54">
        <f>G304*H304</f>
        <v>0</v>
      </c>
      <c r="BK304" s="54"/>
      <c r="BL304" s="54">
        <v>728</v>
      </c>
      <c r="BW304" s="54">
        <v>21</v>
      </c>
      <c r="BX304" s="3" t="s">
        <v>721</v>
      </c>
    </row>
    <row r="305" spans="1:76" ht="14.5" x14ac:dyDescent="0.35">
      <c r="A305" s="57"/>
      <c r="D305" s="58" t="s">
        <v>723</v>
      </c>
      <c r="E305" s="59" t="s">
        <v>724</v>
      </c>
      <c r="G305" s="60">
        <v>8.4</v>
      </c>
      <c r="M305" s="61"/>
    </row>
    <row r="306" spans="1:76" ht="14.5" x14ac:dyDescent="0.35">
      <c r="A306" s="1" t="s">
        <v>725</v>
      </c>
      <c r="B306" s="2" t="s">
        <v>103</v>
      </c>
      <c r="C306" s="2" t="s">
        <v>726</v>
      </c>
      <c r="D306" s="155" t="s">
        <v>727</v>
      </c>
      <c r="E306" s="153"/>
      <c r="F306" s="2" t="s">
        <v>153</v>
      </c>
      <c r="G306" s="54">
        <v>4.8</v>
      </c>
      <c r="H306" s="84">
        <v>0</v>
      </c>
      <c r="I306" s="54">
        <f>G306*H306</f>
        <v>0</v>
      </c>
      <c r="J306" s="54">
        <v>0</v>
      </c>
      <c r="K306" s="54">
        <v>0</v>
      </c>
      <c r="L306" s="54">
        <f>G306*J306</f>
        <v>0</v>
      </c>
      <c r="M306" s="55" t="s">
        <v>111</v>
      </c>
      <c r="Z306" s="54">
        <f>IF(AQ306="5",BJ306,0)</f>
        <v>0</v>
      </c>
      <c r="AB306" s="54">
        <f>IF(AQ306="1",BH306,0)</f>
        <v>0</v>
      </c>
      <c r="AC306" s="54">
        <f>IF(AQ306="1",BI306,0)</f>
        <v>0</v>
      </c>
      <c r="AD306" s="54">
        <f>IF(AQ306="7",BH306,0)</f>
        <v>0</v>
      </c>
      <c r="AE306" s="54">
        <f>IF(AQ306="7",BI306,0)</f>
        <v>0</v>
      </c>
      <c r="AF306" s="54">
        <f>IF(AQ306="2",BH306,0)</f>
        <v>0</v>
      </c>
      <c r="AG306" s="54">
        <f>IF(AQ306="2",BI306,0)</f>
        <v>0</v>
      </c>
      <c r="AH306" s="54">
        <f>IF(AQ306="0",BJ306,0)</f>
        <v>0</v>
      </c>
      <c r="AI306" s="34" t="s">
        <v>103</v>
      </c>
      <c r="AJ306" s="54">
        <f>IF(AN306=0,I306,0)</f>
        <v>0</v>
      </c>
      <c r="AK306" s="54">
        <f>IF(AN306=12,I306,0)</f>
        <v>0</v>
      </c>
      <c r="AL306" s="54">
        <f>IF(AN306=21,I306,0)</f>
        <v>0</v>
      </c>
      <c r="AN306" s="54">
        <v>21</v>
      </c>
      <c r="AO306" s="54">
        <f>H306*0</f>
        <v>0</v>
      </c>
      <c r="AP306" s="54">
        <f>H306*(1-0)</f>
        <v>0</v>
      </c>
      <c r="AQ306" s="56" t="s">
        <v>168</v>
      </c>
      <c r="AV306" s="54">
        <f>AW306+AX306</f>
        <v>0</v>
      </c>
      <c r="AW306" s="54">
        <f>G306*AO306</f>
        <v>0</v>
      </c>
      <c r="AX306" s="54">
        <f>G306*AP306</f>
        <v>0</v>
      </c>
      <c r="AY306" s="56" t="s">
        <v>722</v>
      </c>
      <c r="AZ306" s="56" t="s">
        <v>418</v>
      </c>
      <c r="BA306" s="34" t="s">
        <v>114</v>
      </c>
      <c r="BC306" s="54">
        <f>AW306+AX306</f>
        <v>0</v>
      </c>
      <c r="BD306" s="54">
        <f>H306/(100-BE306)*100</f>
        <v>0</v>
      </c>
      <c r="BE306" s="54">
        <v>0</v>
      </c>
      <c r="BF306" s="54">
        <f>L306</f>
        <v>0</v>
      </c>
      <c r="BH306" s="54">
        <f>G306*AO306</f>
        <v>0</v>
      </c>
      <c r="BI306" s="54">
        <f>G306*AP306</f>
        <v>0</v>
      </c>
      <c r="BJ306" s="54">
        <f>G306*H306</f>
        <v>0</v>
      </c>
      <c r="BK306" s="54"/>
      <c r="BL306" s="54">
        <v>728</v>
      </c>
      <c r="BW306" s="54">
        <v>21</v>
      </c>
      <c r="BX306" s="3" t="s">
        <v>727</v>
      </c>
    </row>
    <row r="307" spans="1:76" ht="14.5" x14ac:dyDescent="0.35">
      <c r="A307" s="57"/>
      <c r="D307" s="58" t="s">
        <v>728</v>
      </c>
      <c r="E307" s="59" t="s">
        <v>729</v>
      </c>
      <c r="G307" s="60">
        <v>4.8</v>
      </c>
      <c r="M307" s="61"/>
    </row>
    <row r="308" spans="1:76" ht="14.5" x14ac:dyDescent="0.35">
      <c r="A308" s="1" t="s">
        <v>730</v>
      </c>
      <c r="B308" s="2" t="s">
        <v>103</v>
      </c>
      <c r="C308" s="2" t="s">
        <v>731</v>
      </c>
      <c r="D308" s="155" t="s">
        <v>732</v>
      </c>
      <c r="E308" s="153"/>
      <c r="F308" s="2" t="s">
        <v>196</v>
      </c>
      <c r="G308" s="54">
        <v>24</v>
      </c>
      <c r="H308" s="84">
        <v>0</v>
      </c>
      <c r="I308" s="54">
        <f>G308*H308</f>
        <v>0</v>
      </c>
      <c r="J308" s="54">
        <v>0</v>
      </c>
      <c r="K308" s="54">
        <v>0</v>
      </c>
      <c r="L308" s="54">
        <f>G308*J308</f>
        <v>0</v>
      </c>
      <c r="M308" s="55" t="s">
        <v>111</v>
      </c>
      <c r="Z308" s="54">
        <f>IF(AQ308="5",BJ308,0)</f>
        <v>0</v>
      </c>
      <c r="AB308" s="54">
        <f>IF(AQ308="1",BH308,0)</f>
        <v>0</v>
      </c>
      <c r="AC308" s="54">
        <f>IF(AQ308="1",BI308,0)</f>
        <v>0</v>
      </c>
      <c r="AD308" s="54">
        <f>IF(AQ308="7",BH308,0)</f>
        <v>0</v>
      </c>
      <c r="AE308" s="54">
        <f>IF(AQ308="7",BI308,0)</f>
        <v>0</v>
      </c>
      <c r="AF308" s="54">
        <f>IF(AQ308="2",BH308,0)</f>
        <v>0</v>
      </c>
      <c r="AG308" s="54">
        <f>IF(AQ308="2",BI308,0)</f>
        <v>0</v>
      </c>
      <c r="AH308" s="54">
        <f>IF(AQ308="0",BJ308,0)</f>
        <v>0</v>
      </c>
      <c r="AI308" s="34" t="s">
        <v>103</v>
      </c>
      <c r="AJ308" s="54">
        <f>IF(AN308=0,I308,0)</f>
        <v>0</v>
      </c>
      <c r="AK308" s="54">
        <f>IF(AN308=12,I308,0)</f>
        <v>0</v>
      </c>
      <c r="AL308" s="54">
        <f>IF(AN308=21,I308,0)</f>
        <v>0</v>
      </c>
      <c r="AN308" s="54">
        <v>21</v>
      </c>
      <c r="AO308" s="54">
        <f>H308*0</f>
        <v>0</v>
      </c>
      <c r="AP308" s="54">
        <f>H308*(1-0)</f>
        <v>0</v>
      </c>
      <c r="AQ308" s="56" t="s">
        <v>168</v>
      </c>
      <c r="AV308" s="54">
        <f>AW308+AX308</f>
        <v>0</v>
      </c>
      <c r="AW308" s="54">
        <f>G308*AO308</f>
        <v>0</v>
      </c>
      <c r="AX308" s="54">
        <f>G308*AP308</f>
        <v>0</v>
      </c>
      <c r="AY308" s="56" t="s">
        <v>722</v>
      </c>
      <c r="AZ308" s="56" t="s">
        <v>418</v>
      </c>
      <c r="BA308" s="34" t="s">
        <v>114</v>
      </c>
      <c r="BC308" s="54">
        <f>AW308+AX308</f>
        <v>0</v>
      </c>
      <c r="BD308" s="54">
        <f>H308/(100-BE308)*100</f>
        <v>0</v>
      </c>
      <c r="BE308" s="54">
        <v>0</v>
      </c>
      <c r="BF308" s="54">
        <f>L308</f>
        <v>0</v>
      </c>
      <c r="BH308" s="54">
        <f>G308*AO308</f>
        <v>0</v>
      </c>
      <c r="BI308" s="54">
        <f>G308*AP308</f>
        <v>0</v>
      </c>
      <c r="BJ308" s="54">
        <f>G308*H308</f>
        <v>0</v>
      </c>
      <c r="BK308" s="54"/>
      <c r="BL308" s="54">
        <v>728</v>
      </c>
      <c r="BW308" s="54">
        <v>21</v>
      </c>
      <c r="BX308" s="3" t="s">
        <v>732</v>
      </c>
    </row>
    <row r="309" spans="1:76" ht="14.5" x14ac:dyDescent="0.35">
      <c r="A309" s="57"/>
      <c r="D309" s="58" t="s">
        <v>406</v>
      </c>
      <c r="E309" s="59" t="s">
        <v>734</v>
      </c>
      <c r="G309" s="60">
        <v>24</v>
      </c>
      <c r="M309" s="61"/>
    </row>
    <row r="310" spans="1:76" ht="25" x14ac:dyDescent="0.35">
      <c r="A310" s="64" t="s">
        <v>735</v>
      </c>
      <c r="B310" s="65" t="s">
        <v>103</v>
      </c>
      <c r="C310" s="65" t="s">
        <v>736</v>
      </c>
      <c r="D310" s="217" t="s">
        <v>737</v>
      </c>
      <c r="E310" s="218"/>
      <c r="F310" s="65" t="s">
        <v>196</v>
      </c>
      <c r="G310" s="67">
        <v>24</v>
      </c>
      <c r="H310" s="85">
        <v>0</v>
      </c>
      <c r="I310" s="67">
        <f>G310*H310</f>
        <v>0</v>
      </c>
      <c r="J310" s="67">
        <v>0</v>
      </c>
      <c r="K310" s="67">
        <v>0</v>
      </c>
      <c r="L310" s="67">
        <f>G310*J310</f>
        <v>0</v>
      </c>
      <c r="M310" s="68" t="s">
        <v>10</v>
      </c>
      <c r="Z310" s="54">
        <f>IF(AQ310="5",BJ310,0)</f>
        <v>0</v>
      </c>
      <c r="AB310" s="54">
        <f>IF(AQ310="1",BH310,0)</f>
        <v>0</v>
      </c>
      <c r="AC310" s="54">
        <f>IF(AQ310="1",BI310,0)</f>
        <v>0</v>
      </c>
      <c r="AD310" s="54">
        <f>IF(AQ310="7",BH310,0)</f>
        <v>0</v>
      </c>
      <c r="AE310" s="54">
        <f>IF(AQ310="7",BI310,0)</f>
        <v>0</v>
      </c>
      <c r="AF310" s="54">
        <f>IF(AQ310="2",BH310,0)</f>
        <v>0</v>
      </c>
      <c r="AG310" s="54">
        <f>IF(AQ310="2",BI310,0)</f>
        <v>0</v>
      </c>
      <c r="AH310" s="54">
        <f>IF(AQ310="0",BJ310,0)</f>
        <v>0</v>
      </c>
      <c r="AI310" s="34" t="s">
        <v>103</v>
      </c>
      <c r="AJ310" s="67">
        <f>IF(AN310=0,I310,0)</f>
        <v>0</v>
      </c>
      <c r="AK310" s="67">
        <f>IF(AN310=12,I310,0)</f>
        <v>0</v>
      </c>
      <c r="AL310" s="67">
        <f>IF(AN310=21,I310,0)</f>
        <v>0</v>
      </c>
      <c r="AN310" s="54">
        <v>21</v>
      </c>
      <c r="AO310" s="54">
        <f>H310*1</f>
        <v>0</v>
      </c>
      <c r="AP310" s="54">
        <f>H310*(1-1)</f>
        <v>0</v>
      </c>
      <c r="AQ310" s="69" t="s">
        <v>168</v>
      </c>
      <c r="AV310" s="54">
        <f>AW310+AX310</f>
        <v>0</v>
      </c>
      <c r="AW310" s="54">
        <f>G310*AO310</f>
        <v>0</v>
      </c>
      <c r="AX310" s="54">
        <f>G310*AP310</f>
        <v>0</v>
      </c>
      <c r="AY310" s="56" t="s">
        <v>722</v>
      </c>
      <c r="AZ310" s="56" t="s">
        <v>418</v>
      </c>
      <c r="BA310" s="34" t="s">
        <v>114</v>
      </c>
      <c r="BC310" s="54">
        <f>AW310+AX310</f>
        <v>0</v>
      </c>
      <c r="BD310" s="54">
        <f>H310/(100-BE310)*100</f>
        <v>0</v>
      </c>
      <c r="BE310" s="54">
        <v>0</v>
      </c>
      <c r="BF310" s="54">
        <f>L310</f>
        <v>0</v>
      </c>
      <c r="BH310" s="67">
        <f>G310*AO310</f>
        <v>0</v>
      </c>
      <c r="BI310" s="67">
        <f>G310*AP310</f>
        <v>0</v>
      </c>
      <c r="BJ310" s="67">
        <f>G310*H310</f>
        <v>0</v>
      </c>
      <c r="BK310" s="67"/>
      <c r="BL310" s="54">
        <v>728</v>
      </c>
      <c r="BW310" s="54">
        <v>21</v>
      </c>
      <c r="BX310" s="66" t="s">
        <v>737</v>
      </c>
    </row>
    <row r="311" spans="1:76" ht="14.5" x14ac:dyDescent="0.35">
      <c r="A311" s="57"/>
      <c r="D311" s="58" t="s">
        <v>406</v>
      </c>
      <c r="E311" s="59" t="s">
        <v>10</v>
      </c>
      <c r="G311" s="60">
        <v>24</v>
      </c>
      <c r="M311" s="61"/>
    </row>
    <row r="312" spans="1:76" ht="14.5" x14ac:dyDescent="0.35">
      <c r="A312" s="1" t="s">
        <v>738</v>
      </c>
      <c r="B312" s="2" t="s">
        <v>103</v>
      </c>
      <c r="C312" s="2" t="s">
        <v>739</v>
      </c>
      <c r="D312" s="155" t="s">
        <v>740</v>
      </c>
      <c r="E312" s="153"/>
      <c r="F312" s="2" t="s">
        <v>196</v>
      </c>
      <c r="G312" s="54">
        <v>48</v>
      </c>
      <c r="H312" s="84">
        <v>0</v>
      </c>
      <c r="I312" s="54">
        <f>G312*H312</f>
        <v>0</v>
      </c>
      <c r="J312" s="54">
        <v>0</v>
      </c>
      <c r="K312" s="54">
        <v>0</v>
      </c>
      <c r="L312" s="54">
        <f>G312*J312</f>
        <v>0</v>
      </c>
      <c r="M312" s="55" t="s">
        <v>111</v>
      </c>
      <c r="Z312" s="54">
        <f>IF(AQ312="5",BJ312,0)</f>
        <v>0</v>
      </c>
      <c r="AB312" s="54">
        <f>IF(AQ312="1",BH312,0)</f>
        <v>0</v>
      </c>
      <c r="AC312" s="54">
        <f>IF(AQ312="1",BI312,0)</f>
        <v>0</v>
      </c>
      <c r="AD312" s="54">
        <f>IF(AQ312="7",BH312,0)</f>
        <v>0</v>
      </c>
      <c r="AE312" s="54">
        <f>IF(AQ312="7",BI312,0)</f>
        <v>0</v>
      </c>
      <c r="AF312" s="54">
        <f>IF(AQ312="2",BH312,0)</f>
        <v>0</v>
      </c>
      <c r="AG312" s="54">
        <f>IF(AQ312="2",BI312,0)</f>
        <v>0</v>
      </c>
      <c r="AH312" s="54">
        <f>IF(AQ312="0",BJ312,0)</f>
        <v>0</v>
      </c>
      <c r="AI312" s="34" t="s">
        <v>103</v>
      </c>
      <c r="AJ312" s="54">
        <f>IF(AN312=0,I312,0)</f>
        <v>0</v>
      </c>
      <c r="AK312" s="54">
        <f>IF(AN312=12,I312,0)</f>
        <v>0</v>
      </c>
      <c r="AL312" s="54">
        <f>IF(AN312=21,I312,0)</f>
        <v>0</v>
      </c>
      <c r="AN312" s="54">
        <v>21</v>
      </c>
      <c r="AO312" s="54">
        <f>H312*0</f>
        <v>0</v>
      </c>
      <c r="AP312" s="54">
        <f>H312*(1-0)</f>
        <v>0</v>
      </c>
      <c r="AQ312" s="56" t="s">
        <v>168</v>
      </c>
      <c r="AV312" s="54">
        <f>AW312+AX312</f>
        <v>0</v>
      </c>
      <c r="AW312" s="54">
        <f>G312*AO312</f>
        <v>0</v>
      </c>
      <c r="AX312" s="54">
        <f>G312*AP312</f>
        <v>0</v>
      </c>
      <c r="AY312" s="56" t="s">
        <v>722</v>
      </c>
      <c r="AZ312" s="56" t="s">
        <v>418</v>
      </c>
      <c r="BA312" s="34" t="s">
        <v>114</v>
      </c>
      <c r="BC312" s="54">
        <f>AW312+AX312</f>
        <v>0</v>
      </c>
      <c r="BD312" s="54">
        <f>H312/(100-BE312)*100</f>
        <v>0</v>
      </c>
      <c r="BE312" s="54">
        <v>0</v>
      </c>
      <c r="BF312" s="54">
        <f>L312</f>
        <v>0</v>
      </c>
      <c r="BH312" s="54">
        <f>G312*AO312</f>
        <v>0</v>
      </c>
      <c r="BI312" s="54">
        <f>G312*AP312</f>
        <v>0</v>
      </c>
      <c r="BJ312" s="54">
        <f>G312*H312</f>
        <v>0</v>
      </c>
      <c r="BK312" s="54"/>
      <c r="BL312" s="54">
        <v>728</v>
      </c>
      <c r="BW312" s="54">
        <v>21</v>
      </c>
      <c r="BX312" s="3" t="s">
        <v>740</v>
      </c>
    </row>
    <row r="313" spans="1:76" ht="14.5" x14ac:dyDescent="0.35">
      <c r="A313" s="57"/>
      <c r="D313" s="58" t="s">
        <v>483</v>
      </c>
      <c r="E313" s="59" t="s">
        <v>741</v>
      </c>
      <c r="G313" s="60">
        <v>48</v>
      </c>
      <c r="M313" s="61"/>
    </row>
    <row r="314" spans="1:76" ht="14.5" x14ac:dyDescent="0.35">
      <c r="A314" s="64" t="s">
        <v>742</v>
      </c>
      <c r="B314" s="65" t="s">
        <v>103</v>
      </c>
      <c r="C314" s="65" t="s">
        <v>743</v>
      </c>
      <c r="D314" s="217" t="s">
        <v>744</v>
      </c>
      <c r="E314" s="218"/>
      <c r="F314" s="65" t="s">
        <v>196</v>
      </c>
      <c r="G314" s="67">
        <v>48</v>
      </c>
      <c r="H314" s="85">
        <v>0</v>
      </c>
      <c r="I314" s="67">
        <f>G314*H314</f>
        <v>0</v>
      </c>
      <c r="J314" s="67">
        <v>5.9999999999999995E-4</v>
      </c>
      <c r="K314" s="67">
        <v>0</v>
      </c>
      <c r="L314" s="67">
        <f>G314*J314</f>
        <v>2.8799999999999999E-2</v>
      </c>
      <c r="M314" s="68" t="s">
        <v>111</v>
      </c>
      <c r="Z314" s="54">
        <f>IF(AQ314="5",BJ314,0)</f>
        <v>0</v>
      </c>
      <c r="AB314" s="54">
        <f>IF(AQ314="1",BH314,0)</f>
        <v>0</v>
      </c>
      <c r="AC314" s="54">
        <f>IF(AQ314="1",BI314,0)</f>
        <v>0</v>
      </c>
      <c r="AD314" s="54">
        <f>IF(AQ314="7",BH314,0)</f>
        <v>0</v>
      </c>
      <c r="AE314" s="54">
        <f>IF(AQ314="7",BI314,0)</f>
        <v>0</v>
      </c>
      <c r="AF314" s="54">
        <f>IF(AQ314="2",BH314,0)</f>
        <v>0</v>
      </c>
      <c r="AG314" s="54">
        <f>IF(AQ314="2",BI314,0)</f>
        <v>0</v>
      </c>
      <c r="AH314" s="54">
        <f>IF(AQ314="0",BJ314,0)</f>
        <v>0</v>
      </c>
      <c r="AI314" s="34" t="s">
        <v>103</v>
      </c>
      <c r="AJ314" s="67">
        <f>IF(AN314=0,I314,0)</f>
        <v>0</v>
      </c>
      <c r="AK314" s="67">
        <f>IF(AN314=12,I314,0)</f>
        <v>0</v>
      </c>
      <c r="AL314" s="67">
        <f>IF(AN314=21,I314,0)</f>
        <v>0</v>
      </c>
      <c r="AN314" s="54">
        <v>21</v>
      </c>
      <c r="AO314" s="54">
        <f>H314*1</f>
        <v>0</v>
      </c>
      <c r="AP314" s="54">
        <f>H314*(1-1)</f>
        <v>0</v>
      </c>
      <c r="AQ314" s="69" t="s">
        <v>168</v>
      </c>
      <c r="AV314" s="54">
        <f>AW314+AX314</f>
        <v>0</v>
      </c>
      <c r="AW314" s="54">
        <f>G314*AO314</f>
        <v>0</v>
      </c>
      <c r="AX314" s="54">
        <f>G314*AP314</f>
        <v>0</v>
      </c>
      <c r="AY314" s="56" t="s">
        <v>722</v>
      </c>
      <c r="AZ314" s="56" t="s">
        <v>418</v>
      </c>
      <c r="BA314" s="34" t="s">
        <v>114</v>
      </c>
      <c r="BC314" s="54">
        <f>AW314+AX314</f>
        <v>0</v>
      </c>
      <c r="BD314" s="54">
        <f>H314/(100-BE314)*100</f>
        <v>0</v>
      </c>
      <c r="BE314" s="54">
        <v>0</v>
      </c>
      <c r="BF314" s="54">
        <f>L314</f>
        <v>2.8799999999999999E-2</v>
      </c>
      <c r="BH314" s="67">
        <f>G314*AO314</f>
        <v>0</v>
      </c>
      <c r="BI314" s="67">
        <f>G314*AP314</f>
        <v>0</v>
      </c>
      <c r="BJ314" s="67">
        <f>G314*H314</f>
        <v>0</v>
      </c>
      <c r="BK314" s="67"/>
      <c r="BL314" s="54">
        <v>728</v>
      </c>
      <c r="BW314" s="54">
        <v>21</v>
      </c>
      <c r="BX314" s="66" t="s">
        <v>744</v>
      </c>
    </row>
    <row r="315" spans="1:76" ht="14.5" x14ac:dyDescent="0.35">
      <c r="A315" s="57"/>
      <c r="D315" s="58" t="s">
        <v>483</v>
      </c>
      <c r="E315" s="59" t="s">
        <v>10</v>
      </c>
      <c r="G315" s="60">
        <v>48</v>
      </c>
      <c r="M315" s="61"/>
    </row>
    <row r="316" spans="1:76" ht="14.5" x14ac:dyDescent="0.35">
      <c r="A316" s="1" t="s">
        <v>746</v>
      </c>
      <c r="B316" s="2" t="s">
        <v>103</v>
      </c>
      <c r="C316" s="2" t="s">
        <v>747</v>
      </c>
      <c r="D316" s="155" t="s">
        <v>748</v>
      </c>
      <c r="E316" s="153"/>
      <c r="F316" s="2" t="s">
        <v>196</v>
      </c>
      <c r="G316" s="54">
        <v>24</v>
      </c>
      <c r="H316" s="84">
        <v>0</v>
      </c>
      <c r="I316" s="54">
        <f>G316*H316</f>
        <v>0</v>
      </c>
      <c r="J316" s="54">
        <v>1.1000000000000001E-3</v>
      </c>
      <c r="K316" s="54">
        <v>1.1000000000000001E-3</v>
      </c>
      <c r="L316" s="54">
        <f>G316*J316</f>
        <v>2.64E-2</v>
      </c>
      <c r="M316" s="55" t="s">
        <v>111</v>
      </c>
      <c r="Z316" s="54">
        <f>IF(AQ316="5",BJ316,0)</f>
        <v>0</v>
      </c>
      <c r="AB316" s="54">
        <f>IF(AQ316="1",BH316,0)</f>
        <v>0</v>
      </c>
      <c r="AC316" s="54">
        <f>IF(AQ316="1",BI316,0)</f>
        <v>0</v>
      </c>
      <c r="AD316" s="54">
        <f>IF(AQ316="7",BH316,0)</f>
        <v>0</v>
      </c>
      <c r="AE316" s="54">
        <f>IF(AQ316="7",BI316,0)</f>
        <v>0</v>
      </c>
      <c r="AF316" s="54">
        <f>IF(AQ316="2",BH316,0)</f>
        <v>0</v>
      </c>
      <c r="AG316" s="54">
        <f>IF(AQ316="2",BI316,0)</f>
        <v>0</v>
      </c>
      <c r="AH316" s="54">
        <f>IF(AQ316="0",BJ316,0)</f>
        <v>0</v>
      </c>
      <c r="AI316" s="34" t="s">
        <v>103</v>
      </c>
      <c r="AJ316" s="54">
        <f>IF(AN316=0,I316,0)</f>
        <v>0</v>
      </c>
      <c r="AK316" s="54">
        <f>IF(AN316=12,I316,0)</f>
        <v>0</v>
      </c>
      <c r="AL316" s="54">
        <f>IF(AN316=21,I316,0)</f>
        <v>0</v>
      </c>
      <c r="AN316" s="54">
        <v>21</v>
      </c>
      <c r="AO316" s="54">
        <f>H316*0</f>
        <v>0</v>
      </c>
      <c r="AP316" s="54">
        <f>H316*(1-0)</f>
        <v>0</v>
      </c>
      <c r="AQ316" s="56" t="s">
        <v>168</v>
      </c>
      <c r="AV316" s="54">
        <f>AW316+AX316</f>
        <v>0</v>
      </c>
      <c r="AW316" s="54">
        <f>G316*AO316</f>
        <v>0</v>
      </c>
      <c r="AX316" s="54">
        <f>G316*AP316</f>
        <v>0</v>
      </c>
      <c r="AY316" s="56" t="s">
        <v>722</v>
      </c>
      <c r="AZ316" s="56" t="s">
        <v>418</v>
      </c>
      <c r="BA316" s="34" t="s">
        <v>114</v>
      </c>
      <c r="BC316" s="54">
        <f>AW316+AX316</f>
        <v>0</v>
      </c>
      <c r="BD316" s="54">
        <f>H316/(100-BE316)*100</f>
        <v>0</v>
      </c>
      <c r="BE316" s="54">
        <v>0</v>
      </c>
      <c r="BF316" s="54">
        <f>L316</f>
        <v>2.64E-2</v>
      </c>
      <c r="BH316" s="54">
        <f>G316*AO316</f>
        <v>0</v>
      </c>
      <c r="BI316" s="54">
        <f>G316*AP316</f>
        <v>0</v>
      </c>
      <c r="BJ316" s="54">
        <f>G316*H316</f>
        <v>0</v>
      </c>
      <c r="BK316" s="54"/>
      <c r="BL316" s="54">
        <v>728</v>
      </c>
      <c r="BW316" s="54">
        <v>21</v>
      </c>
      <c r="BX316" s="3" t="s">
        <v>748</v>
      </c>
    </row>
    <row r="317" spans="1:76" ht="14.5" x14ac:dyDescent="0.35">
      <c r="A317" s="57"/>
      <c r="D317" s="58" t="s">
        <v>406</v>
      </c>
      <c r="E317" s="59" t="s">
        <v>749</v>
      </c>
      <c r="G317" s="60">
        <v>24</v>
      </c>
      <c r="M317" s="61"/>
    </row>
    <row r="318" spans="1:76" ht="14.5" x14ac:dyDescent="0.35">
      <c r="A318" s="1" t="s">
        <v>750</v>
      </c>
      <c r="B318" s="2" t="s">
        <v>103</v>
      </c>
      <c r="C318" s="2" t="s">
        <v>751</v>
      </c>
      <c r="D318" s="155" t="s">
        <v>752</v>
      </c>
      <c r="E318" s="153"/>
      <c r="F318" s="2" t="s">
        <v>196</v>
      </c>
      <c r="G318" s="54">
        <v>24</v>
      </c>
      <c r="H318" s="84">
        <v>0</v>
      </c>
      <c r="I318" s="54">
        <f>G318*H318</f>
        <v>0</v>
      </c>
      <c r="J318" s="54">
        <v>0</v>
      </c>
      <c r="K318" s="54">
        <v>0</v>
      </c>
      <c r="L318" s="54">
        <f>G318*J318</f>
        <v>0</v>
      </c>
      <c r="M318" s="55" t="s">
        <v>111</v>
      </c>
      <c r="Z318" s="54">
        <f>IF(AQ318="5",BJ318,0)</f>
        <v>0</v>
      </c>
      <c r="AB318" s="54">
        <f>IF(AQ318="1",BH318,0)</f>
        <v>0</v>
      </c>
      <c r="AC318" s="54">
        <f>IF(AQ318="1",BI318,0)</f>
        <v>0</v>
      </c>
      <c r="AD318" s="54">
        <f>IF(AQ318="7",BH318,0)</f>
        <v>0</v>
      </c>
      <c r="AE318" s="54">
        <f>IF(AQ318="7",BI318,0)</f>
        <v>0</v>
      </c>
      <c r="AF318" s="54">
        <f>IF(AQ318="2",BH318,0)</f>
        <v>0</v>
      </c>
      <c r="AG318" s="54">
        <f>IF(AQ318="2",BI318,0)</f>
        <v>0</v>
      </c>
      <c r="AH318" s="54">
        <f>IF(AQ318="0",BJ318,0)</f>
        <v>0</v>
      </c>
      <c r="AI318" s="34" t="s">
        <v>103</v>
      </c>
      <c r="AJ318" s="54">
        <f>IF(AN318=0,I318,0)</f>
        <v>0</v>
      </c>
      <c r="AK318" s="54">
        <f>IF(AN318=12,I318,0)</f>
        <v>0</v>
      </c>
      <c r="AL318" s="54">
        <f>IF(AN318=21,I318,0)</f>
        <v>0</v>
      </c>
      <c r="AN318" s="54">
        <v>21</v>
      </c>
      <c r="AO318" s="54">
        <f>H318*0</f>
        <v>0</v>
      </c>
      <c r="AP318" s="54">
        <f>H318*(1-0)</f>
        <v>0</v>
      </c>
      <c r="AQ318" s="56" t="s">
        <v>168</v>
      </c>
      <c r="AV318" s="54">
        <f>AW318+AX318</f>
        <v>0</v>
      </c>
      <c r="AW318" s="54">
        <f>G318*AO318</f>
        <v>0</v>
      </c>
      <c r="AX318" s="54">
        <f>G318*AP318</f>
        <v>0</v>
      </c>
      <c r="AY318" s="56" t="s">
        <v>722</v>
      </c>
      <c r="AZ318" s="56" t="s">
        <v>418</v>
      </c>
      <c r="BA318" s="34" t="s">
        <v>114</v>
      </c>
      <c r="BC318" s="54">
        <f>AW318+AX318</f>
        <v>0</v>
      </c>
      <c r="BD318" s="54">
        <f>H318/(100-BE318)*100</f>
        <v>0</v>
      </c>
      <c r="BE318" s="54">
        <v>0</v>
      </c>
      <c r="BF318" s="54">
        <f>L318</f>
        <v>0</v>
      </c>
      <c r="BH318" s="54">
        <f>G318*AO318</f>
        <v>0</v>
      </c>
      <c r="BI318" s="54">
        <f>G318*AP318</f>
        <v>0</v>
      </c>
      <c r="BJ318" s="54">
        <f>G318*H318</f>
        <v>0</v>
      </c>
      <c r="BK318" s="54"/>
      <c r="BL318" s="54">
        <v>728</v>
      </c>
      <c r="BW318" s="54">
        <v>21</v>
      </c>
      <c r="BX318" s="3" t="s">
        <v>752</v>
      </c>
    </row>
    <row r="319" spans="1:76" ht="14.5" x14ac:dyDescent="0.35">
      <c r="A319" s="57"/>
      <c r="D319" s="58" t="s">
        <v>406</v>
      </c>
      <c r="E319" s="59" t="s">
        <v>753</v>
      </c>
      <c r="G319" s="60">
        <v>24</v>
      </c>
      <c r="M319" s="61"/>
    </row>
    <row r="320" spans="1:76" ht="25" x14ac:dyDescent="0.35">
      <c r="A320" s="64" t="s">
        <v>754</v>
      </c>
      <c r="B320" s="65" t="s">
        <v>103</v>
      </c>
      <c r="C320" s="65" t="s">
        <v>755</v>
      </c>
      <c r="D320" s="217" t="s">
        <v>756</v>
      </c>
      <c r="E320" s="218"/>
      <c r="F320" s="65" t="s">
        <v>196</v>
      </c>
      <c r="G320" s="67">
        <v>24</v>
      </c>
      <c r="H320" s="85">
        <v>0</v>
      </c>
      <c r="I320" s="67">
        <f>G320*H320</f>
        <v>0</v>
      </c>
      <c r="J320" s="67">
        <v>5.9000000000000003E-4</v>
      </c>
      <c r="K320" s="67">
        <v>0</v>
      </c>
      <c r="L320" s="67">
        <f>G320*J320</f>
        <v>1.4160000000000001E-2</v>
      </c>
      <c r="M320" s="68" t="s">
        <v>111</v>
      </c>
      <c r="Z320" s="54">
        <f>IF(AQ320="5",BJ320,0)</f>
        <v>0</v>
      </c>
      <c r="AB320" s="54">
        <f>IF(AQ320="1",BH320,0)</f>
        <v>0</v>
      </c>
      <c r="AC320" s="54">
        <f>IF(AQ320="1",BI320,0)</f>
        <v>0</v>
      </c>
      <c r="AD320" s="54">
        <f>IF(AQ320="7",BH320,0)</f>
        <v>0</v>
      </c>
      <c r="AE320" s="54">
        <f>IF(AQ320="7",BI320,0)</f>
        <v>0</v>
      </c>
      <c r="AF320" s="54">
        <f>IF(AQ320="2",BH320,0)</f>
        <v>0</v>
      </c>
      <c r="AG320" s="54">
        <f>IF(AQ320="2",BI320,0)</f>
        <v>0</v>
      </c>
      <c r="AH320" s="54">
        <f>IF(AQ320="0",BJ320,0)</f>
        <v>0</v>
      </c>
      <c r="AI320" s="34" t="s">
        <v>103</v>
      </c>
      <c r="AJ320" s="67">
        <f>IF(AN320=0,I320,0)</f>
        <v>0</v>
      </c>
      <c r="AK320" s="67">
        <f>IF(AN320=12,I320,0)</f>
        <v>0</v>
      </c>
      <c r="AL320" s="67">
        <f>IF(AN320=21,I320,0)</f>
        <v>0</v>
      </c>
      <c r="AN320" s="54">
        <v>21</v>
      </c>
      <c r="AO320" s="54">
        <f>H320*1</f>
        <v>0</v>
      </c>
      <c r="AP320" s="54">
        <f>H320*(1-1)</f>
        <v>0</v>
      </c>
      <c r="AQ320" s="69" t="s">
        <v>168</v>
      </c>
      <c r="AV320" s="54">
        <f>AW320+AX320</f>
        <v>0</v>
      </c>
      <c r="AW320" s="54">
        <f>G320*AO320</f>
        <v>0</v>
      </c>
      <c r="AX320" s="54">
        <f>G320*AP320</f>
        <v>0</v>
      </c>
      <c r="AY320" s="56" t="s">
        <v>722</v>
      </c>
      <c r="AZ320" s="56" t="s">
        <v>418</v>
      </c>
      <c r="BA320" s="34" t="s">
        <v>114</v>
      </c>
      <c r="BC320" s="54">
        <f>AW320+AX320</f>
        <v>0</v>
      </c>
      <c r="BD320" s="54">
        <f>H320/(100-BE320)*100</f>
        <v>0</v>
      </c>
      <c r="BE320" s="54">
        <v>0</v>
      </c>
      <c r="BF320" s="54">
        <f>L320</f>
        <v>1.4160000000000001E-2</v>
      </c>
      <c r="BH320" s="67">
        <f>G320*AO320</f>
        <v>0</v>
      </c>
      <c r="BI320" s="67">
        <f>G320*AP320</f>
        <v>0</v>
      </c>
      <c r="BJ320" s="67">
        <f>G320*H320</f>
        <v>0</v>
      </c>
      <c r="BK320" s="67"/>
      <c r="BL320" s="54">
        <v>728</v>
      </c>
      <c r="BW320" s="54">
        <v>21</v>
      </c>
      <c r="BX320" s="66" t="s">
        <v>756</v>
      </c>
    </row>
    <row r="321" spans="1:76" ht="14.5" x14ac:dyDescent="0.35">
      <c r="A321" s="57"/>
      <c r="D321" s="58" t="s">
        <v>406</v>
      </c>
      <c r="E321" s="59" t="s">
        <v>758</v>
      </c>
      <c r="G321" s="60">
        <v>24</v>
      </c>
      <c r="M321" s="61"/>
    </row>
    <row r="322" spans="1:76" ht="14.5" x14ac:dyDescent="0.35">
      <c r="A322" s="1" t="s">
        <v>760</v>
      </c>
      <c r="B322" s="2" t="s">
        <v>103</v>
      </c>
      <c r="C322" s="2" t="s">
        <v>761</v>
      </c>
      <c r="D322" s="155" t="s">
        <v>762</v>
      </c>
      <c r="E322" s="153"/>
      <c r="F322" s="2" t="s">
        <v>110</v>
      </c>
      <c r="G322" s="54">
        <v>9.6</v>
      </c>
      <c r="H322" s="84">
        <v>0</v>
      </c>
      <c r="I322" s="54">
        <f>G322*H322</f>
        <v>0</v>
      </c>
      <c r="J322" s="54">
        <v>5.8999999999999999E-3</v>
      </c>
      <c r="K322" s="54">
        <v>5.8999999999999999E-3</v>
      </c>
      <c r="L322" s="54">
        <f>G322*J322</f>
        <v>5.6639999999999996E-2</v>
      </c>
      <c r="M322" s="55" t="s">
        <v>10</v>
      </c>
      <c r="Z322" s="54">
        <f>IF(AQ322="5",BJ322,0)</f>
        <v>0</v>
      </c>
      <c r="AB322" s="54">
        <f>IF(AQ322="1",BH322,0)</f>
        <v>0</v>
      </c>
      <c r="AC322" s="54">
        <f>IF(AQ322="1",BI322,0)</f>
        <v>0</v>
      </c>
      <c r="AD322" s="54">
        <f>IF(AQ322="7",BH322,0)</f>
        <v>0</v>
      </c>
      <c r="AE322" s="54">
        <f>IF(AQ322="7",BI322,0)</f>
        <v>0</v>
      </c>
      <c r="AF322" s="54">
        <f>IF(AQ322="2",BH322,0)</f>
        <v>0</v>
      </c>
      <c r="AG322" s="54">
        <f>IF(AQ322="2",BI322,0)</f>
        <v>0</v>
      </c>
      <c r="AH322" s="54">
        <f>IF(AQ322="0",BJ322,0)</f>
        <v>0</v>
      </c>
      <c r="AI322" s="34" t="s">
        <v>103</v>
      </c>
      <c r="AJ322" s="54">
        <f>IF(AN322=0,I322,0)</f>
        <v>0</v>
      </c>
      <c r="AK322" s="54">
        <f>IF(AN322=12,I322,0)</f>
        <v>0</v>
      </c>
      <c r="AL322" s="54">
        <f>IF(AN322=21,I322,0)</f>
        <v>0</v>
      </c>
      <c r="AN322" s="54">
        <v>21</v>
      </c>
      <c r="AO322" s="54">
        <f>H322*0</f>
        <v>0</v>
      </c>
      <c r="AP322" s="54">
        <f>H322*(1-0)</f>
        <v>0</v>
      </c>
      <c r="AQ322" s="56" t="s">
        <v>168</v>
      </c>
      <c r="AV322" s="54">
        <f>AW322+AX322</f>
        <v>0</v>
      </c>
      <c r="AW322" s="54">
        <f>G322*AO322</f>
        <v>0</v>
      </c>
      <c r="AX322" s="54">
        <f>G322*AP322</f>
        <v>0</v>
      </c>
      <c r="AY322" s="56" t="s">
        <v>722</v>
      </c>
      <c r="AZ322" s="56" t="s">
        <v>418</v>
      </c>
      <c r="BA322" s="34" t="s">
        <v>114</v>
      </c>
      <c r="BC322" s="54">
        <f>AW322+AX322</f>
        <v>0</v>
      </c>
      <c r="BD322" s="54">
        <f>H322/(100-BE322)*100</f>
        <v>0</v>
      </c>
      <c r="BE322" s="54">
        <v>0</v>
      </c>
      <c r="BF322" s="54">
        <f>L322</f>
        <v>5.6639999999999996E-2</v>
      </c>
      <c r="BH322" s="54">
        <f>G322*AO322</f>
        <v>0</v>
      </c>
      <c r="BI322" s="54">
        <f>G322*AP322</f>
        <v>0</v>
      </c>
      <c r="BJ322" s="54">
        <f>G322*H322</f>
        <v>0</v>
      </c>
      <c r="BK322" s="54"/>
      <c r="BL322" s="54">
        <v>728</v>
      </c>
      <c r="BW322" s="54">
        <v>21</v>
      </c>
      <c r="BX322" s="3" t="s">
        <v>762</v>
      </c>
    </row>
    <row r="323" spans="1:76" ht="14.5" x14ac:dyDescent="0.35">
      <c r="A323" s="57"/>
      <c r="D323" s="58" t="s">
        <v>764</v>
      </c>
      <c r="E323" s="59" t="s">
        <v>765</v>
      </c>
      <c r="G323" s="60">
        <v>9.6</v>
      </c>
      <c r="M323" s="61"/>
    </row>
    <row r="324" spans="1:76" ht="14.5" x14ac:dyDescent="0.35">
      <c r="A324" s="1" t="s">
        <v>766</v>
      </c>
      <c r="B324" s="2" t="s">
        <v>103</v>
      </c>
      <c r="C324" s="2" t="s">
        <v>767</v>
      </c>
      <c r="D324" s="155" t="s">
        <v>768</v>
      </c>
      <c r="E324" s="153"/>
      <c r="F324" s="2" t="s">
        <v>412</v>
      </c>
      <c r="G324" s="54">
        <v>0.17599999999999999</v>
      </c>
      <c r="H324" s="84">
        <v>0</v>
      </c>
      <c r="I324" s="54">
        <f>G324*H324</f>
        <v>0</v>
      </c>
      <c r="J324" s="54">
        <v>0</v>
      </c>
      <c r="K324" s="54">
        <v>0</v>
      </c>
      <c r="L324" s="54">
        <f>G324*J324</f>
        <v>0</v>
      </c>
      <c r="M324" s="55" t="s">
        <v>111</v>
      </c>
      <c r="Z324" s="54">
        <f>IF(AQ324="5",BJ324,0)</f>
        <v>0</v>
      </c>
      <c r="AB324" s="54">
        <f>IF(AQ324="1",BH324,0)</f>
        <v>0</v>
      </c>
      <c r="AC324" s="54">
        <f>IF(AQ324="1",BI324,0)</f>
        <v>0</v>
      </c>
      <c r="AD324" s="54">
        <f>IF(AQ324="7",BH324,0)</f>
        <v>0</v>
      </c>
      <c r="AE324" s="54">
        <f>IF(AQ324="7",BI324,0)</f>
        <v>0</v>
      </c>
      <c r="AF324" s="54">
        <f>IF(AQ324="2",BH324,0)</f>
        <v>0</v>
      </c>
      <c r="AG324" s="54">
        <f>IF(AQ324="2",BI324,0)</f>
        <v>0</v>
      </c>
      <c r="AH324" s="54">
        <f>IF(AQ324="0",BJ324,0)</f>
        <v>0</v>
      </c>
      <c r="AI324" s="34" t="s">
        <v>103</v>
      </c>
      <c r="AJ324" s="54">
        <f>IF(AN324=0,I324,0)</f>
        <v>0</v>
      </c>
      <c r="AK324" s="54">
        <f>IF(AN324=12,I324,0)</f>
        <v>0</v>
      </c>
      <c r="AL324" s="54">
        <f>IF(AN324=21,I324,0)</f>
        <v>0</v>
      </c>
      <c r="AN324" s="54">
        <v>21</v>
      </c>
      <c r="AO324" s="54">
        <f>H324*0</f>
        <v>0</v>
      </c>
      <c r="AP324" s="54">
        <f>H324*(1-0)</f>
        <v>0</v>
      </c>
      <c r="AQ324" s="56" t="s">
        <v>150</v>
      </c>
      <c r="AV324" s="54">
        <f>AW324+AX324</f>
        <v>0</v>
      </c>
      <c r="AW324" s="54">
        <f>G324*AO324</f>
        <v>0</v>
      </c>
      <c r="AX324" s="54">
        <f>G324*AP324</f>
        <v>0</v>
      </c>
      <c r="AY324" s="56" t="s">
        <v>722</v>
      </c>
      <c r="AZ324" s="56" t="s">
        <v>418</v>
      </c>
      <c r="BA324" s="34" t="s">
        <v>114</v>
      </c>
      <c r="BC324" s="54">
        <f>AW324+AX324</f>
        <v>0</v>
      </c>
      <c r="BD324" s="54">
        <f>H324/(100-BE324)*100</f>
        <v>0</v>
      </c>
      <c r="BE324" s="54">
        <v>0</v>
      </c>
      <c r="BF324" s="54">
        <f>L324</f>
        <v>0</v>
      </c>
      <c r="BH324" s="54">
        <f>G324*AO324</f>
        <v>0</v>
      </c>
      <c r="BI324" s="54">
        <f>G324*AP324</f>
        <v>0</v>
      </c>
      <c r="BJ324" s="54">
        <f>G324*H324</f>
        <v>0</v>
      </c>
      <c r="BK324" s="54"/>
      <c r="BL324" s="54">
        <v>728</v>
      </c>
      <c r="BW324" s="54">
        <v>21</v>
      </c>
      <c r="BX324" s="3" t="s">
        <v>768</v>
      </c>
    </row>
    <row r="325" spans="1:76" ht="14.5" x14ac:dyDescent="0.35">
      <c r="A325" s="50" t="s">
        <v>10</v>
      </c>
      <c r="B325" s="51" t="s">
        <v>103</v>
      </c>
      <c r="C325" s="51" t="s">
        <v>769</v>
      </c>
      <c r="D325" s="206" t="s">
        <v>770</v>
      </c>
      <c r="E325" s="207"/>
      <c r="F325" s="52" t="s">
        <v>84</v>
      </c>
      <c r="G325" s="52" t="s">
        <v>84</v>
      </c>
      <c r="H325" s="83" t="s">
        <v>84</v>
      </c>
      <c r="I325" s="27">
        <f>SUM(I326:I373)</f>
        <v>0</v>
      </c>
      <c r="J325" s="34" t="s">
        <v>10</v>
      </c>
      <c r="K325" s="34" t="s">
        <v>10</v>
      </c>
      <c r="L325" s="27">
        <f>SUM(L326:L373)</f>
        <v>7.0594999999999999</v>
      </c>
      <c r="M325" s="53" t="s">
        <v>10</v>
      </c>
      <c r="AI325" s="34" t="s">
        <v>103</v>
      </c>
      <c r="AS325" s="27">
        <f>SUM(AJ326:AJ373)</f>
        <v>0</v>
      </c>
      <c r="AT325" s="27">
        <f>SUM(AK326:AK373)</f>
        <v>0</v>
      </c>
      <c r="AU325" s="27">
        <f>SUM(AL326:AL373)</f>
        <v>0</v>
      </c>
    </row>
    <row r="326" spans="1:76" ht="14.5" x14ac:dyDescent="0.35">
      <c r="A326" s="1" t="s">
        <v>771</v>
      </c>
      <c r="B326" s="2" t="s">
        <v>103</v>
      </c>
      <c r="C326" s="2" t="s">
        <v>772</v>
      </c>
      <c r="D326" s="155" t="s">
        <v>773</v>
      </c>
      <c r="E326" s="153"/>
      <c r="F326" s="2" t="s">
        <v>196</v>
      </c>
      <c r="G326" s="54">
        <v>120</v>
      </c>
      <c r="H326" s="84">
        <v>0</v>
      </c>
      <c r="I326" s="54">
        <f>G326*H326</f>
        <v>0</v>
      </c>
      <c r="J326" s="54">
        <v>6.9999999999999994E-5</v>
      </c>
      <c r="K326" s="54">
        <v>0</v>
      </c>
      <c r="L326" s="54">
        <f>G326*J326</f>
        <v>8.3999999999999995E-3</v>
      </c>
      <c r="M326" s="55" t="s">
        <v>111</v>
      </c>
      <c r="Z326" s="54">
        <f>IF(AQ326="5",BJ326,0)</f>
        <v>0</v>
      </c>
      <c r="AB326" s="54">
        <f>IF(AQ326="1",BH326,0)</f>
        <v>0</v>
      </c>
      <c r="AC326" s="54">
        <f>IF(AQ326="1",BI326,0)</f>
        <v>0</v>
      </c>
      <c r="AD326" s="54">
        <f>IF(AQ326="7",BH326,0)</f>
        <v>0</v>
      </c>
      <c r="AE326" s="54">
        <f>IF(AQ326="7",BI326,0)</f>
        <v>0</v>
      </c>
      <c r="AF326" s="54">
        <f>IF(AQ326="2",BH326,0)</f>
        <v>0</v>
      </c>
      <c r="AG326" s="54">
        <f>IF(AQ326="2",BI326,0)</f>
        <v>0</v>
      </c>
      <c r="AH326" s="54">
        <f>IF(AQ326="0",BJ326,0)</f>
        <v>0</v>
      </c>
      <c r="AI326" s="34" t="s">
        <v>103</v>
      </c>
      <c r="AJ326" s="54">
        <f>IF(AN326=0,I326,0)</f>
        <v>0</v>
      </c>
      <c r="AK326" s="54">
        <f>IF(AN326=12,I326,0)</f>
        <v>0</v>
      </c>
      <c r="AL326" s="54">
        <f>IF(AN326=21,I326,0)</f>
        <v>0</v>
      </c>
      <c r="AN326" s="54">
        <v>21</v>
      </c>
      <c r="AO326" s="54">
        <f>H326*0.125356125</f>
        <v>0</v>
      </c>
      <c r="AP326" s="54">
        <f>H326*(1-0.125356125)</f>
        <v>0</v>
      </c>
      <c r="AQ326" s="56" t="s">
        <v>168</v>
      </c>
      <c r="AV326" s="54">
        <f>AW326+AX326</f>
        <v>0</v>
      </c>
      <c r="AW326" s="54">
        <f>G326*AO326</f>
        <v>0</v>
      </c>
      <c r="AX326" s="54">
        <f>G326*AP326</f>
        <v>0</v>
      </c>
      <c r="AY326" s="56" t="s">
        <v>774</v>
      </c>
      <c r="AZ326" s="56" t="s">
        <v>775</v>
      </c>
      <c r="BA326" s="34" t="s">
        <v>114</v>
      </c>
      <c r="BC326" s="54">
        <f>AW326+AX326</f>
        <v>0</v>
      </c>
      <c r="BD326" s="54">
        <f>H326/(100-BE326)*100</f>
        <v>0</v>
      </c>
      <c r="BE326" s="54">
        <v>0</v>
      </c>
      <c r="BF326" s="54">
        <f>L326</f>
        <v>8.3999999999999995E-3</v>
      </c>
      <c r="BH326" s="54">
        <f>G326*AO326</f>
        <v>0</v>
      </c>
      <c r="BI326" s="54">
        <f>G326*AP326</f>
        <v>0</v>
      </c>
      <c r="BJ326" s="54">
        <f>G326*H326</f>
        <v>0</v>
      </c>
      <c r="BK326" s="54"/>
      <c r="BL326" s="54">
        <v>735</v>
      </c>
      <c r="BW326" s="54">
        <v>21</v>
      </c>
      <c r="BX326" s="3" t="s">
        <v>773</v>
      </c>
    </row>
    <row r="327" spans="1:76" ht="14.5" x14ac:dyDescent="0.35">
      <c r="A327" s="57"/>
      <c r="D327" s="58" t="s">
        <v>208</v>
      </c>
      <c r="E327" s="59" t="s">
        <v>776</v>
      </c>
      <c r="G327" s="60">
        <v>0</v>
      </c>
      <c r="M327" s="61"/>
    </row>
    <row r="328" spans="1:76" ht="14.5" x14ac:dyDescent="0.35">
      <c r="A328" s="57"/>
      <c r="D328" s="58" t="s">
        <v>777</v>
      </c>
      <c r="E328" s="59" t="s">
        <v>778</v>
      </c>
      <c r="G328" s="60">
        <v>88</v>
      </c>
      <c r="M328" s="61"/>
    </row>
    <row r="329" spans="1:76" ht="14.5" x14ac:dyDescent="0.35">
      <c r="A329" s="57"/>
      <c r="D329" s="58" t="s">
        <v>779</v>
      </c>
      <c r="E329" s="59" t="s">
        <v>780</v>
      </c>
      <c r="G329" s="60">
        <v>8</v>
      </c>
      <c r="M329" s="61"/>
    </row>
    <row r="330" spans="1:76" ht="14.5" x14ac:dyDescent="0.35">
      <c r="A330" s="57"/>
      <c r="D330" s="58" t="s">
        <v>781</v>
      </c>
      <c r="E330" s="59" t="s">
        <v>782</v>
      </c>
      <c r="G330" s="60">
        <v>16</v>
      </c>
      <c r="M330" s="61"/>
    </row>
    <row r="331" spans="1:76" ht="14.5" x14ac:dyDescent="0.35">
      <c r="A331" s="57"/>
      <c r="D331" s="58" t="s">
        <v>779</v>
      </c>
      <c r="E331" s="59" t="s">
        <v>783</v>
      </c>
      <c r="G331" s="60">
        <v>8</v>
      </c>
      <c r="M331" s="61"/>
    </row>
    <row r="332" spans="1:76" ht="14.5" x14ac:dyDescent="0.35">
      <c r="A332" s="1" t="s">
        <v>784</v>
      </c>
      <c r="B332" s="2" t="s">
        <v>103</v>
      </c>
      <c r="C332" s="2" t="s">
        <v>785</v>
      </c>
      <c r="D332" s="155" t="s">
        <v>786</v>
      </c>
      <c r="E332" s="153"/>
      <c r="F332" s="2" t="s">
        <v>196</v>
      </c>
      <c r="G332" s="54">
        <v>379</v>
      </c>
      <c r="H332" s="84">
        <v>0</v>
      </c>
      <c r="I332" s="54">
        <f>G332*H332</f>
        <v>0</v>
      </c>
      <c r="J332" s="54">
        <v>5.5999999999999999E-3</v>
      </c>
      <c r="K332" s="54">
        <v>0</v>
      </c>
      <c r="L332" s="54">
        <f>G332*J332</f>
        <v>2.1223999999999998</v>
      </c>
      <c r="M332" s="55" t="s">
        <v>616</v>
      </c>
      <c r="Z332" s="54">
        <f>IF(AQ332="5",BJ332,0)</f>
        <v>0</v>
      </c>
      <c r="AB332" s="54">
        <f>IF(AQ332="1",BH332,0)</f>
        <v>0</v>
      </c>
      <c r="AC332" s="54">
        <f>IF(AQ332="1",BI332,0)</f>
        <v>0</v>
      </c>
      <c r="AD332" s="54">
        <f>IF(AQ332="7",BH332,0)</f>
        <v>0</v>
      </c>
      <c r="AE332" s="54">
        <f>IF(AQ332="7",BI332,0)</f>
        <v>0</v>
      </c>
      <c r="AF332" s="54">
        <f>IF(AQ332="2",BH332,0)</f>
        <v>0</v>
      </c>
      <c r="AG332" s="54">
        <f>IF(AQ332="2",BI332,0)</f>
        <v>0</v>
      </c>
      <c r="AH332" s="54">
        <f>IF(AQ332="0",BJ332,0)</f>
        <v>0</v>
      </c>
      <c r="AI332" s="34" t="s">
        <v>103</v>
      </c>
      <c r="AJ332" s="54">
        <f>IF(AN332=0,I332,0)</f>
        <v>0</v>
      </c>
      <c r="AK332" s="54">
        <f>IF(AN332=12,I332,0)</f>
        <v>0</v>
      </c>
      <c r="AL332" s="54">
        <f>IF(AN332=21,I332,0)</f>
        <v>0</v>
      </c>
      <c r="AN332" s="54">
        <v>21</v>
      </c>
      <c r="AO332" s="54">
        <f>H332*0.125356125</f>
        <v>0</v>
      </c>
      <c r="AP332" s="54">
        <f>H332*(1-0.125356125)</f>
        <v>0</v>
      </c>
      <c r="AQ332" s="56" t="s">
        <v>168</v>
      </c>
      <c r="AV332" s="54">
        <f>AW332+AX332</f>
        <v>0</v>
      </c>
      <c r="AW332" s="54">
        <f>G332*AO332</f>
        <v>0</v>
      </c>
      <c r="AX332" s="54">
        <f>G332*AP332</f>
        <v>0</v>
      </c>
      <c r="AY332" s="56" t="s">
        <v>774</v>
      </c>
      <c r="AZ332" s="56" t="s">
        <v>775</v>
      </c>
      <c r="BA332" s="34" t="s">
        <v>114</v>
      </c>
      <c r="BC332" s="54">
        <f>AW332+AX332</f>
        <v>0</v>
      </c>
      <c r="BD332" s="54">
        <f>H332/(100-BE332)*100</f>
        <v>0</v>
      </c>
      <c r="BE332" s="54">
        <v>0</v>
      </c>
      <c r="BF332" s="54">
        <f>L332</f>
        <v>2.1223999999999998</v>
      </c>
      <c r="BH332" s="54">
        <f>G332*AO332</f>
        <v>0</v>
      </c>
      <c r="BI332" s="54">
        <f>G332*AP332</f>
        <v>0</v>
      </c>
      <c r="BJ332" s="54">
        <f>G332*H332</f>
        <v>0</v>
      </c>
      <c r="BK332" s="54"/>
      <c r="BL332" s="54">
        <v>735</v>
      </c>
      <c r="BW332" s="54">
        <v>21</v>
      </c>
      <c r="BX332" s="3" t="s">
        <v>786</v>
      </c>
    </row>
    <row r="333" spans="1:76" ht="14.5" x14ac:dyDescent="0.35">
      <c r="A333" s="57"/>
      <c r="D333" s="58" t="s">
        <v>208</v>
      </c>
      <c r="E333" s="59" t="s">
        <v>776</v>
      </c>
      <c r="G333" s="60">
        <v>0</v>
      </c>
      <c r="M333" s="61"/>
    </row>
    <row r="334" spans="1:76" ht="14.5" x14ac:dyDescent="0.35">
      <c r="A334" s="57"/>
      <c r="D334" s="58" t="s">
        <v>787</v>
      </c>
      <c r="E334" s="59" t="s">
        <v>788</v>
      </c>
      <c r="G334" s="60">
        <v>253</v>
      </c>
      <c r="M334" s="61"/>
    </row>
    <row r="335" spans="1:76" ht="14.5" x14ac:dyDescent="0.35">
      <c r="A335" s="57"/>
      <c r="D335" s="58" t="s">
        <v>789</v>
      </c>
      <c r="E335" s="59" t="s">
        <v>790</v>
      </c>
      <c r="G335" s="60">
        <v>23</v>
      </c>
      <c r="M335" s="61"/>
    </row>
    <row r="336" spans="1:76" ht="14.5" x14ac:dyDescent="0.35">
      <c r="A336" s="57"/>
      <c r="D336" s="58" t="s">
        <v>791</v>
      </c>
      <c r="E336" s="59" t="s">
        <v>792</v>
      </c>
      <c r="G336" s="60">
        <v>84</v>
      </c>
      <c r="M336" s="61"/>
    </row>
    <row r="337" spans="1:76" ht="14.5" x14ac:dyDescent="0.35">
      <c r="A337" s="57"/>
      <c r="D337" s="58" t="s">
        <v>793</v>
      </c>
      <c r="E337" s="59" t="s">
        <v>794</v>
      </c>
      <c r="G337" s="60">
        <v>19</v>
      </c>
      <c r="M337" s="61"/>
    </row>
    <row r="338" spans="1:76" ht="14.5" x14ac:dyDescent="0.35">
      <c r="A338" s="1" t="s">
        <v>795</v>
      </c>
      <c r="B338" s="2" t="s">
        <v>103</v>
      </c>
      <c r="C338" s="2" t="s">
        <v>796</v>
      </c>
      <c r="D338" s="155" t="s">
        <v>797</v>
      </c>
      <c r="E338" s="153"/>
      <c r="F338" s="2" t="s">
        <v>196</v>
      </c>
      <c r="G338" s="54">
        <v>30</v>
      </c>
      <c r="H338" s="84">
        <v>0</v>
      </c>
      <c r="I338" s="54">
        <f>G338*H338</f>
        <v>0</v>
      </c>
      <c r="J338" s="54">
        <v>6.0000000000000002E-5</v>
      </c>
      <c r="K338" s="54">
        <v>0</v>
      </c>
      <c r="L338" s="54">
        <f>G338*J338</f>
        <v>1.8E-3</v>
      </c>
      <c r="M338" s="55" t="s">
        <v>111</v>
      </c>
      <c r="Z338" s="54">
        <f>IF(AQ338="5",BJ338,0)</f>
        <v>0</v>
      </c>
      <c r="AB338" s="54">
        <f>IF(AQ338="1",BH338,0)</f>
        <v>0</v>
      </c>
      <c r="AC338" s="54">
        <f>IF(AQ338="1",BI338,0)</f>
        <v>0</v>
      </c>
      <c r="AD338" s="54">
        <f>IF(AQ338="7",BH338,0)</f>
        <v>0</v>
      </c>
      <c r="AE338" s="54">
        <f>IF(AQ338="7",BI338,0)</f>
        <v>0</v>
      </c>
      <c r="AF338" s="54">
        <f>IF(AQ338="2",BH338,0)</f>
        <v>0</v>
      </c>
      <c r="AG338" s="54">
        <f>IF(AQ338="2",BI338,0)</f>
        <v>0</v>
      </c>
      <c r="AH338" s="54">
        <f>IF(AQ338="0",BJ338,0)</f>
        <v>0</v>
      </c>
      <c r="AI338" s="34" t="s">
        <v>103</v>
      </c>
      <c r="AJ338" s="54">
        <f>IF(AN338=0,I338,0)</f>
        <v>0</v>
      </c>
      <c r="AK338" s="54">
        <f>IF(AN338=12,I338,0)</f>
        <v>0</v>
      </c>
      <c r="AL338" s="54">
        <f>IF(AN338=21,I338,0)</f>
        <v>0</v>
      </c>
      <c r="AN338" s="54">
        <v>21</v>
      </c>
      <c r="AO338" s="54">
        <f>H338*0.140649351</f>
        <v>0</v>
      </c>
      <c r="AP338" s="54">
        <f>H338*(1-0.140649351)</f>
        <v>0</v>
      </c>
      <c r="AQ338" s="56" t="s">
        <v>168</v>
      </c>
      <c r="AV338" s="54">
        <f>AW338+AX338</f>
        <v>0</v>
      </c>
      <c r="AW338" s="54">
        <f>G338*AO338</f>
        <v>0</v>
      </c>
      <c r="AX338" s="54">
        <f>G338*AP338</f>
        <v>0</v>
      </c>
      <c r="AY338" s="56" t="s">
        <v>774</v>
      </c>
      <c r="AZ338" s="56" t="s">
        <v>775</v>
      </c>
      <c r="BA338" s="34" t="s">
        <v>114</v>
      </c>
      <c r="BC338" s="54">
        <f>AW338+AX338</f>
        <v>0</v>
      </c>
      <c r="BD338" s="54">
        <f>H338/(100-BE338)*100</f>
        <v>0</v>
      </c>
      <c r="BE338" s="54">
        <v>0</v>
      </c>
      <c r="BF338" s="54">
        <f>L338</f>
        <v>1.8E-3</v>
      </c>
      <c r="BH338" s="54">
        <f>G338*AO338</f>
        <v>0</v>
      </c>
      <c r="BI338" s="54">
        <f>G338*AP338</f>
        <v>0</v>
      </c>
      <c r="BJ338" s="54">
        <f>G338*H338</f>
        <v>0</v>
      </c>
      <c r="BK338" s="54"/>
      <c r="BL338" s="54">
        <v>735</v>
      </c>
      <c r="BW338" s="54">
        <v>21</v>
      </c>
      <c r="BX338" s="3" t="s">
        <v>797</v>
      </c>
    </row>
    <row r="339" spans="1:76" ht="14.5" x14ac:dyDescent="0.35">
      <c r="A339" s="57"/>
      <c r="D339" s="58" t="s">
        <v>208</v>
      </c>
      <c r="E339" s="59" t="s">
        <v>776</v>
      </c>
      <c r="G339" s="60">
        <v>0</v>
      </c>
      <c r="M339" s="61"/>
    </row>
    <row r="340" spans="1:76" ht="14.5" x14ac:dyDescent="0.35">
      <c r="A340" s="57"/>
      <c r="D340" s="58" t="s">
        <v>798</v>
      </c>
      <c r="E340" s="59" t="s">
        <v>799</v>
      </c>
      <c r="G340" s="60">
        <v>22</v>
      </c>
      <c r="M340" s="61"/>
    </row>
    <row r="341" spans="1:76" ht="14.5" x14ac:dyDescent="0.35">
      <c r="A341" s="57"/>
      <c r="D341" s="58" t="s">
        <v>572</v>
      </c>
      <c r="E341" s="59" t="s">
        <v>800</v>
      </c>
      <c r="G341" s="60">
        <v>2</v>
      </c>
      <c r="M341" s="61"/>
    </row>
    <row r="342" spans="1:76" ht="14.5" x14ac:dyDescent="0.35">
      <c r="A342" s="57"/>
      <c r="D342" s="58" t="s">
        <v>801</v>
      </c>
      <c r="E342" s="59" t="s">
        <v>802</v>
      </c>
      <c r="G342" s="60">
        <v>4</v>
      </c>
      <c r="M342" s="61"/>
    </row>
    <row r="343" spans="1:76" ht="14.5" x14ac:dyDescent="0.35">
      <c r="A343" s="57"/>
      <c r="D343" s="58" t="s">
        <v>572</v>
      </c>
      <c r="E343" s="59" t="s">
        <v>803</v>
      </c>
      <c r="G343" s="60">
        <v>2</v>
      </c>
      <c r="M343" s="61"/>
    </row>
    <row r="344" spans="1:76" ht="14.5" x14ac:dyDescent="0.35">
      <c r="A344" s="1" t="s">
        <v>804</v>
      </c>
      <c r="B344" s="2" t="s">
        <v>103</v>
      </c>
      <c r="C344" s="2" t="s">
        <v>805</v>
      </c>
      <c r="D344" s="155" t="s">
        <v>806</v>
      </c>
      <c r="E344" s="153"/>
      <c r="F344" s="2" t="s">
        <v>196</v>
      </c>
      <c r="G344" s="54">
        <v>30</v>
      </c>
      <c r="H344" s="84">
        <v>0</v>
      </c>
      <c r="I344" s="54">
        <f>G344*H344</f>
        <v>0</v>
      </c>
      <c r="J344" s="54">
        <v>1.0000000000000001E-5</v>
      </c>
      <c r="K344" s="54">
        <v>0</v>
      </c>
      <c r="L344" s="54">
        <f>G344*J344</f>
        <v>3.0000000000000003E-4</v>
      </c>
      <c r="M344" s="55" t="s">
        <v>111</v>
      </c>
      <c r="Z344" s="54">
        <f>IF(AQ344="5",BJ344,0)</f>
        <v>0</v>
      </c>
      <c r="AB344" s="54">
        <f>IF(AQ344="1",BH344,0)</f>
        <v>0</v>
      </c>
      <c r="AC344" s="54">
        <f>IF(AQ344="1",BI344,0)</f>
        <v>0</v>
      </c>
      <c r="AD344" s="54">
        <f>IF(AQ344="7",BH344,0)</f>
        <v>0</v>
      </c>
      <c r="AE344" s="54">
        <f>IF(AQ344="7",BI344,0)</f>
        <v>0</v>
      </c>
      <c r="AF344" s="54">
        <f>IF(AQ344="2",BH344,0)</f>
        <v>0</v>
      </c>
      <c r="AG344" s="54">
        <f>IF(AQ344="2",BI344,0)</f>
        <v>0</v>
      </c>
      <c r="AH344" s="54">
        <f>IF(AQ344="0",BJ344,0)</f>
        <v>0</v>
      </c>
      <c r="AI344" s="34" t="s">
        <v>103</v>
      </c>
      <c r="AJ344" s="54">
        <f>IF(AN344=0,I344,0)</f>
        <v>0</v>
      </c>
      <c r="AK344" s="54">
        <f>IF(AN344=12,I344,0)</f>
        <v>0</v>
      </c>
      <c r="AL344" s="54">
        <f>IF(AN344=21,I344,0)</f>
        <v>0</v>
      </c>
      <c r="AN344" s="54">
        <v>21</v>
      </c>
      <c r="AO344" s="54">
        <f>H344*0.159320594</f>
        <v>0</v>
      </c>
      <c r="AP344" s="54">
        <f>H344*(1-0.159320594)</f>
        <v>0</v>
      </c>
      <c r="AQ344" s="56" t="s">
        <v>168</v>
      </c>
      <c r="AV344" s="54">
        <f>AW344+AX344</f>
        <v>0</v>
      </c>
      <c r="AW344" s="54">
        <f>G344*AO344</f>
        <v>0</v>
      </c>
      <c r="AX344" s="54">
        <f>G344*AP344</f>
        <v>0</v>
      </c>
      <c r="AY344" s="56" t="s">
        <v>774</v>
      </c>
      <c r="AZ344" s="56" t="s">
        <v>775</v>
      </c>
      <c r="BA344" s="34" t="s">
        <v>114</v>
      </c>
      <c r="BC344" s="54">
        <f>AW344+AX344</f>
        <v>0</v>
      </c>
      <c r="BD344" s="54">
        <f>H344/(100-BE344)*100</f>
        <v>0</v>
      </c>
      <c r="BE344" s="54">
        <v>0</v>
      </c>
      <c r="BF344" s="54">
        <f>L344</f>
        <v>3.0000000000000003E-4</v>
      </c>
      <c r="BH344" s="54">
        <f>G344*AO344</f>
        <v>0</v>
      </c>
      <c r="BI344" s="54">
        <f>G344*AP344</f>
        <v>0</v>
      </c>
      <c r="BJ344" s="54">
        <f>G344*H344</f>
        <v>0</v>
      </c>
      <c r="BK344" s="54"/>
      <c r="BL344" s="54">
        <v>735</v>
      </c>
      <c r="BW344" s="54">
        <v>21</v>
      </c>
      <c r="BX344" s="3" t="s">
        <v>806</v>
      </c>
    </row>
    <row r="345" spans="1:76" ht="14.5" x14ac:dyDescent="0.35">
      <c r="A345" s="57"/>
      <c r="D345" s="58" t="s">
        <v>807</v>
      </c>
      <c r="E345" s="59" t="s">
        <v>10</v>
      </c>
      <c r="G345" s="60">
        <v>30</v>
      </c>
      <c r="M345" s="61"/>
    </row>
    <row r="346" spans="1:76" ht="14.5" x14ac:dyDescent="0.35">
      <c r="A346" s="1" t="s">
        <v>808</v>
      </c>
      <c r="B346" s="2" t="s">
        <v>103</v>
      </c>
      <c r="C346" s="2" t="s">
        <v>809</v>
      </c>
      <c r="D346" s="155" t="s">
        <v>810</v>
      </c>
      <c r="E346" s="153"/>
      <c r="F346" s="2" t="s">
        <v>110</v>
      </c>
      <c r="G346" s="54">
        <v>15.45</v>
      </c>
      <c r="H346" s="84">
        <v>0</v>
      </c>
      <c r="I346" s="54">
        <f>G346*H346</f>
        <v>0</v>
      </c>
      <c r="J346" s="54">
        <v>0.16</v>
      </c>
      <c r="K346" s="54">
        <v>0.16</v>
      </c>
      <c r="L346" s="54">
        <f>G346*J346</f>
        <v>2.472</v>
      </c>
      <c r="M346" s="55" t="s">
        <v>111</v>
      </c>
      <c r="Z346" s="54">
        <f>IF(AQ346="5",BJ346,0)</f>
        <v>0</v>
      </c>
      <c r="AB346" s="54">
        <f>IF(AQ346="1",BH346,0)</f>
        <v>0</v>
      </c>
      <c r="AC346" s="54">
        <f>IF(AQ346="1",BI346,0)</f>
        <v>0</v>
      </c>
      <c r="AD346" s="54">
        <f>IF(AQ346="7",BH346,0)</f>
        <v>0</v>
      </c>
      <c r="AE346" s="54">
        <f>IF(AQ346="7",BI346,0)</f>
        <v>0</v>
      </c>
      <c r="AF346" s="54">
        <f>IF(AQ346="2",BH346,0)</f>
        <v>0</v>
      </c>
      <c r="AG346" s="54">
        <f>IF(AQ346="2",BI346,0)</f>
        <v>0</v>
      </c>
      <c r="AH346" s="54">
        <f>IF(AQ346="0",BJ346,0)</f>
        <v>0</v>
      </c>
      <c r="AI346" s="34" t="s">
        <v>103</v>
      </c>
      <c r="AJ346" s="54">
        <f>IF(AN346=0,I346,0)</f>
        <v>0</v>
      </c>
      <c r="AK346" s="54">
        <f>IF(AN346=12,I346,0)</f>
        <v>0</v>
      </c>
      <c r="AL346" s="54">
        <f>IF(AN346=21,I346,0)</f>
        <v>0</v>
      </c>
      <c r="AN346" s="54">
        <v>21</v>
      </c>
      <c r="AO346" s="54">
        <f>H346*0</f>
        <v>0</v>
      </c>
      <c r="AP346" s="54">
        <f>H346*(1-0)</f>
        <v>0</v>
      </c>
      <c r="AQ346" s="56" t="s">
        <v>168</v>
      </c>
      <c r="AV346" s="54">
        <f>AW346+AX346</f>
        <v>0</v>
      </c>
      <c r="AW346" s="54">
        <f>G346*AO346</f>
        <v>0</v>
      </c>
      <c r="AX346" s="54">
        <f>G346*AP346</f>
        <v>0</v>
      </c>
      <c r="AY346" s="56" t="s">
        <v>774</v>
      </c>
      <c r="AZ346" s="56" t="s">
        <v>775</v>
      </c>
      <c r="BA346" s="34" t="s">
        <v>114</v>
      </c>
      <c r="BC346" s="54">
        <f>AW346+AX346</f>
        <v>0</v>
      </c>
      <c r="BD346" s="54">
        <f>H346/(100-BE346)*100</f>
        <v>0</v>
      </c>
      <c r="BE346" s="54">
        <v>0</v>
      </c>
      <c r="BF346" s="54">
        <f>L346</f>
        <v>2.472</v>
      </c>
      <c r="BH346" s="54">
        <f>G346*AO346</f>
        <v>0</v>
      </c>
      <c r="BI346" s="54">
        <f>G346*AP346</f>
        <v>0</v>
      </c>
      <c r="BJ346" s="54">
        <f>G346*H346</f>
        <v>0</v>
      </c>
      <c r="BK346" s="54"/>
      <c r="BL346" s="54">
        <v>735</v>
      </c>
      <c r="BW346" s="54">
        <v>21</v>
      </c>
      <c r="BX346" s="3" t="s">
        <v>810</v>
      </c>
    </row>
    <row r="347" spans="1:76" ht="14.5" x14ac:dyDescent="0.35">
      <c r="A347" s="57"/>
      <c r="D347" s="58" t="s">
        <v>208</v>
      </c>
      <c r="E347" s="59" t="s">
        <v>776</v>
      </c>
      <c r="G347" s="60">
        <v>0</v>
      </c>
      <c r="M347" s="61"/>
    </row>
    <row r="348" spans="1:76" ht="14.5" x14ac:dyDescent="0.35">
      <c r="A348" s="57"/>
      <c r="D348" s="58" t="s">
        <v>812</v>
      </c>
      <c r="E348" s="59" t="s">
        <v>813</v>
      </c>
      <c r="G348" s="60">
        <v>10.56</v>
      </c>
      <c r="M348" s="61"/>
    </row>
    <row r="349" spans="1:76" ht="14.5" x14ac:dyDescent="0.35">
      <c r="A349" s="57"/>
      <c r="D349" s="58" t="s">
        <v>814</v>
      </c>
      <c r="E349" s="59" t="s">
        <v>815</v>
      </c>
      <c r="G349" s="60">
        <v>0.96</v>
      </c>
      <c r="M349" s="61"/>
    </row>
    <row r="350" spans="1:76" ht="14.5" x14ac:dyDescent="0.35">
      <c r="A350" s="57"/>
      <c r="D350" s="58" t="s">
        <v>816</v>
      </c>
      <c r="E350" s="59" t="s">
        <v>817</v>
      </c>
      <c r="G350" s="60">
        <v>3.24</v>
      </c>
      <c r="M350" s="61"/>
    </row>
    <row r="351" spans="1:76" ht="14.5" x14ac:dyDescent="0.35">
      <c r="A351" s="57"/>
      <c r="D351" s="58" t="s">
        <v>818</v>
      </c>
      <c r="E351" s="59" t="s">
        <v>819</v>
      </c>
      <c r="G351" s="60">
        <v>0.69</v>
      </c>
      <c r="M351" s="61"/>
    </row>
    <row r="352" spans="1:76" ht="14.5" x14ac:dyDescent="0.35">
      <c r="A352" s="1" t="s">
        <v>820</v>
      </c>
      <c r="B352" s="2" t="s">
        <v>103</v>
      </c>
      <c r="C352" s="2" t="s">
        <v>821</v>
      </c>
      <c r="D352" s="155" t="s">
        <v>822</v>
      </c>
      <c r="E352" s="153"/>
      <c r="F352" s="2" t="s">
        <v>110</v>
      </c>
      <c r="G352" s="54">
        <v>15.27</v>
      </c>
      <c r="H352" s="84">
        <v>0</v>
      </c>
      <c r="I352" s="54">
        <f>G352*H352</f>
        <v>0</v>
      </c>
      <c r="J352" s="54">
        <v>0</v>
      </c>
      <c r="K352" s="54">
        <v>0</v>
      </c>
      <c r="L352" s="54">
        <f>G352*J352</f>
        <v>0</v>
      </c>
      <c r="M352" s="55" t="s">
        <v>111</v>
      </c>
      <c r="Z352" s="54">
        <f>IF(AQ352="5",BJ352,0)</f>
        <v>0</v>
      </c>
      <c r="AB352" s="54">
        <f>IF(AQ352="1",BH352,0)</f>
        <v>0</v>
      </c>
      <c r="AC352" s="54">
        <f>IF(AQ352="1",BI352,0)</f>
        <v>0</v>
      </c>
      <c r="AD352" s="54">
        <f>IF(AQ352="7",BH352,0)</f>
        <v>0</v>
      </c>
      <c r="AE352" s="54">
        <f>IF(AQ352="7",BI352,0)</f>
        <v>0</v>
      </c>
      <c r="AF352" s="54">
        <f>IF(AQ352="2",BH352,0)</f>
        <v>0</v>
      </c>
      <c r="AG352" s="54">
        <f>IF(AQ352="2",BI352,0)</f>
        <v>0</v>
      </c>
      <c r="AH352" s="54">
        <f>IF(AQ352="0",BJ352,0)</f>
        <v>0</v>
      </c>
      <c r="AI352" s="34" t="s">
        <v>103</v>
      </c>
      <c r="AJ352" s="54">
        <f>IF(AN352=0,I352,0)</f>
        <v>0</v>
      </c>
      <c r="AK352" s="54">
        <f>IF(AN352=12,I352,0)</f>
        <v>0</v>
      </c>
      <c r="AL352" s="54">
        <f>IF(AN352=21,I352,0)</f>
        <v>0</v>
      </c>
      <c r="AN352" s="54">
        <v>21</v>
      </c>
      <c r="AO352" s="54">
        <f>H352*0</f>
        <v>0</v>
      </c>
      <c r="AP352" s="54">
        <f>H352*(1-0)</f>
        <v>0</v>
      </c>
      <c r="AQ352" s="56" t="s">
        <v>168</v>
      </c>
      <c r="AV352" s="54">
        <f>AW352+AX352</f>
        <v>0</v>
      </c>
      <c r="AW352" s="54">
        <f>G352*AO352</f>
        <v>0</v>
      </c>
      <c r="AX352" s="54">
        <f>G352*AP352</f>
        <v>0</v>
      </c>
      <c r="AY352" s="56" t="s">
        <v>774</v>
      </c>
      <c r="AZ352" s="56" t="s">
        <v>775</v>
      </c>
      <c r="BA352" s="34" t="s">
        <v>114</v>
      </c>
      <c r="BC352" s="54">
        <f>AW352+AX352</f>
        <v>0</v>
      </c>
      <c r="BD352" s="54">
        <f>H352/(100-BE352)*100</f>
        <v>0</v>
      </c>
      <c r="BE352" s="54">
        <v>0</v>
      </c>
      <c r="BF352" s="54">
        <f>L352</f>
        <v>0</v>
      </c>
      <c r="BH352" s="54">
        <f>G352*AO352</f>
        <v>0</v>
      </c>
      <c r="BI352" s="54">
        <f>G352*AP352</f>
        <v>0</v>
      </c>
      <c r="BJ352" s="54">
        <f>G352*H352</f>
        <v>0</v>
      </c>
      <c r="BK352" s="54"/>
      <c r="BL352" s="54">
        <v>735</v>
      </c>
      <c r="BW352" s="54">
        <v>21</v>
      </c>
      <c r="BX352" s="3" t="s">
        <v>822</v>
      </c>
    </row>
    <row r="353" spans="1:76" ht="14.5" x14ac:dyDescent="0.35">
      <c r="A353" s="57"/>
      <c r="D353" s="58" t="s">
        <v>208</v>
      </c>
      <c r="E353" s="59" t="s">
        <v>776</v>
      </c>
      <c r="G353" s="60">
        <v>0</v>
      </c>
      <c r="M353" s="61"/>
    </row>
    <row r="354" spans="1:76" ht="14.5" x14ac:dyDescent="0.35">
      <c r="A354" s="57"/>
      <c r="D354" s="58" t="s">
        <v>812</v>
      </c>
      <c r="E354" s="59" t="s">
        <v>813</v>
      </c>
      <c r="G354" s="60">
        <v>10.56</v>
      </c>
      <c r="M354" s="61"/>
    </row>
    <row r="355" spans="1:76" ht="14.5" x14ac:dyDescent="0.35">
      <c r="A355" s="57"/>
      <c r="D355" s="58" t="s">
        <v>814</v>
      </c>
      <c r="E355" s="59" t="s">
        <v>815</v>
      </c>
      <c r="G355" s="60">
        <v>0.96</v>
      </c>
      <c r="M355" s="61"/>
    </row>
    <row r="356" spans="1:76" ht="14.5" x14ac:dyDescent="0.35">
      <c r="A356" s="57"/>
      <c r="D356" s="58" t="s">
        <v>823</v>
      </c>
      <c r="E356" s="59" t="s">
        <v>824</v>
      </c>
      <c r="G356" s="60">
        <v>3.06</v>
      </c>
      <c r="M356" s="61"/>
    </row>
    <row r="357" spans="1:76" ht="14.5" x14ac:dyDescent="0.35">
      <c r="A357" s="57"/>
      <c r="D357" s="58" t="s">
        <v>818</v>
      </c>
      <c r="E357" s="59" t="s">
        <v>819</v>
      </c>
      <c r="G357" s="60">
        <v>0.69</v>
      </c>
      <c r="M357" s="61"/>
    </row>
    <row r="358" spans="1:76" ht="14.5" x14ac:dyDescent="0.35">
      <c r="A358" s="1" t="s">
        <v>825</v>
      </c>
      <c r="B358" s="2" t="s">
        <v>103</v>
      </c>
      <c r="C358" s="2" t="s">
        <v>826</v>
      </c>
      <c r="D358" s="155" t="s">
        <v>827</v>
      </c>
      <c r="E358" s="153"/>
      <c r="F358" s="2" t="s">
        <v>110</v>
      </c>
      <c r="G358" s="54">
        <v>15.27</v>
      </c>
      <c r="H358" s="84">
        <v>0</v>
      </c>
      <c r="I358" s="54">
        <f>G358*H358</f>
        <v>0</v>
      </c>
      <c r="J358" s="54">
        <v>0</v>
      </c>
      <c r="K358" s="54">
        <v>0</v>
      </c>
      <c r="L358" s="54">
        <f>G358*J358</f>
        <v>0</v>
      </c>
      <c r="M358" s="55" t="s">
        <v>111</v>
      </c>
      <c r="Z358" s="54">
        <f>IF(AQ358="5",BJ358,0)</f>
        <v>0</v>
      </c>
      <c r="AB358" s="54">
        <f>IF(AQ358="1",BH358,0)</f>
        <v>0</v>
      </c>
      <c r="AC358" s="54">
        <f>IF(AQ358="1",BI358,0)</f>
        <v>0</v>
      </c>
      <c r="AD358" s="54">
        <f>IF(AQ358="7",BH358,0)</f>
        <v>0</v>
      </c>
      <c r="AE358" s="54">
        <f>IF(AQ358="7",BI358,0)</f>
        <v>0</v>
      </c>
      <c r="AF358" s="54">
        <f>IF(AQ358="2",BH358,0)</f>
        <v>0</v>
      </c>
      <c r="AG358" s="54">
        <f>IF(AQ358="2",BI358,0)</f>
        <v>0</v>
      </c>
      <c r="AH358" s="54">
        <f>IF(AQ358="0",BJ358,0)</f>
        <v>0</v>
      </c>
      <c r="AI358" s="34" t="s">
        <v>103</v>
      </c>
      <c r="AJ358" s="54">
        <f>IF(AN358=0,I358,0)</f>
        <v>0</v>
      </c>
      <c r="AK358" s="54">
        <f>IF(AN358=12,I358,0)</f>
        <v>0</v>
      </c>
      <c r="AL358" s="54">
        <f>IF(AN358=21,I358,0)</f>
        <v>0</v>
      </c>
      <c r="AN358" s="54">
        <v>21</v>
      </c>
      <c r="AO358" s="54">
        <f>H358*0.015149561</f>
        <v>0</v>
      </c>
      <c r="AP358" s="54">
        <f>H358*(1-0.015149561)</f>
        <v>0</v>
      </c>
      <c r="AQ358" s="56" t="s">
        <v>168</v>
      </c>
      <c r="AV358" s="54">
        <f>AW358+AX358</f>
        <v>0</v>
      </c>
      <c r="AW358" s="54">
        <f>G358*AO358</f>
        <v>0</v>
      </c>
      <c r="AX358" s="54">
        <f>G358*AP358</f>
        <v>0</v>
      </c>
      <c r="AY358" s="56" t="s">
        <v>774</v>
      </c>
      <c r="AZ358" s="56" t="s">
        <v>775</v>
      </c>
      <c r="BA358" s="34" t="s">
        <v>114</v>
      </c>
      <c r="BC358" s="54">
        <f>AW358+AX358</f>
        <v>0</v>
      </c>
      <c r="BD358" s="54">
        <f>H358/(100-BE358)*100</f>
        <v>0</v>
      </c>
      <c r="BE358" s="54">
        <v>0</v>
      </c>
      <c r="BF358" s="54">
        <f>L358</f>
        <v>0</v>
      </c>
      <c r="BH358" s="54">
        <f>G358*AO358</f>
        <v>0</v>
      </c>
      <c r="BI358" s="54">
        <f>G358*AP358</f>
        <v>0</v>
      </c>
      <c r="BJ358" s="54">
        <f>G358*H358</f>
        <v>0</v>
      </c>
      <c r="BK358" s="54"/>
      <c r="BL358" s="54">
        <v>735</v>
      </c>
      <c r="BW358" s="54">
        <v>21</v>
      </c>
      <c r="BX358" s="3" t="s">
        <v>827</v>
      </c>
    </row>
    <row r="359" spans="1:76" ht="14.5" x14ac:dyDescent="0.35">
      <c r="A359" s="57"/>
      <c r="D359" s="58" t="s">
        <v>208</v>
      </c>
      <c r="E359" s="59" t="s">
        <v>776</v>
      </c>
      <c r="G359" s="60">
        <v>0</v>
      </c>
      <c r="M359" s="61"/>
    </row>
    <row r="360" spans="1:76" ht="14.5" x14ac:dyDescent="0.35">
      <c r="A360" s="57"/>
      <c r="D360" s="58" t="s">
        <v>812</v>
      </c>
      <c r="E360" s="59" t="s">
        <v>813</v>
      </c>
      <c r="G360" s="60">
        <v>10.56</v>
      </c>
      <c r="M360" s="61"/>
    </row>
    <row r="361" spans="1:76" ht="14.5" x14ac:dyDescent="0.35">
      <c r="A361" s="57"/>
      <c r="D361" s="58" t="s">
        <v>814</v>
      </c>
      <c r="E361" s="59" t="s">
        <v>815</v>
      </c>
      <c r="G361" s="60">
        <v>0.96</v>
      </c>
      <c r="M361" s="61"/>
    </row>
    <row r="362" spans="1:76" ht="14.5" x14ac:dyDescent="0.35">
      <c r="A362" s="57"/>
      <c r="D362" s="58" t="s">
        <v>823</v>
      </c>
      <c r="E362" s="59" t="s">
        <v>824</v>
      </c>
      <c r="G362" s="60">
        <v>3.06</v>
      </c>
      <c r="M362" s="61"/>
    </row>
    <row r="363" spans="1:76" ht="14.5" x14ac:dyDescent="0.35">
      <c r="A363" s="57"/>
      <c r="D363" s="58" t="s">
        <v>818</v>
      </c>
      <c r="E363" s="59" t="s">
        <v>819</v>
      </c>
      <c r="G363" s="60">
        <v>0.69</v>
      </c>
      <c r="M363" s="61"/>
    </row>
    <row r="364" spans="1:76" ht="14.5" x14ac:dyDescent="0.35">
      <c r="A364" s="1" t="s">
        <v>828</v>
      </c>
      <c r="B364" s="2" t="s">
        <v>103</v>
      </c>
      <c r="C364" s="2" t="s">
        <v>829</v>
      </c>
      <c r="D364" s="155" t="s">
        <v>830</v>
      </c>
      <c r="E364" s="153"/>
      <c r="F364" s="2" t="s">
        <v>110</v>
      </c>
      <c r="G364" s="54">
        <v>15.27</v>
      </c>
      <c r="H364" s="84">
        <v>0</v>
      </c>
      <c r="I364" s="54">
        <f>G364*H364</f>
        <v>0</v>
      </c>
      <c r="J364" s="54">
        <v>0</v>
      </c>
      <c r="K364" s="54">
        <v>0</v>
      </c>
      <c r="L364" s="54">
        <f>G364*J364</f>
        <v>0</v>
      </c>
      <c r="M364" s="55" t="s">
        <v>111</v>
      </c>
      <c r="Z364" s="54">
        <f>IF(AQ364="5",BJ364,0)</f>
        <v>0</v>
      </c>
      <c r="AB364" s="54">
        <f>IF(AQ364="1",BH364,0)</f>
        <v>0</v>
      </c>
      <c r="AC364" s="54">
        <f>IF(AQ364="1",BI364,0)</f>
        <v>0</v>
      </c>
      <c r="AD364" s="54">
        <f>IF(AQ364="7",BH364,0)</f>
        <v>0</v>
      </c>
      <c r="AE364" s="54">
        <f>IF(AQ364="7",BI364,0)</f>
        <v>0</v>
      </c>
      <c r="AF364" s="54">
        <f>IF(AQ364="2",BH364,0)</f>
        <v>0</v>
      </c>
      <c r="AG364" s="54">
        <f>IF(AQ364="2",BI364,0)</f>
        <v>0</v>
      </c>
      <c r="AH364" s="54">
        <f>IF(AQ364="0",BJ364,0)</f>
        <v>0</v>
      </c>
      <c r="AI364" s="34" t="s">
        <v>103</v>
      </c>
      <c r="AJ364" s="54">
        <f>IF(AN364=0,I364,0)</f>
        <v>0</v>
      </c>
      <c r="AK364" s="54">
        <f>IF(AN364=12,I364,0)</f>
        <v>0</v>
      </c>
      <c r="AL364" s="54">
        <f>IF(AN364=21,I364,0)</f>
        <v>0</v>
      </c>
      <c r="AN364" s="54">
        <v>21</v>
      </c>
      <c r="AO364" s="54">
        <f>H364*0</f>
        <v>0</v>
      </c>
      <c r="AP364" s="54">
        <f>H364*(1-0)</f>
        <v>0</v>
      </c>
      <c r="AQ364" s="56" t="s">
        <v>168</v>
      </c>
      <c r="AV364" s="54">
        <f>AW364+AX364</f>
        <v>0</v>
      </c>
      <c r="AW364" s="54">
        <f>G364*AO364</f>
        <v>0</v>
      </c>
      <c r="AX364" s="54">
        <f>G364*AP364</f>
        <v>0</v>
      </c>
      <c r="AY364" s="56" t="s">
        <v>774</v>
      </c>
      <c r="AZ364" s="56" t="s">
        <v>775</v>
      </c>
      <c r="BA364" s="34" t="s">
        <v>114</v>
      </c>
      <c r="BC364" s="54">
        <f>AW364+AX364</f>
        <v>0</v>
      </c>
      <c r="BD364" s="54">
        <f>H364/(100-BE364)*100</f>
        <v>0</v>
      </c>
      <c r="BE364" s="54">
        <v>0</v>
      </c>
      <c r="BF364" s="54">
        <f>L364</f>
        <v>0</v>
      </c>
      <c r="BH364" s="54">
        <f>G364*AO364</f>
        <v>0</v>
      </c>
      <c r="BI364" s="54">
        <f>G364*AP364</f>
        <v>0</v>
      </c>
      <c r="BJ364" s="54">
        <f>G364*H364</f>
        <v>0</v>
      </c>
      <c r="BK364" s="54"/>
      <c r="BL364" s="54">
        <v>735</v>
      </c>
      <c r="BW364" s="54">
        <v>21</v>
      </c>
      <c r="BX364" s="3" t="s">
        <v>830</v>
      </c>
    </row>
    <row r="365" spans="1:76" ht="14.5" x14ac:dyDescent="0.35">
      <c r="A365" s="57"/>
      <c r="D365" s="58" t="s">
        <v>831</v>
      </c>
      <c r="E365" s="59" t="s">
        <v>10</v>
      </c>
      <c r="G365" s="60">
        <v>15.27</v>
      </c>
      <c r="M365" s="61"/>
    </row>
    <row r="366" spans="1:76" ht="14.5" x14ac:dyDescent="0.35">
      <c r="A366" s="1" t="s">
        <v>832</v>
      </c>
      <c r="B366" s="2" t="s">
        <v>103</v>
      </c>
      <c r="C366" s="2" t="s">
        <v>833</v>
      </c>
      <c r="D366" s="155" t="s">
        <v>834</v>
      </c>
      <c r="E366" s="153"/>
      <c r="F366" s="2" t="s">
        <v>110</v>
      </c>
      <c r="G366" s="54">
        <v>15.27</v>
      </c>
      <c r="H366" s="84">
        <v>0</v>
      </c>
      <c r="I366" s="54">
        <f>G366*H366</f>
        <v>0</v>
      </c>
      <c r="J366" s="54">
        <v>0.16</v>
      </c>
      <c r="K366" s="54">
        <v>0</v>
      </c>
      <c r="L366" s="54">
        <f>G366*J366</f>
        <v>2.4432</v>
      </c>
      <c r="M366" s="55" t="s">
        <v>111</v>
      </c>
      <c r="Z366" s="54">
        <f>IF(AQ366="5",BJ366,0)</f>
        <v>0</v>
      </c>
      <c r="AB366" s="54">
        <f>IF(AQ366="1",BH366,0)</f>
        <v>0</v>
      </c>
      <c r="AC366" s="54">
        <f>IF(AQ366="1",BI366,0)</f>
        <v>0</v>
      </c>
      <c r="AD366" s="54">
        <f>IF(AQ366="7",BH366,0)</f>
        <v>0</v>
      </c>
      <c r="AE366" s="54">
        <f>IF(AQ366="7",BI366,0)</f>
        <v>0</v>
      </c>
      <c r="AF366" s="54">
        <f>IF(AQ366="2",BH366,0)</f>
        <v>0</v>
      </c>
      <c r="AG366" s="54">
        <f>IF(AQ366="2",BI366,0)</f>
        <v>0</v>
      </c>
      <c r="AH366" s="54">
        <f>IF(AQ366="0",BJ366,0)</f>
        <v>0</v>
      </c>
      <c r="AI366" s="34" t="s">
        <v>103</v>
      </c>
      <c r="AJ366" s="54">
        <f>IF(AN366=0,I366,0)</f>
        <v>0</v>
      </c>
      <c r="AK366" s="54">
        <f>IF(AN366=12,I366,0)</f>
        <v>0</v>
      </c>
      <c r="AL366" s="54">
        <f>IF(AN366=21,I366,0)</f>
        <v>0</v>
      </c>
      <c r="AN366" s="54">
        <v>21</v>
      </c>
      <c r="AO366" s="54">
        <f>H366*0</f>
        <v>0</v>
      </c>
      <c r="AP366" s="54">
        <f>H366*(1-0)</f>
        <v>0</v>
      </c>
      <c r="AQ366" s="56" t="s">
        <v>168</v>
      </c>
      <c r="AV366" s="54">
        <f>AW366+AX366</f>
        <v>0</v>
      </c>
      <c r="AW366" s="54">
        <f>G366*AO366</f>
        <v>0</v>
      </c>
      <c r="AX366" s="54">
        <f>G366*AP366</f>
        <v>0</v>
      </c>
      <c r="AY366" s="56" t="s">
        <v>774</v>
      </c>
      <c r="AZ366" s="56" t="s">
        <v>775</v>
      </c>
      <c r="BA366" s="34" t="s">
        <v>114</v>
      </c>
      <c r="BC366" s="54">
        <f>AW366+AX366</f>
        <v>0</v>
      </c>
      <c r="BD366" s="54">
        <f>H366/(100-BE366)*100</f>
        <v>0</v>
      </c>
      <c r="BE366" s="54">
        <v>0</v>
      </c>
      <c r="BF366" s="54">
        <f>L366</f>
        <v>2.4432</v>
      </c>
      <c r="BH366" s="54">
        <f>G366*AO366</f>
        <v>0</v>
      </c>
      <c r="BI366" s="54">
        <f>G366*AP366</f>
        <v>0</v>
      </c>
      <c r="BJ366" s="54">
        <f>G366*H366</f>
        <v>0</v>
      </c>
      <c r="BK366" s="54"/>
      <c r="BL366" s="54">
        <v>735</v>
      </c>
      <c r="BW366" s="54">
        <v>21</v>
      </c>
      <c r="BX366" s="3" t="s">
        <v>834</v>
      </c>
    </row>
    <row r="367" spans="1:76" ht="14.5" x14ac:dyDescent="0.35">
      <c r="A367" s="57"/>
      <c r="D367" s="58" t="s">
        <v>831</v>
      </c>
      <c r="E367" s="59" t="s">
        <v>10</v>
      </c>
      <c r="G367" s="60">
        <v>15.27</v>
      </c>
      <c r="M367" s="61"/>
    </row>
    <row r="368" spans="1:76" ht="14.5" x14ac:dyDescent="0.35">
      <c r="A368" s="1" t="s">
        <v>835</v>
      </c>
      <c r="B368" s="2" t="s">
        <v>103</v>
      </c>
      <c r="C368" s="2" t="s">
        <v>836</v>
      </c>
      <c r="D368" s="155" t="s">
        <v>837</v>
      </c>
      <c r="E368" s="153"/>
      <c r="F368" s="2" t="s">
        <v>196</v>
      </c>
      <c r="G368" s="54">
        <v>15</v>
      </c>
      <c r="H368" s="84">
        <v>0</v>
      </c>
      <c r="I368" s="54">
        <f>G368*H368</f>
        <v>0</v>
      </c>
      <c r="J368" s="54">
        <v>7.6000000000000004E-4</v>
      </c>
      <c r="K368" s="54">
        <v>7.5000000000000002E-4</v>
      </c>
      <c r="L368" s="54">
        <f>G368*J368</f>
        <v>1.14E-2</v>
      </c>
      <c r="M368" s="55" t="s">
        <v>616</v>
      </c>
      <c r="Z368" s="54">
        <f>IF(AQ368="5",BJ368,0)</f>
        <v>0</v>
      </c>
      <c r="AB368" s="54">
        <f>IF(AQ368="1",BH368,0)</f>
        <v>0</v>
      </c>
      <c r="AC368" s="54">
        <f>IF(AQ368="1",BI368,0)</f>
        <v>0</v>
      </c>
      <c r="AD368" s="54">
        <f>IF(AQ368="7",BH368,0)</f>
        <v>0</v>
      </c>
      <c r="AE368" s="54">
        <f>IF(AQ368="7",BI368,0)</f>
        <v>0</v>
      </c>
      <c r="AF368" s="54">
        <f>IF(AQ368="2",BH368,0)</f>
        <v>0</v>
      </c>
      <c r="AG368" s="54">
        <f>IF(AQ368="2",BI368,0)</f>
        <v>0</v>
      </c>
      <c r="AH368" s="54">
        <f>IF(AQ368="0",BJ368,0)</f>
        <v>0</v>
      </c>
      <c r="AI368" s="34" t="s">
        <v>103</v>
      </c>
      <c r="AJ368" s="54">
        <f>IF(AN368=0,I368,0)</f>
        <v>0</v>
      </c>
      <c r="AK368" s="54">
        <f>IF(AN368=12,I368,0)</f>
        <v>0</v>
      </c>
      <c r="AL368" s="54">
        <f>IF(AN368=21,I368,0)</f>
        <v>0</v>
      </c>
      <c r="AN368" s="54">
        <v>21</v>
      </c>
      <c r="AO368" s="54">
        <f>H368*0.06978022</f>
        <v>0</v>
      </c>
      <c r="AP368" s="54">
        <f>H368*(1-0.06978022)</f>
        <v>0</v>
      </c>
      <c r="AQ368" s="56" t="s">
        <v>168</v>
      </c>
      <c r="AV368" s="54">
        <f>AW368+AX368</f>
        <v>0</v>
      </c>
      <c r="AW368" s="54">
        <f>G368*AO368</f>
        <v>0</v>
      </c>
      <c r="AX368" s="54">
        <f>G368*AP368</f>
        <v>0</v>
      </c>
      <c r="AY368" s="56" t="s">
        <v>774</v>
      </c>
      <c r="AZ368" s="56" t="s">
        <v>775</v>
      </c>
      <c r="BA368" s="34" t="s">
        <v>114</v>
      </c>
      <c r="BC368" s="54">
        <f>AW368+AX368</f>
        <v>0</v>
      </c>
      <c r="BD368" s="54">
        <f>H368/(100-BE368)*100</f>
        <v>0</v>
      </c>
      <c r="BE368" s="54">
        <v>0</v>
      </c>
      <c r="BF368" s="54">
        <f>L368</f>
        <v>1.14E-2</v>
      </c>
      <c r="BH368" s="54">
        <f>G368*AO368</f>
        <v>0</v>
      </c>
      <c r="BI368" s="54">
        <f>G368*AP368</f>
        <v>0</v>
      </c>
      <c r="BJ368" s="54">
        <f>G368*H368</f>
        <v>0</v>
      </c>
      <c r="BK368" s="54"/>
      <c r="BL368" s="54">
        <v>735</v>
      </c>
      <c r="BW368" s="54">
        <v>21</v>
      </c>
      <c r="BX368" s="3" t="s">
        <v>837</v>
      </c>
    </row>
    <row r="369" spans="1:76" ht="14.5" x14ac:dyDescent="0.35">
      <c r="A369" s="57"/>
      <c r="D369" s="58" t="s">
        <v>838</v>
      </c>
      <c r="E369" s="59" t="s">
        <v>839</v>
      </c>
      <c r="G369" s="60">
        <v>15</v>
      </c>
      <c r="M369" s="61"/>
    </row>
    <row r="370" spans="1:76" ht="14.5" x14ac:dyDescent="0.35">
      <c r="A370" s="1" t="s">
        <v>840</v>
      </c>
      <c r="B370" s="2" t="s">
        <v>103</v>
      </c>
      <c r="C370" s="2" t="s">
        <v>841</v>
      </c>
      <c r="D370" s="155" t="s">
        <v>842</v>
      </c>
      <c r="E370" s="153"/>
      <c r="F370" s="2" t="s">
        <v>110</v>
      </c>
      <c r="G370" s="54">
        <v>15.45</v>
      </c>
      <c r="H370" s="84">
        <v>0</v>
      </c>
      <c r="I370" s="54">
        <f>G370*H370</f>
        <v>0</v>
      </c>
      <c r="J370" s="54">
        <v>0</v>
      </c>
      <c r="K370" s="54">
        <v>0</v>
      </c>
      <c r="L370" s="54">
        <f>G370*J370</f>
        <v>0</v>
      </c>
      <c r="M370" s="55" t="s">
        <v>111</v>
      </c>
      <c r="Z370" s="54">
        <f>IF(AQ370="5",BJ370,0)</f>
        <v>0</v>
      </c>
      <c r="AB370" s="54">
        <f>IF(AQ370="1",BH370,0)</f>
        <v>0</v>
      </c>
      <c r="AC370" s="54">
        <f>IF(AQ370="1",BI370,0)</f>
        <v>0</v>
      </c>
      <c r="AD370" s="54">
        <f>IF(AQ370="7",BH370,0)</f>
        <v>0</v>
      </c>
      <c r="AE370" s="54">
        <f>IF(AQ370="7",BI370,0)</f>
        <v>0</v>
      </c>
      <c r="AF370" s="54">
        <f>IF(AQ370="2",BH370,0)</f>
        <v>0</v>
      </c>
      <c r="AG370" s="54">
        <f>IF(AQ370="2",BI370,0)</f>
        <v>0</v>
      </c>
      <c r="AH370" s="54">
        <f>IF(AQ370="0",BJ370,0)</f>
        <v>0</v>
      </c>
      <c r="AI370" s="34" t="s">
        <v>103</v>
      </c>
      <c r="AJ370" s="54">
        <f>IF(AN370=0,I370,0)</f>
        <v>0</v>
      </c>
      <c r="AK370" s="54">
        <f>IF(AN370=12,I370,0)</f>
        <v>0</v>
      </c>
      <c r="AL370" s="54">
        <f>IF(AN370=21,I370,0)</f>
        <v>0</v>
      </c>
      <c r="AN370" s="54">
        <v>21</v>
      </c>
      <c r="AO370" s="54">
        <f>H370*0</f>
        <v>0</v>
      </c>
      <c r="AP370" s="54">
        <f>H370*(1-0)</f>
        <v>0</v>
      </c>
      <c r="AQ370" s="56" t="s">
        <v>168</v>
      </c>
      <c r="AV370" s="54">
        <f>AW370+AX370</f>
        <v>0</v>
      </c>
      <c r="AW370" s="54">
        <f>G370*AO370</f>
        <v>0</v>
      </c>
      <c r="AX370" s="54">
        <f>G370*AP370</f>
        <v>0</v>
      </c>
      <c r="AY370" s="56" t="s">
        <v>774</v>
      </c>
      <c r="AZ370" s="56" t="s">
        <v>775</v>
      </c>
      <c r="BA370" s="34" t="s">
        <v>114</v>
      </c>
      <c r="BC370" s="54">
        <f>AW370+AX370</f>
        <v>0</v>
      </c>
      <c r="BD370" s="54">
        <f>H370/(100-BE370)*100</f>
        <v>0</v>
      </c>
      <c r="BE370" s="54">
        <v>0</v>
      </c>
      <c r="BF370" s="54">
        <f>L370</f>
        <v>0</v>
      </c>
      <c r="BH370" s="54">
        <f>G370*AO370</f>
        <v>0</v>
      </c>
      <c r="BI370" s="54">
        <f>G370*AP370</f>
        <v>0</v>
      </c>
      <c r="BJ370" s="54">
        <f>G370*H370</f>
        <v>0</v>
      </c>
      <c r="BK370" s="54"/>
      <c r="BL370" s="54">
        <v>735</v>
      </c>
      <c r="BW370" s="54">
        <v>21</v>
      </c>
      <c r="BX370" s="3" t="s">
        <v>842</v>
      </c>
    </row>
    <row r="371" spans="1:76" ht="14.5" x14ac:dyDescent="0.35">
      <c r="A371" s="57"/>
      <c r="D371" s="58" t="s">
        <v>843</v>
      </c>
      <c r="E371" s="59" t="s">
        <v>10</v>
      </c>
      <c r="G371" s="60">
        <v>15.45</v>
      </c>
      <c r="M371" s="61"/>
    </row>
    <row r="372" spans="1:76" ht="14.5" x14ac:dyDescent="0.35">
      <c r="A372" s="1" t="s">
        <v>844</v>
      </c>
      <c r="B372" s="2" t="s">
        <v>103</v>
      </c>
      <c r="C372" s="2" t="s">
        <v>845</v>
      </c>
      <c r="D372" s="155" t="s">
        <v>846</v>
      </c>
      <c r="E372" s="153"/>
      <c r="F372" s="2" t="s">
        <v>412</v>
      </c>
      <c r="G372" s="54">
        <v>7.06</v>
      </c>
      <c r="H372" s="84">
        <v>0</v>
      </c>
      <c r="I372" s="54">
        <f>G372*H372</f>
        <v>0</v>
      </c>
      <c r="J372" s="54">
        <v>0</v>
      </c>
      <c r="K372" s="54">
        <v>0</v>
      </c>
      <c r="L372" s="54">
        <f>G372*J372</f>
        <v>0</v>
      </c>
      <c r="M372" s="55" t="s">
        <v>111</v>
      </c>
      <c r="Z372" s="54">
        <f>IF(AQ372="5",BJ372,0)</f>
        <v>0</v>
      </c>
      <c r="AB372" s="54">
        <f>IF(AQ372="1",BH372,0)</f>
        <v>0</v>
      </c>
      <c r="AC372" s="54">
        <f>IF(AQ372="1",BI372,0)</f>
        <v>0</v>
      </c>
      <c r="AD372" s="54">
        <f>IF(AQ372="7",BH372,0)</f>
        <v>0</v>
      </c>
      <c r="AE372" s="54">
        <f>IF(AQ372="7",BI372,0)</f>
        <v>0</v>
      </c>
      <c r="AF372" s="54">
        <f>IF(AQ372="2",BH372,0)</f>
        <v>0</v>
      </c>
      <c r="AG372" s="54">
        <f>IF(AQ372="2",BI372,0)</f>
        <v>0</v>
      </c>
      <c r="AH372" s="54">
        <f>IF(AQ372="0",BJ372,0)</f>
        <v>0</v>
      </c>
      <c r="AI372" s="34" t="s">
        <v>103</v>
      </c>
      <c r="AJ372" s="54">
        <f>IF(AN372=0,I372,0)</f>
        <v>0</v>
      </c>
      <c r="AK372" s="54">
        <f>IF(AN372=12,I372,0)</f>
        <v>0</v>
      </c>
      <c r="AL372" s="54">
        <f>IF(AN372=21,I372,0)</f>
        <v>0</v>
      </c>
      <c r="AN372" s="54">
        <v>21</v>
      </c>
      <c r="AO372" s="54">
        <f>H372*0</f>
        <v>0</v>
      </c>
      <c r="AP372" s="54">
        <f>H372*(1-0)</f>
        <v>0</v>
      </c>
      <c r="AQ372" s="56" t="s">
        <v>150</v>
      </c>
      <c r="AV372" s="54">
        <f>AW372+AX372</f>
        <v>0</v>
      </c>
      <c r="AW372" s="54">
        <f>G372*AO372</f>
        <v>0</v>
      </c>
      <c r="AX372" s="54">
        <f>G372*AP372</f>
        <v>0</v>
      </c>
      <c r="AY372" s="56" t="s">
        <v>774</v>
      </c>
      <c r="AZ372" s="56" t="s">
        <v>775</v>
      </c>
      <c r="BA372" s="34" t="s">
        <v>114</v>
      </c>
      <c r="BC372" s="54">
        <f>AW372+AX372</f>
        <v>0</v>
      </c>
      <c r="BD372" s="54">
        <f>H372/(100-BE372)*100</f>
        <v>0</v>
      </c>
      <c r="BE372" s="54">
        <v>0</v>
      </c>
      <c r="BF372" s="54">
        <f>L372</f>
        <v>0</v>
      </c>
      <c r="BH372" s="54">
        <f>G372*AO372</f>
        <v>0</v>
      </c>
      <c r="BI372" s="54">
        <f>G372*AP372</f>
        <v>0</v>
      </c>
      <c r="BJ372" s="54">
        <f>G372*H372</f>
        <v>0</v>
      </c>
      <c r="BK372" s="54"/>
      <c r="BL372" s="54">
        <v>735</v>
      </c>
      <c r="BW372" s="54">
        <v>21</v>
      </c>
      <c r="BX372" s="3" t="s">
        <v>846</v>
      </c>
    </row>
    <row r="373" spans="1:76" ht="14.5" x14ac:dyDescent="0.35">
      <c r="A373" s="1" t="s">
        <v>847</v>
      </c>
      <c r="B373" s="2" t="s">
        <v>103</v>
      </c>
      <c r="C373" s="2" t="s">
        <v>845</v>
      </c>
      <c r="D373" s="155" t="s">
        <v>848</v>
      </c>
      <c r="E373" s="153"/>
      <c r="F373" s="2" t="s">
        <v>412</v>
      </c>
      <c r="G373" s="54">
        <v>7.06</v>
      </c>
      <c r="H373" s="84">
        <v>0</v>
      </c>
      <c r="I373" s="54">
        <f>G373*H373</f>
        <v>0</v>
      </c>
      <c r="J373" s="54">
        <v>0</v>
      </c>
      <c r="K373" s="54">
        <v>0</v>
      </c>
      <c r="L373" s="54">
        <f>G373*J373</f>
        <v>0</v>
      </c>
      <c r="M373" s="55" t="s">
        <v>111</v>
      </c>
      <c r="Z373" s="54">
        <f>IF(AQ373="5",BJ373,0)</f>
        <v>0</v>
      </c>
      <c r="AB373" s="54">
        <f>IF(AQ373="1",BH373,0)</f>
        <v>0</v>
      </c>
      <c r="AC373" s="54">
        <f>IF(AQ373="1",BI373,0)</f>
        <v>0</v>
      </c>
      <c r="AD373" s="54">
        <f>IF(AQ373="7",BH373,0)</f>
        <v>0</v>
      </c>
      <c r="AE373" s="54">
        <f>IF(AQ373="7",BI373,0)</f>
        <v>0</v>
      </c>
      <c r="AF373" s="54">
        <f>IF(AQ373="2",BH373,0)</f>
        <v>0</v>
      </c>
      <c r="AG373" s="54">
        <f>IF(AQ373="2",BI373,0)</f>
        <v>0</v>
      </c>
      <c r="AH373" s="54">
        <f>IF(AQ373="0",BJ373,0)</f>
        <v>0</v>
      </c>
      <c r="AI373" s="34" t="s">
        <v>103</v>
      </c>
      <c r="AJ373" s="54">
        <f>IF(AN373=0,I373,0)</f>
        <v>0</v>
      </c>
      <c r="AK373" s="54">
        <f>IF(AN373=12,I373,0)</f>
        <v>0</v>
      </c>
      <c r="AL373" s="54">
        <f>IF(AN373=21,I373,0)</f>
        <v>0</v>
      </c>
      <c r="AN373" s="54">
        <v>21</v>
      </c>
      <c r="AO373" s="54">
        <f>H373*0</f>
        <v>0</v>
      </c>
      <c r="AP373" s="54">
        <f>H373*(1-0)</f>
        <v>0</v>
      </c>
      <c r="AQ373" s="56" t="s">
        <v>150</v>
      </c>
      <c r="AV373" s="54">
        <f>AW373+AX373</f>
        <v>0</v>
      </c>
      <c r="AW373" s="54">
        <f>G373*AO373</f>
        <v>0</v>
      </c>
      <c r="AX373" s="54">
        <f>G373*AP373</f>
        <v>0</v>
      </c>
      <c r="AY373" s="56" t="s">
        <v>774</v>
      </c>
      <c r="AZ373" s="56" t="s">
        <v>775</v>
      </c>
      <c r="BA373" s="34" t="s">
        <v>114</v>
      </c>
      <c r="BC373" s="54">
        <f>AW373+AX373</f>
        <v>0</v>
      </c>
      <c r="BD373" s="54">
        <f>H373/(100-BE373)*100</f>
        <v>0</v>
      </c>
      <c r="BE373" s="54">
        <v>0</v>
      </c>
      <c r="BF373" s="54">
        <f>L373</f>
        <v>0</v>
      </c>
      <c r="BH373" s="54">
        <f>G373*AO373</f>
        <v>0</v>
      </c>
      <c r="BI373" s="54">
        <f>G373*AP373</f>
        <v>0</v>
      </c>
      <c r="BJ373" s="54">
        <f>G373*H373</f>
        <v>0</v>
      </c>
      <c r="BK373" s="54"/>
      <c r="BL373" s="54">
        <v>735</v>
      </c>
      <c r="BW373" s="54">
        <v>21</v>
      </c>
      <c r="BX373" s="3" t="s">
        <v>848</v>
      </c>
    </row>
    <row r="374" spans="1:76" ht="14.5" x14ac:dyDescent="0.35">
      <c r="A374" s="50" t="s">
        <v>10</v>
      </c>
      <c r="B374" s="51" t="s">
        <v>103</v>
      </c>
      <c r="C374" s="51" t="s">
        <v>849</v>
      </c>
      <c r="D374" s="206" t="s">
        <v>850</v>
      </c>
      <c r="E374" s="207"/>
      <c r="F374" s="52" t="s">
        <v>84</v>
      </c>
      <c r="G374" s="52" t="s">
        <v>84</v>
      </c>
      <c r="H374" s="83" t="s">
        <v>84</v>
      </c>
      <c r="I374" s="27">
        <f>SUM(I375:I377)</f>
        <v>0</v>
      </c>
      <c r="J374" s="34" t="s">
        <v>10</v>
      </c>
      <c r="K374" s="34" t="s">
        <v>10</v>
      </c>
      <c r="L374" s="27">
        <f>SUM(L375:L377)</f>
        <v>4.8700000000000002E-3</v>
      </c>
      <c r="M374" s="53" t="s">
        <v>10</v>
      </c>
      <c r="AI374" s="34" t="s">
        <v>103</v>
      </c>
      <c r="AS374" s="27">
        <f>SUM(AJ375:AJ377)</f>
        <v>0</v>
      </c>
      <c r="AT374" s="27">
        <f>SUM(AK375:AK377)</f>
        <v>0</v>
      </c>
      <c r="AU374" s="27">
        <f>SUM(AL375:AL377)</f>
        <v>0</v>
      </c>
    </row>
    <row r="375" spans="1:76" ht="14.5" x14ac:dyDescent="0.35">
      <c r="A375" s="1" t="s">
        <v>851</v>
      </c>
      <c r="B375" s="2" t="s">
        <v>103</v>
      </c>
      <c r="C375" s="2" t="s">
        <v>852</v>
      </c>
      <c r="D375" s="155" t="s">
        <v>853</v>
      </c>
      <c r="E375" s="153"/>
      <c r="F375" s="2" t="s">
        <v>196</v>
      </c>
      <c r="G375" s="54">
        <v>1</v>
      </c>
      <c r="H375" s="84">
        <v>0</v>
      </c>
      <c r="I375" s="54">
        <f>G375*H375</f>
        <v>0</v>
      </c>
      <c r="J375" s="54">
        <v>4.8700000000000002E-3</v>
      </c>
      <c r="K375" s="54">
        <v>0</v>
      </c>
      <c r="L375" s="54">
        <f>G375*J375</f>
        <v>4.8700000000000002E-3</v>
      </c>
      <c r="M375" s="55" t="s">
        <v>10</v>
      </c>
      <c r="Z375" s="54">
        <f>IF(AQ375="5",BJ375,0)</f>
        <v>0</v>
      </c>
      <c r="AB375" s="54">
        <f>IF(AQ375="1",BH375,0)</f>
        <v>0</v>
      </c>
      <c r="AC375" s="54">
        <f>IF(AQ375="1",BI375,0)</f>
        <v>0</v>
      </c>
      <c r="AD375" s="54">
        <f>IF(AQ375="7",BH375,0)</f>
        <v>0</v>
      </c>
      <c r="AE375" s="54">
        <f>IF(AQ375="7",BI375,0)</f>
        <v>0</v>
      </c>
      <c r="AF375" s="54">
        <f>IF(AQ375="2",BH375,0)</f>
        <v>0</v>
      </c>
      <c r="AG375" s="54">
        <f>IF(AQ375="2",BI375,0)</f>
        <v>0</v>
      </c>
      <c r="AH375" s="54">
        <f>IF(AQ375="0",BJ375,0)</f>
        <v>0</v>
      </c>
      <c r="AI375" s="34" t="s">
        <v>103</v>
      </c>
      <c r="AJ375" s="54">
        <f>IF(AN375=0,I375,0)</f>
        <v>0</v>
      </c>
      <c r="AK375" s="54">
        <f>IF(AN375=12,I375,0)</f>
        <v>0</v>
      </c>
      <c r="AL375" s="54">
        <f>IF(AN375=21,I375,0)</f>
        <v>0</v>
      </c>
      <c r="AN375" s="54">
        <v>21</v>
      </c>
      <c r="AO375" s="54">
        <f>H375*0.791254342</f>
        <v>0</v>
      </c>
      <c r="AP375" s="54">
        <f>H375*(1-0.791254342)</f>
        <v>0</v>
      </c>
      <c r="AQ375" s="56" t="s">
        <v>168</v>
      </c>
      <c r="AV375" s="54">
        <f>AW375+AX375</f>
        <v>0</v>
      </c>
      <c r="AW375" s="54">
        <f>G375*AO375</f>
        <v>0</v>
      </c>
      <c r="AX375" s="54">
        <f>G375*AP375</f>
        <v>0</v>
      </c>
      <c r="AY375" s="56" t="s">
        <v>854</v>
      </c>
      <c r="AZ375" s="56" t="s">
        <v>855</v>
      </c>
      <c r="BA375" s="34" t="s">
        <v>114</v>
      </c>
      <c r="BC375" s="54">
        <f>AW375+AX375</f>
        <v>0</v>
      </c>
      <c r="BD375" s="54">
        <f>H375/(100-BE375)*100</f>
        <v>0</v>
      </c>
      <c r="BE375" s="54">
        <v>0</v>
      </c>
      <c r="BF375" s="54">
        <f>L375</f>
        <v>4.8700000000000002E-3</v>
      </c>
      <c r="BH375" s="54">
        <f>G375*AO375</f>
        <v>0</v>
      </c>
      <c r="BI375" s="54">
        <f>G375*AP375</f>
        <v>0</v>
      </c>
      <c r="BJ375" s="54">
        <f>G375*H375</f>
        <v>0</v>
      </c>
      <c r="BK375" s="54"/>
      <c r="BL375" s="54">
        <v>7631</v>
      </c>
      <c r="BW375" s="54">
        <v>21</v>
      </c>
      <c r="BX375" s="3" t="s">
        <v>853</v>
      </c>
    </row>
    <row r="376" spans="1:76" ht="14.5" x14ac:dyDescent="0.35">
      <c r="A376" s="57"/>
      <c r="D376" s="58" t="s">
        <v>629</v>
      </c>
      <c r="E376" s="59" t="s">
        <v>857</v>
      </c>
      <c r="G376" s="60">
        <v>1</v>
      </c>
      <c r="M376" s="61"/>
    </row>
    <row r="377" spans="1:76" ht="14.5" x14ac:dyDescent="0.35">
      <c r="A377" s="1" t="s">
        <v>858</v>
      </c>
      <c r="B377" s="2" t="s">
        <v>103</v>
      </c>
      <c r="C377" s="2" t="s">
        <v>859</v>
      </c>
      <c r="D377" s="155" t="s">
        <v>860</v>
      </c>
      <c r="E377" s="153"/>
      <c r="F377" s="2" t="s">
        <v>412</v>
      </c>
      <c r="G377" s="54">
        <v>5.0000000000000001E-3</v>
      </c>
      <c r="H377" s="84">
        <v>0</v>
      </c>
      <c r="I377" s="54">
        <f>G377*H377</f>
        <v>0</v>
      </c>
      <c r="J377" s="54">
        <v>0</v>
      </c>
      <c r="K377" s="54">
        <v>0</v>
      </c>
      <c r="L377" s="54">
        <f>G377*J377</f>
        <v>0</v>
      </c>
      <c r="M377" s="55" t="s">
        <v>111</v>
      </c>
      <c r="Z377" s="54">
        <f>IF(AQ377="5",BJ377,0)</f>
        <v>0</v>
      </c>
      <c r="AB377" s="54">
        <f>IF(AQ377="1",BH377,0)</f>
        <v>0</v>
      </c>
      <c r="AC377" s="54">
        <f>IF(AQ377="1",BI377,0)</f>
        <v>0</v>
      </c>
      <c r="AD377" s="54">
        <f>IF(AQ377="7",BH377,0)</f>
        <v>0</v>
      </c>
      <c r="AE377" s="54">
        <f>IF(AQ377="7",BI377,0)</f>
        <v>0</v>
      </c>
      <c r="AF377" s="54">
        <f>IF(AQ377="2",BH377,0)</f>
        <v>0</v>
      </c>
      <c r="AG377" s="54">
        <f>IF(AQ377="2",BI377,0)</f>
        <v>0</v>
      </c>
      <c r="AH377" s="54">
        <f>IF(AQ377="0",BJ377,0)</f>
        <v>0</v>
      </c>
      <c r="AI377" s="34" t="s">
        <v>103</v>
      </c>
      <c r="AJ377" s="54">
        <f>IF(AN377=0,I377,0)</f>
        <v>0</v>
      </c>
      <c r="AK377" s="54">
        <f>IF(AN377=12,I377,0)</f>
        <v>0</v>
      </c>
      <c r="AL377" s="54">
        <f>IF(AN377=21,I377,0)</f>
        <v>0</v>
      </c>
      <c r="AN377" s="54">
        <v>21</v>
      </c>
      <c r="AO377" s="54">
        <f>H377*0</f>
        <v>0</v>
      </c>
      <c r="AP377" s="54">
        <f>H377*(1-0)</f>
        <v>0</v>
      </c>
      <c r="AQ377" s="56" t="s">
        <v>150</v>
      </c>
      <c r="AV377" s="54">
        <f>AW377+AX377</f>
        <v>0</v>
      </c>
      <c r="AW377" s="54">
        <f>G377*AO377</f>
        <v>0</v>
      </c>
      <c r="AX377" s="54">
        <f>G377*AP377</f>
        <v>0</v>
      </c>
      <c r="AY377" s="56" t="s">
        <v>854</v>
      </c>
      <c r="AZ377" s="56" t="s">
        <v>855</v>
      </c>
      <c r="BA377" s="34" t="s">
        <v>114</v>
      </c>
      <c r="BC377" s="54">
        <f>AW377+AX377</f>
        <v>0</v>
      </c>
      <c r="BD377" s="54">
        <f>H377/(100-BE377)*100</f>
        <v>0</v>
      </c>
      <c r="BE377" s="54">
        <v>0</v>
      </c>
      <c r="BF377" s="54">
        <f>L377</f>
        <v>0</v>
      </c>
      <c r="BH377" s="54">
        <f>G377*AO377</f>
        <v>0</v>
      </c>
      <c r="BI377" s="54">
        <f>G377*AP377</f>
        <v>0</v>
      </c>
      <c r="BJ377" s="54">
        <f>G377*H377</f>
        <v>0</v>
      </c>
      <c r="BK377" s="54"/>
      <c r="BL377" s="54">
        <v>7631</v>
      </c>
      <c r="BW377" s="54">
        <v>21</v>
      </c>
      <c r="BX377" s="3" t="s">
        <v>860</v>
      </c>
    </row>
    <row r="378" spans="1:76" ht="14.5" x14ac:dyDescent="0.35">
      <c r="A378" s="50" t="s">
        <v>10</v>
      </c>
      <c r="B378" s="51" t="s">
        <v>103</v>
      </c>
      <c r="C378" s="51" t="s">
        <v>861</v>
      </c>
      <c r="D378" s="206" t="s">
        <v>862</v>
      </c>
      <c r="E378" s="207"/>
      <c r="F378" s="52" t="s">
        <v>84</v>
      </c>
      <c r="G378" s="52" t="s">
        <v>84</v>
      </c>
      <c r="H378" s="83" t="s">
        <v>84</v>
      </c>
      <c r="I378" s="27">
        <f>SUM(I379:I422)</f>
        <v>0</v>
      </c>
      <c r="J378" s="34" t="s">
        <v>10</v>
      </c>
      <c r="K378" s="34" t="s">
        <v>10</v>
      </c>
      <c r="L378" s="27">
        <f>SUM(L379:L422)</f>
        <v>2.6328108600000002</v>
      </c>
      <c r="M378" s="53" t="s">
        <v>10</v>
      </c>
      <c r="AI378" s="34" t="s">
        <v>103</v>
      </c>
      <c r="AS378" s="27">
        <f>SUM(AJ379:AJ422)</f>
        <v>0</v>
      </c>
      <c r="AT378" s="27">
        <f>SUM(AK379:AK422)</f>
        <v>0</v>
      </c>
      <c r="AU378" s="27">
        <f>SUM(AL379:AL422)</f>
        <v>0</v>
      </c>
    </row>
    <row r="379" spans="1:76" ht="14.5" x14ac:dyDescent="0.35">
      <c r="A379" s="1" t="s">
        <v>863</v>
      </c>
      <c r="B379" s="2" t="s">
        <v>103</v>
      </c>
      <c r="C379" s="2" t="s">
        <v>864</v>
      </c>
      <c r="D379" s="155" t="s">
        <v>865</v>
      </c>
      <c r="E379" s="153"/>
      <c r="F379" s="2" t="s">
        <v>110</v>
      </c>
      <c r="G379" s="54">
        <v>23.49</v>
      </c>
      <c r="H379" s="84">
        <v>0</v>
      </c>
      <c r="I379" s="54">
        <f>G379*H379</f>
        <v>0</v>
      </c>
      <c r="J379" s="54">
        <v>2.4649999999999998E-2</v>
      </c>
      <c r="K379" s="54">
        <v>2.4649999999999998E-2</v>
      </c>
      <c r="L379" s="54">
        <f>G379*J379</f>
        <v>0.57902849999999995</v>
      </c>
      <c r="M379" s="55" t="s">
        <v>111</v>
      </c>
      <c r="Z379" s="54">
        <f>IF(AQ379="5",BJ379,0)</f>
        <v>0</v>
      </c>
      <c r="AB379" s="54">
        <f>IF(AQ379="1",BH379,0)</f>
        <v>0</v>
      </c>
      <c r="AC379" s="54">
        <f>IF(AQ379="1",BI379,0)</f>
        <v>0</v>
      </c>
      <c r="AD379" s="54">
        <f>IF(AQ379="7",BH379,0)</f>
        <v>0</v>
      </c>
      <c r="AE379" s="54">
        <f>IF(AQ379="7",BI379,0)</f>
        <v>0</v>
      </c>
      <c r="AF379" s="54">
        <f>IF(AQ379="2",BH379,0)</f>
        <v>0</v>
      </c>
      <c r="AG379" s="54">
        <f>IF(AQ379="2",BI379,0)</f>
        <v>0</v>
      </c>
      <c r="AH379" s="54">
        <f>IF(AQ379="0",BJ379,0)</f>
        <v>0</v>
      </c>
      <c r="AI379" s="34" t="s">
        <v>103</v>
      </c>
      <c r="AJ379" s="54">
        <f>IF(AN379=0,I379,0)</f>
        <v>0</v>
      </c>
      <c r="AK379" s="54">
        <f>IF(AN379=12,I379,0)</f>
        <v>0</v>
      </c>
      <c r="AL379" s="54">
        <f>IF(AN379=21,I379,0)</f>
        <v>0</v>
      </c>
      <c r="AN379" s="54">
        <v>21</v>
      </c>
      <c r="AO379" s="54">
        <f>H379*0</f>
        <v>0</v>
      </c>
      <c r="AP379" s="54">
        <f>H379*(1-0)</f>
        <v>0</v>
      </c>
      <c r="AQ379" s="56" t="s">
        <v>168</v>
      </c>
      <c r="AV379" s="54">
        <f>AW379+AX379</f>
        <v>0</v>
      </c>
      <c r="AW379" s="54">
        <f>G379*AO379</f>
        <v>0</v>
      </c>
      <c r="AX379" s="54">
        <f>G379*AP379</f>
        <v>0</v>
      </c>
      <c r="AY379" s="56" t="s">
        <v>866</v>
      </c>
      <c r="AZ379" s="56" t="s">
        <v>855</v>
      </c>
      <c r="BA379" s="34" t="s">
        <v>114</v>
      </c>
      <c r="BC379" s="54">
        <f>AW379+AX379</f>
        <v>0</v>
      </c>
      <c r="BD379" s="54">
        <f>H379/(100-BE379)*100</f>
        <v>0</v>
      </c>
      <c r="BE379" s="54">
        <v>0</v>
      </c>
      <c r="BF379" s="54">
        <f>L379</f>
        <v>0.57902849999999995</v>
      </c>
      <c r="BH379" s="54">
        <f>G379*AO379</f>
        <v>0</v>
      </c>
      <c r="BI379" s="54">
        <f>G379*AP379</f>
        <v>0</v>
      </c>
      <c r="BJ379" s="54">
        <f>G379*H379</f>
        <v>0</v>
      </c>
      <c r="BK379" s="54"/>
      <c r="BL379" s="54">
        <v>766</v>
      </c>
      <c r="BW379" s="54">
        <v>21</v>
      </c>
      <c r="BX379" s="3" t="s">
        <v>865</v>
      </c>
    </row>
    <row r="380" spans="1:76" ht="14.5" x14ac:dyDescent="0.35">
      <c r="A380" s="57"/>
      <c r="D380" s="58" t="s">
        <v>208</v>
      </c>
      <c r="E380" s="59" t="s">
        <v>867</v>
      </c>
      <c r="G380" s="60">
        <v>0</v>
      </c>
      <c r="M380" s="61"/>
    </row>
    <row r="381" spans="1:76" ht="14.5" x14ac:dyDescent="0.35">
      <c r="A381" s="57"/>
      <c r="D381" s="58" t="s">
        <v>869</v>
      </c>
      <c r="E381" s="59" t="s">
        <v>870</v>
      </c>
      <c r="G381" s="60">
        <v>23.49</v>
      </c>
      <c r="M381" s="61"/>
    </row>
    <row r="382" spans="1:76" ht="14.5" x14ac:dyDescent="0.35">
      <c r="A382" s="1" t="s">
        <v>871</v>
      </c>
      <c r="B382" s="2" t="s">
        <v>103</v>
      </c>
      <c r="C382" s="2" t="s">
        <v>872</v>
      </c>
      <c r="D382" s="155" t="s">
        <v>873</v>
      </c>
      <c r="E382" s="153"/>
      <c r="F382" s="2" t="s">
        <v>110</v>
      </c>
      <c r="G382" s="54">
        <v>25.83</v>
      </c>
      <c r="H382" s="84">
        <v>0</v>
      </c>
      <c r="I382" s="54">
        <f>G382*H382</f>
        <v>0</v>
      </c>
      <c r="J382" s="54">
        <v>1.7000000000000001E-4</v>
      </c>
      <c r="K382" s="54">
        <v>0</v>
      </c>
      <c r="L382" s="54">
        <f>G382*J382</f>
        <v>4.3911000000000002E-3</v>
      </c>
      <c r="M382" s="55" t="s">
        <v>111</v>
      </c>
      <c r="Z382" s="54">
        <f>IF(AQ382="5",BJ382,0)</f>
        <v>0</v>
      </c>
      <c r="AB382" s="54">
        <f>IF(AQ382="1",BH382,0)</f>
        <v>0</v>
      </c>
      <c r="AC382" s="54">
        <f>IF(AQ382="1",BI382,0)</f>
        <v>0</v>
      </c>
      <c r="AD382" s="54">
        <f>IF(AQ382="7",BH382,0)</f>
        <v>0</v>
      </c>
      <c r="AE382" s="54">
        <f>IF(AQ382="7",BI382,0)</f>
        <v>0</v>
      </c>
      <c r="AF382" s="54">
        <f>IF(AQ382="2",BH382,0)</f>
        <v>0</v>
      </c>
      <c r="AG382" s="54">
        <f>IF(AQ382="2",BI382,0)</f>
        <v>0</v>
      </c>
      <c r="AH382" s="54">
        <f>IF(AQ382="0",BJ382,0)</f>
        <v>0</v>
      </c>
      <c r="AI382" s="34" t="s">
        <v>103</v>
      </c>
      <c r="AJ382" s="54">
        <f>IF(AN382=0,I382,0)</f>
        <v>0</v>
      </c>
      <c r="AK382" s="54">
        <f>IF(AN382=12,I382,0)</f>
        <v>0</v>
      </c>
      <c r="AL382" s="54">
        <f>IF(AN382=21,I382,0)</f>
        <v>0</v>
      </c>
      <c r="AN382" s="54">
        <v>21</v>
      </c>
      <c r="AO382" s="54">
        <f>H382*0.016914894</f>
        <v>0</v>
      </c>
      <c r="AP382" s="54">
        <f>H382*(1-0.016914894)</f>
        <v>0</v>
      </c>
      <c r="AQ382" s="56" t="s">
        <v>168</v>
      </c>
      <c r="AV382" s="54">
        <f>AW382+AX382</f>
        <v>0</v>
      </c>
      <c r="AW382" s="54">
        <f>G382*AO382</f>
        <v>0</v>
      </c>
      <c r="AX382" s="54">
        <f>G382*AP382</f>
        <v>0</v>
      </c>
      <c r="AY382" s="56" t="s">
        <v>866</v>
      </c>
      <c r="AZ382" s="56" t="s">
        <v>855</v>
      </c>
      <c r="BA382" s="34" t="s">
        <v>114</v>
      </c>
      <c r="BC382" s="54">
        <f>AW382+AX382</f>
        <v>0</v>
      </c>
      <c r="BD382" s="54">
        <f>H382/(100-BE382)*100</f>
        <v>0</v>
      </c>
      <c r="BE382" s="54">
        <v>0</v>
      </c>
      <c r="BF382" s="54">
        <f>L382</f>
        <v>4.3911000000000002E-3</v>
      </c>
      <c r="BH382" s="54">
        <f>G382*AO382</f>
        <v>0</v>
      </c>
      <c r="BI382" s="54">
        <f>G382*AP382</f>
        <v>0</v>
      </c>
      <c r="BJ382" s="54">
        <f>G382*H382</f>
        <v>0</v>
      </c>
      <c r="BK382" s="54"/>
      <c r="BL382" s="54">
        <v>766</v>
      </c>
      <c r="BW382" s="54">
        <v>21</v>
      </c>
      <c r="BX382" s="3" t="s">
        <v>873</v>
      </c>
    </row>
    <row r="383" spans="1:76" ht="14.5" x14ac:dyDescent="0.35">
      <c r="A383" s="57"/>
      <c r="D383" s="58" t="s">
        <v>208</v>
      </c>
      <c r="E383" s="59" t="s">
        <v>875</v>
      </c>
      <c r="G383" s="60">
        <v>0</v>
      </c>
      <c r="M383" s="61"/>
    </row>
    <row r="384" spans="1:76" ht="14.5" x14ac:dyDescent="0.35">
      <c r="A384" s="57"/>
      <c r="D384" s="58" t="s">
        <v>876</v>
      </c>
      <c r="E384" s="59" t="s">
        <v>877</v>
      </c>
      <c r="G384" s="60">
        <v>26.37</v>
      </c>
      <c r="M384" s="61"/>
    </row>
    <row r="385" spans="1:76" ht="14.5" x14ac:dyDescent="0.35">
      <c r="A385" s="57"/>
      <c r="D385" s="58" t="s">
        <v>878</v>
      </c>
      <c r="E385" s="59" t="s">
        <v>879</v>
      </c>
      <c r="G385" s="60">
        <v>-0.54</v>
      </c>
      <c r="M385" s="61"/>
    </row>
    <row r="386" spans="1:76" ht="14.5" x14ac:dyDescent="0.35">
      <c r="A386" s="64" t="s">
        <v>880</v>
      </c>
      <c r="B386" s="65" t="s">
        <v>103</v>
      </c>
      <c r="C386" s="65" t="s">
        <v>881</v>
      </c>
      <c r="D386" s="217" t="s">
        <v>882</v>
      </c>
      <c r="E386" s="218"/>
      <c r="F386" s="65" t="s">
        <v>481</v>
      </c>
      <c r="G386" s="67">
        <v>6</v>
      </c>
      <c r="H386" s="85">
        <v>0</v>
      </c>
      <c r="I386" s="67">
        <f>G386*H386</f>
        <v>0</v>
      </c>
      <c r="J386" s="67">
        <v>7.2999999999999995E-2</v>
      </c>
      <c r="K386" s="67">
        <v>0</v>
      </c>
      <c r="L386" s="67">
        <f>G386*J386</f>
        <v>0.43799999999999994</v>
      </c>
      <c r="M386" s="68" t="s">
        <v>616</v>
      </c>
      <c r="Z386" s="54">
        <f>IF(AQ386="5",BJ386,0)</f>
        <v>0</v>
      </c>
      <c r="AB386" s="54">
        <f>IF(AQ386="1",BH386,0)</f>
        <v>0</v>
      </c>
      <c r="AC386" s="54">
        <f>IF(AQ386="1",BI386,0)</f>
        <v>0</v>
      </c>
      <c r="AD386" s="54">
        <f>IF(AQ386="7",BH386,0)</f>
        <v>0</v>
      </c>
      <c r="AE386" s="54">
        <f>IF(AQ386="7",BI386,0)</f>
        <v>0</v>
      </c>
      <c r="AF386" s="54">
        <f>IF(AQ386="2",BH386,0)</f>
        <v>0</v>
      </c>
      <c r="AG386" s="54">
        <f>IF(AQ386="2",BI386,0)</f>
        <v>0</v>
      </c>
      <c r="AH386" s="54">
        <f>IF(AQ386="0",BJ386,0)</f>
        <v>0</v>
      </c>
      <c r="AI386" s="34" t="s">
        <v>103</v>
      </c>
      <c r="AJ386" s="67">
        <f>IF(AN386=0,I386,0)</f>
        <v>0</v>
      </c>
      <c r="AK386" s="67">
        <f>IF(AN386=12,I386,0)</f>
        <v>0</v>
      </c>
      <c r="AL386" s="67">
        <f>IF(AN386=21,I386,0)</f>
        <v>0</v>
      </c>
      <c r="AN386" s="54">
        <v>21</v>
      </c>
      <c r="AO386" s="54">
        <f>H386*1</f>
        <v>0</v>
      </c>
      <c r="AP386" s="54">
        <f>H386*(1-1)</f>
        <v>0</v>
      </c>
      <c r="AQ386" s="69" t="s">
        <v>168</v>
      </c>
      <c r="AV386" s="54">
        <f>AW386+AX386</f>
        <v>0</v>
      </c>
      <c r="AW386" s="54">
        <f>G386*AO386</f>
        <v>0</v>
      </c>
      <c r="AX386" s="54">
        <f>G386*AP386</f>
        <v>0</v>
      </c>
      <c r="AY386" s="56" t="s">
        <v>866</v>
      </c>
      <c r="AZ386" s="56" t="s">
        <v>855</v>
      </c>
      <c r="BA386" s="34" t="s">
        <v>114</v>
      </c>
      <c r="BC386" s="54">
        <f>AW386+AX386</f>
        <v>0</v>
      </c>
      <c r="BD386" s="54">
        <f>H386/(100-BE386)*100</f>
        <v>0</v>
      </c>
      <c r="BE386" s="54">
        <v>0</v>
      </c>
      <c r="BF386" s="54">
        <f>L386</f>
        <v>0.43799999999999994</v>
      </c>
      <c r="BH386" s="67">
        <f>G386*AO386</f>
        <v>0</v>
      </c>
      <c r="BI386" s="67">
        <f>G386*AP386</f>
        <v>0</v>
      </c>
      <c r="BJ386" s="67">
        <f>G386*H386</f>
        <v>0</v>
      </c>
      <c r="BK386" s="67"/>
      <c r="BL386" s="54">
        <v>766</v>
      </c>
      <c r="BW386" s="54">
        <v>21</v>
      </c>
      <c r="BX386" s="66" t="s">
        <v>882</v>
      </c>
    </row>
    <row r="387" spans="1:76" ht="14.5" x14ac:dyDescent="0.35">
      <c r="A387" s="57"/>
      <c r="D387" s="58" t="s">
        <v>883</v>
      </c>
      <c r="E387" s="59" t="s">
        <v>884</v>
      </c>
      <c r="G387" s="60">
        <v>5</v>
      </c>
      <c r="M387" s="61"/>
    </row>
    <row r="388" spans="1:76" ht="14.5" x14ac:dyDescent="0.35">
      <c r="A388" s="57"/>
      <c r="D388" s="58" t="s">
        <v>885</v>
      </c>
      <c r="E388" s="59" t="s">
        <v>886</v>
      </c>
      <c r="G388" s="60">
        <v>0.75</v>
      </c>
      <c r="M388" s="61"/>
    </row>
    <row r="389" spans="1:76" ht="14.5" x14ac:dyDescent="0.35">
      <c r="A389" s="57"/>
      <c r="D389" s="58" t="s">
        <v>887</v>
      </c>
      <c r="E389" s="59" t="s">
        <v>888</v>
      </c>
      <c r="G389" s="60">
        <v>0.25</v>
      </c>
      <c r="M389" s="61"/>
    </row>
    <row r="390" spans="1:76" ht="14.5" x14ac:dyDescent="0.35">
      <c r="A390" s="1" t="s">
        <v>890</v>
      </c>
      <c r="B390" s="2" t="s">
        <v>103</v>
      </c>
      <c r="C390" s="2" t="s">
        <v>891</v>
      </c>
      <c r="D390" s="155" t="s">
        <v>892</v>
      </c>
      <c r="E390" s="153"/>
      <c r="F390" s="2" t="s">
        <v>110</v>
      </c>
      <c r="G390" s="54">
        <v>13.494</v>
      </c>
      <c r="H390" s="84">
        <v>0</v>
      </c>
      <c r="I390" s="54">
        <f>G390*H390</f>
        <v>0</v>
      </c>
      <c r="J390" s="54">
        <v>2.4649999999999998E-2</v>
      </c>
      <c r="K390" s="54">
        <v>2.4649999999999998E-2</v>
      </c>
      <c r="L390" s="54">
        <f>G390*J390</f>
        <v>0.33262709999999995</v>
      </c>
      <c r="M390" s="55" t="s">
        <v>111</v>
      </c>
      <c r="Z390" s="54">
        <f>IF(AQ390="5",BJ390,0)</f>
        <v>0</v>
      </c>
      <c r="AB390" s="54">
        <f>IF(AQ390="1",BH390,0)</f>
        <v>0</v>
      </c>
      <c r="AC390" s="54">
        <f>IF(AQ390="1",BI390,0)</f>
        <v>0</v>
      </c>
      <c r="AD390" s="54">
        <f>IF(AQ390="7",BH390,0)</f>
        <v>0</v>
      </c>
      <c r="AE390" s="54">
        <f>IF(AQ390="7",BI390,0)</f>
        <v>0</v>
      </c>
      <c r="AF390" s="54">
        <f>IF(AQ390="2",BH390,0)</f>
        <v>0</v>
      </c>
      <c r="AG390" s="54">
        <f>IF(AQ390="2",BI390,0)</f>
        <v>0</v>
      </c>
      <c r="AH390" s="54">
        <f>IF(AQ390="0",BJ390,0)</f>
        <v>0</v>
      </c>
      <c r="AI390" s="34" t="s">
        <v>103</v>
      </c>
      <c r="AJ390" s="54">
        <f>IF(AN390=0,I390,0)</f>
        <v>0</v>
      </c>
      <c r="AK390" s="54">
        <f>IF(AN390=12,I390,0)</f>
        <v>0</v>
      </c>
      <c r="AL390" s="54">
        <f>IF(AN390=21,I390,0)</f>
        <v>0</v>
      </c>
      <c r="AN390" s="54">
        <v>21</v>
      </c>
      <c r="AO390" s="54">
        <f>H390*0</f>
        <v>0</v>
      </c>
      <c r="AP390" s="54">
        <f>H390*(1-0)</f>
        <v>0</v>
      </c>
      <c r="AQ390" s="56" t="s">
        <v>168</v>
      </c>
      <c r="AV390" s="54">
        <f>AW390+AX390</f>
        <v>0</v>
      </c>
      <c r="AW390" s="54">
        <f>G390*AO390</f>
        <v>0</v>
      </c>
      <c r="AX390" s="54">
        <f>G390*AP390</f>
        <v>0</v>
      </c>
      <c r="AY390" s="56" t="s">
        <v>866</v>
      </c>
      <c r="AZ390" s="56" t="s">
        <v>855</v>
      </c>
      <c r="BA390" s="34" t="s">
        <v>114</v>
      </c>
      <c r="BC390" s="54">
        <f>AW390+AX390</f>
        <v>0</v>
      </c>
      <c r="BD390" s="54">
        <f>H390/(100-BE390)*100</f>
        <v>0</v>
      </c>
      <c r="BE390" s="54">
        <v>0</v>
      </c>
      <c r="BF390" s="54">
        <f>L390</f>
        <v>0.33262709999999995</v>
      </c>
      <c r="BH390" s="54">
        <f>G390*AO390</f>
        <v>0</v>
      </c>
      <c r="BI390" s="54">
        <f>G390*AP390</f>
        <v>0</v>
      </c>
      <c r="BJ390" s="54">
        <f>G390*H390</f>
        <v>0</v>
      </c>
      <c r="BK390" s="54"/>
      <c r="BL390" s="54">
        <v>766</v>
      </c>
      <c r="BW390" s="54">
        <v>21</v>
      </c>
      <c r="BX390" s="3" t="s">
        <v>892</v>
      </c>
    </row>
    <row r="391" spans="1:76" ht="14.5" x14ac:dyDescent="0.35">
      <c r="A391" s="57"/>
      <c r="D391" s="58" t="s">
        <v>893</v>
      </c>
      <c r="E391" s="59" t="s">
        <v>894</v>
      </c>
      <c r="G391" s="60">
        <v>12.456</v>
      </c>
      <c r="M391" s="61"/>
    </row>
    <row r="392" spans="1:76" ht="14.5" x14ac:dyDescent="0.35">
      <c r="A392" s="57"/>
      <c r="D392" s="58" t="s">
        <v>895</v>
      </c>
      <c r="E392" s="59" t="s">
        <v>896</v>
      </c>
      <c r="G392" s="60">
        <v>1.038</v>
      </c>
      <c r="M392" s="61"/>
    </row>
    <row r="393" spans="1:76" ht="14.5" x14ac:dyDescent="0.35">
      <c r="A393" s="1" t="s">
        <v>897</v>
      </c>
      <c r="B393" s="2" t="s">
        <v>103</v>
      </c>
      <c r="C393" s="2" t="s">
        <v>898</v>
      </c>
      <c r="D393" s="155" t="s">
        <v>899</v>
      </c>
      <c r="E393" s="153"/>
      <c r="F393" s="2" t="s">
        <v>196</v>
      </c>
      <c r="G393" s="54">
        <v>24</v>
      </c>
      <c r="H393" s="84">
        <v>0</v>
      </c>
      <c r="I393" s="54">
        <f>G393*H393</f>
        <v>0</v>
      </c>
      <c r="J393" s="54">
        <v>1.41E-3</v>
      </c>
      <c r="K393" s="54">
        <v>0</v>
      </c>
      <c r="L393" s="54">
        <f>G393*J393</f>
        <v>3.3840000000000002E-2</v>
      </c>
      <c r="M393" s="55" t="s">
        <v>111</v>
      </c>
      <c r="Z393" s="54">
        <f>IF(AQ393="5",BJ393,0)</f>
        <v>0</v>
      </c>
      <c r="AB393" s="54">
        <f>IF(AQ393="1",BH393,0)</f>
        <v>0</v>
      </c>
      <c r="AC393" s="54">
        <f>IF(AQ393="1",BI393,0)</f>
        <v>0</v>
      </c>
      <c r="AD393" s="54">
        <f>IF(AQ393="7",BH393,0)</f>
        <v>0</v>
      </c>
      <c r="AE393" s="54">
        <f>IF(AQ393="7",BI393,0)</f>
        <v>0</v>
      </c>
      <c r="AF393" s="54">
        <f>IF(AQ393="2",BH393,0)</f>
        <v>0</v>
      </c>
      <c r="AG393" s="54">
        <f>IF(AQ393="2",BI393,0)</f>
        <v>0</v>
      </c>
      <c r="AH393" s="54">
        <f>IF(AQ393="0",BJ393,0)</f>
        <v>0</v>
      </c>
      <c r="AI393" s="34" t="s">
        <v>103</v>
      </c>
      <c r="AJ393" s="54">
        <f>IF(AN393=0,I393,0)</f>
        <v>0</v>
      </c>
      <c r="AK393" s="54">
        <f>IF(AN393=12,I393,0)</f>
        <v>0</v>
      </c>
      <c r="AL393" s="54">
        <f>IF(AN393=21,I393,0)</f>
        <v>0</v>
      </c>
      <c r="AN393" s="54">
        <v>21</v>
      </c>
      <c r="AO393" s="54">
        <f>H393*0.191961954</f>
        <v>0</v>
      </c>
      <c r="AP393" s="54">
        <f>H393*(1-0.191961954)</f>
        <v>0</v>
      </c>
      <c r="AQ393" s="56" t="s">
        <v>168</v>
      </c>
      <c r="AV393" s="54">
        <f>AW393+AX393</f>
        <v>0</v>
      </c>
      <c r="AW393" s="54">
        <f>G393*AO393</f>
        <v>0</v>
      </c>
      <c r="AX393" s="54">
        <f>G393*AP393</f>
        <v>0</v>
      </c>
      <c r="AY393" s="56" t="s">
        <v>866</v>
      </c>
      <c r="AZ393" s="56" t="s">
        <v>855</v>
      </c>
      <c r="BA393" s="34" t="s">
        <v>114</v>
      </c>
      <c r="BC393" s="54">
        <f>AW393+AX393</f>
        <v>0</v>
      </c>
      <c r="BD393" s="54">
        <f>H393/(100-BE393)*100</f>
        <v>0</v>
      </c>
      <c r="BE393" s="54">
        <v>0</v>
      </c>
      <c r="BF393" s="54">
        <f>L393</f>
        <v>3.3840000000000002E-2</v>
      </c>
      <c r="BH393" s="54">
        <f>G393*AO393</f>
        <v>0</v>
      </c>
      <c r="BI393" s="54">
        <f>G393*AP393</f>
        <v>0</v>
      </c>
      <c r="BJ393" s="54">
        <f>G393*H393</f>
        <v>0</v>
      </c>
      <c r="BK393" s="54"/>
      <c r="BL393" s="54">
        <v>766</v>
      </c>
      <c r="BW393" s="54">
        <v>21</v>
      </c>
      <c r="BX393" s="3" t="s">
        <v>899</v>
      </c>
    </row>
    <row r="394" spans="1:76" ht="14.5" x14ac:dyDescent="0.35">
      <c r="A394" s="57"/>
      <c r="D394" s="58" t="s">
        <v>406</v>
      </c>
      <c r="E394" s="59" t="s">
        <v>901</v>
      </c>
      <c r="G394" s="60">
        <v>24</v>
      </c>
      <c r="M394" s="61"/>
    </row>
    <row r="395" spans="1:76" ht="25" x14ac:dyDescent="0.35">
      <c r="A395" s="64" t="s">
        <v>903</v>
      </c>
      <c r="B395" s="65" t="s">
        <v>103</v>
      </c>
      <c r="C395" s="65" t="s">
        <v>904</v>
      </c>
      <c r="D395" s="217" t="s">
        <v>905</v>
      </c>
      <c r="E395" s="218"/>
      <c r="F395" s="65" t="s">
        <v>196</v>
      </c>
      <c r="G395" s="67">
        <v>24</v>
      </c>
      <c r="H395" s="85">
        <v>0</v>
      </c>
      <c r="I395" s="67">
        <f>G395*H395</f>
        <v>0</v>
      </c>
      <c r="J395" s="67">
        <v>1.7000000000000001E-2</v>
      </c>
      <c r="K395" s="67">
        <v>0</v>
      </c>
      <c r="L395" s="67">
        <f>G395*J395</f>
        <v>0.40800000000000003</v>
      </c>
      <c r="M395" s="68" t="s">
        <v>616</v>
      </c>
      <c r="Z395" s="54">
        <f>IF(AQ395="5",BJ395,0)</f>
        <v>0</v>
      </c>
      <c r="AB395" s="54">
        <f>IF(AQ395="1",BH395,0)</f>
        <v>0</v>
      </c>
      <c r="AC395" s="54">
        <f>IF(AQ395="1",BI395,0)</f>
        <v>0</v>
      </c>
      <c r="AD395" s="54">
        <f>IF(AQ395="7",BH395,0)</f>
        <v>0</v>
      </c>
      <c r="AE395" s="54">
        <f>IF(AQ395="7",BI395,0)</f>
        <v>0</v>
      </c>
      <c r="AF395" s="54">
        <f>IF(AQ395="2",BH395,0)</f>
        <v>0</v>
      </c>
      <c r="AG395" s="54">
        <f>IF(AQ395="2",BI395,0)</f>
        <v>0</v>
      </c>
      <c r="AH395" s="54">
        <f>IF(AQ395="0",BJ395,0)</f>
        <v>0</v>
      </c>
      <c r="AI395" s="34" t="s">
        <v>103</v>
      </c>
      <c r="AJ395" s="67">
        <f>IF(AN395=0,I395,0)</f>
        <v>0</v>
      </c>
      <c r="AK395" s="67">
        <f>IF(AN395=12,I395,0)</f>
        <v>0</v>
      </c>
      <c r="AL395" s="67">
        <f>IF(AN395=21,I395,0)</f>
        <v>0</v>
      </c>
      <c r="AN395" s="54">
        <v>21</v>
      </c>
      <c r="AO395" s="54">
        <f>H395*1</f>
        <v>0</v>
      </c>
      <c r="AP395" s="54">
        <f>H395*(1-1)</f>
        <v>0</v>
      </c>
      <c r="AQ395" s="69" t="s">
        <v>168</v>
      </c>
      <c r="AV395" s="54">
        <f>AW395+AX395</f>
        <v>0</v>
      </c>
      <c r="AW395" s="54">
        <f>G395*AO395</f>
        <v>0</v>
      </c>
      <c r="AX395" s="54">
        <f>G395*AP395</f>
        <v>0</v>
      </c>
      <c r="AY395" s="56" t="s">
        <v>866</v>
      </c>
      <c r="AZ395" s="56" t="s">
        <v>855</v>
      </c>
      <c r="BA395" s="34" t="s">
        <v>114</v>
      </c>
      <c r="BC395" s="54">
        <f>AW395+AX395</f>
        <v>0</v>
      </c>
      <c r="BD395" s="54">
        <f>H395/(100-BE395)*100</f>
        <v>0</v>
      </c>
      <c r="BE395" s="54">
        <v>0</v>
      </c>
      <c r="BF395" s="54">
        <f>L395</f>
        <v>0.40800000000000003</v>
      </c>
      <c r="BH395" s="67">
        <f>G395*AO395</f>
        <v>0</v>
      </c>
      <c r="BI395" s="67">
        <f>G395*AP395</f>
        <v>0</v>
      </c>
      <c r="BJ395" s="67">
        <f>G395*H395</f>
        <v>0</v>
      </c>
      <c r="BK395" s="67"/>
      <c r="BL395" s="54">
        <v>766</v>
      </c>
      <c r="BW395" s="54">
        <v>21</v>
      </c>
      <c r="BX395" s="66" t="s">
        <v>905</v>
      </c>
    </row>
    <row r="396" spans="1:76" ht="14.5" x14ac:dyDescent="0.35">
      <c r="A396" s="57"/>
      <c r="D396" s="58" t="s">
        <v>406</v>
      </c>
      <c r="E396" s="59" t="s">
        <v>906</v>
      </c>
      <c r="G396" s="60">
        <v>24</v>
      </c>
      <c r="M396" s="61"/>
    </row>
    <row r="397" spans="1:76" ht="14.5" x14ac:dyDescent="0.35">
      <c r="A397" s="1" t="s">
        <v>909</v>
      </c>
      <c r="B397" s="2" t="s">
        <v>103</v>
      </c>
      <c r="C397" s="2" t="s">
        <v>910</v>
      </c>
      <c r="D397" s="155" t="s">
        <v>911</v>
      </c>
      <c r="E397" s="153"/>
      <c r="F397" s="2" t="s">
        <v>196</v>
      </c>
      <c r="G397" s="54">
        <v>24</v>
      </c>
      <c r="H397" s="84">
        <v>0</v>
      </c>
      <c r="I397" s="54">
        <f>G397*H397</f>
        <v>0</v>
      </c>
      <c r="J397" s="54">
        <v>1.6100000000000001E-3</v>
      </c>
      <c r="K397" s="54">
        <v>0</v>
      </c>
      <c r="L397" s="54">
        <f>G397*J397</f>
        <v>3.8640000000000001E-2</v>
      </c>
      <c r="M397" s="55" t="s">
        <v>111</v>
      </c>
      <c r="Z397" s="54">
        <f>IF(AQ397="5",BJ397,0)</f>
        <v>0</v>
      </c>
      <c r="AB397" s="54">
        <f>IF(AQ397="1",BH397,0)</f>
        <v>0</v>
      </c>
      <c r="AC397" s="54">
        <f>IF(AQ397="1",BI397,0)</f>
        <v>0</v>
      </c>
      <c r="AD397" s="54">
        <f>IF(AQ397="7",BH397,0)</f>
        <v>0</v>
      </c>
      <c r="AE397" s="54">
        <f>IF(AQ397="7",BI397,0)</f>
        <v>0</v>
      </c>
      <c r="AF397" s="54">
        <f>IF(AQ397="2",BH397,0)</f>
        <v>0</v>
      </c>
      <c r="AG397" s="54">
        <f>IF(AQ397="2",BI397,0)</f>
        <v>0</v>
      </c>
      <c r="AH397" s="54">
        <f>IF(AQ397="0",BJ397,0)</f>
        <v>0</v>
      </c>
      <c r="AI397" s="34" t="s">
        <v>103</v>
      </c>
      <c r="AJ397" s="54">
        <f>IF(AN397=0,I397,0)</f>
        <v>0</v>
      </c>
      <c r="AK397" s="54">
        <f>IF(AN397=12,I397,0)</f>
        <v>0</v>
      </c>
      <c r="AL397" s="54">
        <f>IF(AN397=21,I397,0)</f>
        <v>0</v>
      </c>
      <c r="AN397" s="54">
        <v>21</v>
      </c>
      <c r="AO397" s="54">
        <f>H397*0.213097754</f>
        <v>0</v>
      </c>
      <c r="AP397" s="54">
        <f>H397*(1-0.213097754)</f>
        <v>0</v>
      </c>
      <c r="AQ397" s="56" t="s">
        <v>168</v>
      </c>
      <c r="AV397" s="54">
        <f>AW397+AX397</f>
        <v>0</v>
      </c>
      <c r="AW397" s="54">
        <f>G397*AO397</f>
        <v>0</v>
      </c>
      <c r="AX397" s="54">
        <f>G397*AP397</f>
        <v>0</v>
      </c>
      <c r="AY397" s="56" t="s">
        <v>866</v>
      </c>
      <c r="AZ397" s="56" t="s">
        <v>855</v>
      </c>
      <c r="BA397" s="34" t="s">
        <v>114</v>
      </c>
      <c r="BC397" s="54">
        <f>AW397+AX397</f>
        <v>0</v>
      </c>
      <c r="BD397" s="54">
        <f>H397/(100-BE397)*100</f>
        <v>0</v>
      </c>
      <c r="BE397" s="54">
        <v>0</v>
      </c>
      <c r="BF397" s="54">
        <f>L397</f>
        <v>3.8640000000000001E-2</v>
      </c>
      <c r="BH397" s="54">
        <f>G397*AO397</f>
        <v>0</v>
      </c>
      <c r="BI397" s="54">
        <f>G397*AP397</f>
        <v>0</v>
      </c>
      <c r="BJ397" s="54">
        <f>G397*H397</f>
        <v>0</v>
      </c>
      <c r="BK397" s="54"/>
      <c r="BL397" s="54">
        <v>766</v>
      </c>
      <c r="BW397" s="54">
        <v>21</v>
      </c>
      <c r="BX397" s="3" t="s">
        <v>911</v>
      </c>
    </row>
    <row r="398" spans="1:76" ht="14.5" x14ac:dyDescent="0.35">
      <c r="A398" s="57"/>
      <c r="D398" s="58" t="s">
        <v>406</v>
      </c>
      <c r="E398" s="59" t="s">
        <v>913</v>
      </c>
      <c r="G398" s="60">
        <v>24</v>
      </c>
      <c r="M398" s="61"/>
    </row>
    <row r="399" spans="1:76" ht="25" x14ac:dyDescent="0.35">
      <c r="A399" s="64" t="s">
        <v>914</v>
      </c>
      <c r="B399" s="65" t="s">
        <v>103</v>
      </c>
      <c r="C399" s="65" t="s">
        <v>915</v>
      </c>
      <c r="D399" s="217" t="s">
        <v>916</v>
      </c>
      <c r="E399" s="218"/>
      <c r="F399" s="65" t="s">
        <v>196</v>
      </c>
      <c r="G399" s="67">
        <v>24</v>
      </c>
      <c r="H399" s="85">
        <v>0</v>
      </c>
      <c r="I399" s="67">
        <f>G399*H399</f>
        <v>0</v>
      </c>
      <c r="J399" s="67">
        <v>2.5000000000000001E-2</v>
      </c>
      <c r="K399" s="67">
        <v>0</v>
      </c>
      <c r="L399" s="67">
        <f>G399*J399</f>
        <v>0.60000000000000009</v>
      </c>
      <c r="M399" s="68" t="s">
        <v>10</v>
      </c>
      <c r="Z399" s="54">
        <f>IF(AQ399="5",BJ399,0)</f>
        <v>0</v>
      </c>
      <c r="AB399" s="54">
        <f>IF(AQ399="1",BH399,0)</f>
        <v>0</v>
      </c>
      <c r="AC399" s="54">
        <f>IF(AQ399="1",BI399,0)</f>
        <v>0</v>
      </c>
      <c r="AD399" s="54">
        <f>IF(AQ399="7",BH399,0)</f>
        <v>0</v>
      </c>
      <c r="AE399" s="54">
        <f>IF(AQ399="7",BI399,0)</f>
        <v>0</v>
      </c>
      <c r="AF399" s="54">
        <f>IF(AQ399="2",BH399,0)</f>
        <v>0</v>
      </c>
      <c r="AG399" s="54">
        <f>IF(AQ399="2",BI399,0)</f>
        <v>0</v>
      </c>
      <c r="AH399" s="54">
        <f>IF(AQ399="0",BJ399,0)</f>
        <v>0</v>
      </c>
      <c r="AI399" s="34" t="s">
        <v>103</v>
      </c>
      <c r="AJ399" s="67">
        <f>IF(AN399=0,I399,0)</f>
        <v>0</v>
      </c>
      <c r="AK399" s="67">
        <f>IF(AN399=12,I399,0)</f>
        <v>0</v>
      </c>
      <c r="AL399" s="67">
        <f>IF(AN399=21,I399,0)</f>
        <v>0</v>
      </c>
      <c r="AN399" s="54">
        <v>21</v>
      </c>
      <c r="AO399" s="54">
        <f>H399*1</f>
        <v>0</v>
      </c>
      <c r="AP399" s="54">
        <f>H399*(1-1)</f>
        <v>0</v>
      </c>
      <c r="AQ399" s="69" t="s">
        <v>168</v>
      </c>
      <c r="AV399" s="54">
        <f>AW399+AX399</f>
        <v>0</v>
      </c>
      <c r="AW399" s="54">
        <f>G399*AO399</f>
        <v>0</v>
      </c>
      <c r="AX399" s="54">
        <f>G399*AP399</f>
        <v>0</v>
      </c>
      <c r="AY399" s="56" t="s">
        <v>866</v>
      </c>
      <c r="AZ399" s="56" t="s">
        <v>855</v>
      </c>
      <c r="BA399" s="34" t="s">
        <v>114</v>
      </c>
      <c r="BC399" s="54">
        <f>AW399+AX399</f>
        <v>0</v>
      </c>
      <c r="BD399" s="54">
        <f>H399/(100-BE399)*100</f>
        <v>0</v>
      </c>
      <c r="BE399" s="54">
        <v>0</v>
      </c>
      <c r="BF399" s="54">
        <f>L399</f>
        <v>0.60000000000000009</v>
      </c>
      <c r="BH399" s="67">
        <f>G399*AO399</f>
        <v>0</v>
      </c>
      <c r="BI399" s="67">
        <f>G399*AP399</f>
        <v>0</v>
      </c>
      <c r="BJ399" s="67">
        <f>G399*H399</f>
        <v>0</v>
      </c>
      <c r="BK399" s="67"/>
      <c r="BL399" s="54">
        <v>766</v>
      </c>
      <c r="BW399" s="54">
        <v>21</v>
      </c>
      <c r="BX399" s="66" t="s">
        <v>916</v>
      </c>
    </row>
    <row r="400" spans="1:76" ht="14.5" x14ac:dyDescent="0.35">
      <c r="A400" s="57"/>
      <c r="D400" s="58" t="s">
        <v>406</v>
      </c>
      <c r="E400" s="59" t="s">
        <v>917</v>
      </c>
      <c r="G400" s="60">
        <v>24</v>
      </c>
      <c r="M400" s="61"/>
    </row>
    <row r="401" spans="1:76" ht="14.5" x14ac:dyDescent="0.35">
      <c r="A401" s="1" t="s">
        <v>919</v>
      </c>
      <c r="B401" s="2" t="s">
        <v>103</v>
      </c>
      <c r="C401" s="2" t="s">
        <v>920</v>
      </c>
      <c r="D401" s="155" t="s">
        <v>921</v>
      </c>
      <c r="E401" s="153"/>
      <c r="F401" s="2" t="s">
        <v>196</v>
      </c>
      <c r="G401" s="54">
        <v>29</v>
      </c>
      <c r="H401" s="84">
        <v>0</v>
      </c>
      <c r="I401" s="54">
        <f>G401*H401</f>
        <v>0</v>
      </c>
      <c r="J401" s="54">
        <v>0</v>
      </c>
      <c r="K401" s="54">
        <v>0</v>
      </c>
      <c r="L401" s="54">
        <f>G401*J401</f>
        <v>0</v>
      </c>
      <c r="M401" s="55" t="s">
        <v>111</v>
      </c>
      <c r="Z401" s="54">
        <f>IF(AQ401="5",BJ401,0)</f>
        <v>0</v>
      </c>
      <c r="AB401" s="54">
        <f>IF(AQ401="1",BH401,0)</f>
        <v>0</v>
      </c>
      <c r="AC401" s="54">
        <f>IF(AQ401="1",BI401,0)</f>
        <v>0</v>
      </c>
      <c r="AD401" s="54">
        <f>IF(AQ401="7",BH401,0)</f>
        <v>0</v>
      </c>
      <c r="AE401" s="54">
        <f>IF(AQ401="7",BI401,0)</f>
        <v>0</v>
      </c>
      <c r="AF401" s="54">
        <f>IF(AQ401="2",BH401,0)</f>
        <v>0</v>
      </c>
      <c r="AG401" s="54">
        <f>IF(AQ401="2",BI401,0)</f>
        <v>0</v>
      </c>
      <c r="AH401" s="54">
        <f>IF(AQ401="0",BJ401,0)</f>
        <v>0</v>
      </c>
      <c r="AI401" s="34" t="s">
        <v>103</v>
      </c>
      <c r="AJ401" s="54">
        <f>IF(AN401=0,I401,0)</f>
        <v>0</v>
      </c>
      <c r="AK401" s="54">
        <f>IF(AN401=12,I401,0)</f>
        <v>0</v>
      </c>
      <c r="AL401" s="54">
        <f>IF(AN401=21,I401,0)</f>
        <v>0</v>
      </c>
      <c r="AN401" s="54">
        <v>21</v>
      </c>
      <c r="AO401" s="54">
        <f>H401*0</f>
        <v>0</v>
      </c>
      <c r="AP401" s="54">
        <f>H401*(1-0)</f>
        <v>0</v>
      </c>
      <c r="AQ401" s="56" t="s">
        <v>168</v>
      </c>
      <c r="AV401" s="54">
        <f>AW401+AX401</f>
        <v>0</v>
      </c>
      <c r="AW401" s="54">
        <f>G401*AO401</f>
        <v>0</v>
      </c>
      <c r="AX401" s="54">
        <f>G401*AP401</f>
        <v>0</v>
      </c>
      <c r="AY401" s="56" t="s">
        <v>866</v>
      </c>
      <c r="AZ401" s="56" t="s">
        <v>855</v>
      </c>
      <c r="BA401" s="34" t="s">
        <v>114</v>
      </c>
      <c r="BC401" s="54">
        <f>AW401+AX401</f>
        <v>0</v>
      </c>
      <c r="BD401" s="54">
        <f>H401/(100-BE401)*100</f>
        <v>0</v>
      </c>
      <c r="BE401" s="54">
        <v>0</v>
      </c>
      <c r="BF401" s="54">
        <f>L401</f>
        <v>0</v>
      </c>
      <c r="BH401" s="54">
        <f>G401*AO401</f>
        <v>0</v>
      </c>
      <c r="BI401" s="54">
        <f>G401*AP401</f>
        <v>0</v>
      </c>
      <c r="BJ401" s="54">
        <f>G401*H401</f>
        <v>0</v>
      </c>
      <c r="BK401" s="54"/>
      <c r="BL401" s="54">
        <v>766</v>
      </c>
      <c r="BW401" s="54">
        <v>21</v>
      </c>
      <c r="BX401" s="3" t="s">
        <v>921</v>
      </c>
    </row>
    <row r="402" spans="1:76" ht="14.5" x14ac:dyDescent="0.35">
      <c r="A402" s="57"/>
      <c r="D402" s="58" t="s">
        <v>922</v>
      </c>
      <c r="E402" s="59" t="s">
        <v>923</v>
      </c>
      <c r="G402" s="60">
        <v>29</v>
      </c>
      <c r="M402" s="61"/>
    </row>
    <row r="403" spans="1:76" ht="14.5" x14ac:dyDescent="0.35">
      <c r="A403" s="1" t="s">
        <v>924</v>
      </c>
      <c r="B403" s="2" t="s">
        <v>103</v>
      </c>
      <c r="C403" s="2" t="s">
        <v>925</v>
      </c>
      <c r="D403" s="155" t="s">
        <v>926</v>
      </c>
      <c r="E403" s="153"/>
      <c r="F403" s="2" t="s">
        <v>196</v>
      </c>
      <c r="G403" s="54">
        <v>29</v>
      </c>
      <c r="H403" s="84">
        <v>0</v>
      </c>
      <c r="I403" s="54">
        <f>G403*H403</f>
        <v>0</v>
      </c>
      <c r="J403" s="54">
        <v>1.8E-3</v>
      </c>
      <c r="K403" s="54">
        <v>1.8E-3</v>
      </c>
      <c r="L403" s="54">
        <f>G403*J403</f>
        <v>5.2199999999999996E-2</v>
      </c>
      <c r="M403" s="55" t="s">
        <v>111</v>
      </c>
      <c r="Z403" s="54">
        <f>IF(AQ403="5",BJ403,0)</f>
        <v>0</v>
      </c>
      <c r="AB403" s="54">
        <f>IF(AQ403="1",BH403,0)</f>
        <v>0</v>
      </c>
      <c r="AC403" s="54">
        <f>IF(AQ403="1",BI403,0)</f>
        <v>0</v>
      </c>
      <c r="AD403" s="54">
        <f>IF(AQ403="7",BH403,0)</f>
        <v>0</v>
      </c>
      <c r="AE403" s="54">
        <f>IF(AQ403="7",BI403,0)</f>
        <v>0</v>
      </c>
      <c r="AF403" s="54">
        <f>IF(AQ403="2",BH403,0)</f>
        <v>0</v>
      </c>
      <c r="AG403" s="54">
        <f>IF(AQ403="2",BI403,0)</f>
        <v>0</v>
      </c>
      <c r="AH403" s="54">
        <f>IF(AQ403="0",BJ403,0)</f>
        <v>0</v>
      </c>
      <c r="AI403" s="34" t="s">
        <v>103</v>
      </c>
      <c r="AJ403" s="54">
        <f>IF(AN403=0,I403,0)</f>
        <v>0</v>
      </c>
      <c r="AK403" s="54">
        <f>IF(AN403=12,I403,0)</f>
        <v>0</v>
      </c>
      <c r="AL403" s="54">
        <f>IF(AN403=21,I403,0)</f>
        <v>0</v>
      </c>
      <c r="AN403" s="54">
        <v>21</v>
      </c>
      <c r="AO403" s="54">
        <f>H403*0</f>
        <v>0</v>
      </c>
      <c r="AP403" s="54">
        <f>H403*(1-0)</f>
        <v>0</v>
      </c>
      <c r="AQ403" s="56" t="s">
        <v>168</v>
      </c>
      <c r="AV403" s="54">
        <f>AW403+AX403</f>
        <v>0</v>
      </c>
      <c r="AW403" s="54">
        <f>G403*AO403</f>
        <v>0</v>
      </c>
      <c r="AX403" s="54">
        <f>G403*AP403</f>
        <v>0</v>
      </c>
      <c r="AY403" s="56" t="s">
        <v>866</v>
      </c>
      <c r="AZ403" s="56" t="s">
        <v>855</v>
      </c>
      <c r="BA403" s="34" t="s">
        <v>114</v>
      </c>
      <c r="BC403" s="54">
        <f>AW403+AX403</f>
        <v>0</v>
      </c>
      <c r="BD403" s="54">
        <f>H403/(100-BE403)*100</f>
        <v>0</v>
      </c>
      <c r="BE403" s="54">
        <v>0</v>
      </c>
      <c r="BF403" s="54">
        <f>L403</f>
        <v>5.2199999999999996E-2</v>
      </c>
      <c r="BH403" s="54">
        <f>G403*AO403</f>
        <v>0</v>
      </c>
      <c r="BI403" s="54">
        <f>G403*AP403</f>
        <v>0</v>
      </c>
      <c r="BJ403" s="54">
        <f>G403*H403</f>
        <v>0</v>
      </c>
      <c r="BK403" s="54"/>
      <c r="BL403" s="54">
        <v>766</v>
      </c>
      <c r="BW403" s="54">
        <v>21</v>
      </c>
      <c r="BX403" s="3" t="s">
        <v>926</v>
      </c>
    </row>
    <row r="404" spans="1:76" ht="14.5" x14ac:dyDescent="0.35">
      <c r="A404" s="57"/>
      <c r="D404" s="58" t="s">
        <v>922</v>
      </c>
      <c r="E404" s="59" t="s">
        <v>928</v>
      </c>
      <c r="G404" s="60">
        <v>29</v>
      </c>
      <c r="M404" s="61"/>
    </row>
    <row r="405" spans="1:76" ht="14.5" x14ac:dyDescent="0.35">
      <c r="A405" s="1" t="s">
        <v>929</v>
      </c>
      <c r="B405" s="2" t="s">
        <v>103</v>
      </c>
      <c r="C405" s="2" t="s">
        <v>930</v>
      </c>
      <c r="D405" s="155" t="s">
        <v>931</v>
      </c>
      <c r="E405" s="153"/>
      <c r="F405" s="2" t="s">
        <v>196</v>
      </c>
      <c r="G405" s="54">
        <v>48</v>
      </c>
      <c r="H405" s="84">
        <v>0</v>
      </c>
      <c r="I405" s="54">
        <f>G405*H405</f>
        <v>0</v>
      </c>
      <c r="J405" s="54">
        <v>0</v>
      </c>
      <c r="K405" s="54">
        <v>0</v>
      </c>
      <c r="L405" s="54">
        <f>G405*J405</f>
        <v>0</v>
      </c>
      <c r="M405" s="55" t="s">
        <v>111</v>
      </c>
      <c r="Z405" s="54">
        <f>IF(AQ405="5",BJ405,0)</f>
        <v>0</v>
      </c>
      <c r="AB405" s="54">
        <f>IF(AQ405="1",BH405,0)</f>
        <v>0</v>
      </c>
      <c r="AC405" s="54">
        <f>IF(AQ405="1",BI405,0)</f>
        <v>0</v>
      </c>
      <c r="AD405" s="54">
        <f>IF(AQ405="7",BH405,0)</f>
        <v>0</v>
      </c>
      <c r="AE405" s="54">
        <f>IF(AQ405="7",BI405,0)</f>
        <v>0</v>
      </c>
      <c r="AF405" s="54">
        <f>IF(AQ405="2",BH405,0)</f>
        <v>0</v>
      </c>
      <c r="AG405" s="54">
        <f>IF(AQ405="2",BI405,0)</f>
        <v>0</v>
      </c>
      <c r="AH405" s="54">
        <f>IF(AQ405="0",BJ405,0)</f>
        <v>0</v>
      </c>
      <c r="AI405" s="34" t="s">
        <v>103</v>
      </c>
      <c r="AJ405" s="54">
        <f>IF(AN405=0,I405,0)</f>
        <v>0</v>
      </c>
      <c r="AK405" s="54">
        <f>IF(AN405=12,I405,0)</f>
        <v>0</v>
      </c>
      <c r="AL405" s="54">
        <f>IF(AN405=21,I405,0)</f>
        <v>0</v>
      </c>
      <c r="AN405" s="54">
        <v>21</v>
      </c>
      <c r="AO405" s="54">
        <f>H405*0</f>
        <v>0</v>
      </c>
      <c r="AP405" s="54">
        <f>H405*(1-0)</f>
        <v>0</v>
      </c>
      <c r="AQ405" s="56" t="s">
        <v>168</v>
      </c>
      <c r="AV405" s="54">
        <f>AW405+AX405</f>
        <v>0</v>
      </c>
      <c r="AW405" s="54">
        <f>G405*AO405</f>
        <v>0</v>
      </c>
      <c r="AX405" s="54">
        <f>G405*AP405</f>
        <v>0</v>
      </c>
      <c r="AY405" s="56" t="s">
        <v>866</v>
      </c>
      <c r="AZ405" s="56" t="s">
        <v>855</v>
      </c>
      <c r="BA405" s="34" t="s">
        <v>114</v>
      </c>
      <c r="BC405" s="54">
        <f>AW405+AX405</f>
        <v>0</v>
      </c>
      <c r="BD405" s="54">
        <f>H405/(100-BE405)*100</f>
        <v>0</v>
      </c>
      <c r="BE405" s="54">
        <v>0</v>
      </c>
      <c r="BF405" s="54">
        <f>L405</f>
        <v>0</v>
      </c>
      <c r="BH405" s="54">
        <f>G405*AO405</f>
        <v>0</v>
      </c>
      <c r="BI405" s="54">
        <f>G405*AP405</f>
        <v>0</v>
      </c>
      <c r="BJ405" s="54">
        <f>G405*H405</f>
        <v>0</v>
      </c>
      <c r="BK405" s="54"/>
      <c r="BL405" s="54">
        <v>766</v>
      </c>
      <c r="BW405" s="54">
        <v>21</v>
      </c>
      <c r="BX405" s="3" t="s">
        <v>931</v>
      </c>
    </row>
    <row r="406" spans="1:76" ht="14.5" x14ac:dyDescent="0.35">
      <c r="A406" s="57"/>
      <c r="D406" s="58" t="s">
        <v>483</v>
      </c>
      <c r="E406" s="59" t="s">
        <v>933</v>
      </c>
      <c r="G406" s="60">
        <v>48</v>
      </c>
      <c r="M406" s="61"/>
    </row>
    <row r="407" spans="1:76" ht="14.5" x14ac:dyDescent="0.35">
      <c r="A407" s="1" t="s">
        <v>934</v>
      </c>
      <c r="B407" s="2" t="s">
        <v>103</v>
      </c>
      <c r="C407" s="2" t="s">
        <v>935</v>
      </c>
      <c r="D407" s="155" t="s">
        <v>936</v>
      </c>
      <c r="E407" s="153"/>
      <c r="F407" s="2" t="s">
        <v>196</v>
      </c>
      <c r="G407" s="54">
        <v>29</v>
      </c>
      <c r="H407" s="84">
        <v>0</v>
      </c>
      <c r="I407" s="54">
        <f>G407*H407</f>
        <v>0</v>
      </c>
      <c r="J407" s="54">
        <v>1.0000000000000001E-5</v>
      </c>
      <c r="K407" s="54">
        <v>0</v>
      </c>
      <c r="L407" s="54">
        <f>G407*J407</f>
        <v>2.9E-4</v>
      </c>
      <c r="M407" s="55" t="s">
        <v>111</v>
      </c>
      <c r="Z407" s="54">
        <f>IF(AQ407="5",BJ407,0)</f>
        <v>0</v>
      </c>
      <c r="AB407" s="54">
        <f>IF(AQ407="1",BH407,0)</f>
        <v>0</v>
      </c>
      <c r="AC407" s="54">
        <f>IF(AQ407="1",BI407,0)</f>
        <v>0</v>
      </c>
      <c r="AD407" s="54">
        <f>IF(AQ407="7",BH407,0)</f>
        <v>0</v>
      </c>
      <c r="AE407" s="54">
        <f>IF(AQ407="7",BI407,0)</f>
        <v>0</v>
      </c>
      <c r="AF407" s="54">
        <f>IF(AQ407="2",BH407,0)</f>
        <v>0</v>
      </c>
      <c r="AG407" s="54">
        <f>IF(AQ407="2",BI407,0)</f>
        <v>0</v>
      </c>
      <c r="AH407" s="54">
        <f>IF(AQ407="0",BJ407,0)</f>
        <v>0</v>
      </c>
      <c r="AI407" s="34" t="s">
        <v>103</v>
      </c>
      <c r="AJ407" s="54">
        <f>IF(AN407=0,I407,0)</f>
        <v>0</v>
      </c>
      <c r="AK407" s="54">
        <f>IF(AN407=12,I407,0)</f>
        <v>0</v>
      </c>
      <c r="AL407" s="54">
        <f>IF(AN407=21,I407,0)</f>
        <v>0</v>
      </c>
      <c r="AN407" s="54">
        <v>21</v>
      </c>
      <c r="AO407" s="54">
        <f>H407*0.248514851</f>
        <v>0</v>
      </c>
      <c r="AP407" s="54">
        <f>H407*(1-0.248514851)</f>
        <v>0</v>
      </c>
      <c r="AQ407" s="56" t="s">
        <v>168</v>
      </c>
      <c r="AV407" s="54">
        <f>AW407+AX407</f>
        <v>0</v>
      </c>
      <c r="AW407" s="54">
        <f>G407*AO407</f>
        <v>0</v>
      </c>
      <c r="AX407" s="54">
        <f>G407*AP407</f>
        <v>0</v>
      </c>
      <c r="AY407" s="56" t="s">
        <v>866</v>
      </c>
      <c r="AZ407" s="56" t="s">
        <v>855</v>
      </c>
      <c r="BA407" s="34" t="s">
        <v>114</v>
      </c>
      <c r="BC407" s="54">
        <f>AW407+AX407</f>
        <v>0</v>
      </c>
      <c r="BD407" s="54">
        <f>H407/(100-BE407)*100</f>
        <v>0</v>
      </c>
      <c r="BE407" s="54">
        <v>0</v>
      </c>
      <c r="BF407" s="54">
        <f>L407</f>
        <v>2.9E-4</v>
      </c>
      <c r="BH407" s="54">
        <f>G407*AO407</f>
        <v>0</v>
      </c>
      <c r="BI407" s="54">
        <f>G407*AP407</f>
        <v>0</v>
      </c>
      <c r="BJ407" s="54">
        <f>G407*H407</f>
        <v>0</v>
      </c>
      <c r="BK407" s="54"/>
      <c r="BL407" s="54">
        <v>766</v>
      </c>
      <c r="BW407" s="54">
        <v>21</v>
      </c>
      <c r="BX407" s="3" t="s">
        <v>936</v>
      </c>
    </row>
    <row r="408" spans="1:76" ht="14.5" x14ac:dyDescent="0.35">
      <c r="A408" s="57"/>
      <c r="D408" s="58" t="s">
        <v>922</v>
      </c>
      <c r="E408" s="59" t="s">
        <v>938</v>
      </c>
      <c r="G408" s="60">
        <v>29</v>
      </c>
      <c r="M408" s="61"/>
    </row>
    <row r="409" spans="1:76" ht="14.5" x14ac:dyDescent="0.35">
      <c r="A409" s="1" t="s">
        <v>939</v>
      </c>
      <c r="B409" s="2" t="s">
        <v>103</v>
      </c>
      <c r="C409" s="2" t="s">
        <v>940</v>
      </c>
      <c r="D409" s="155" t="s">
        <v>941</v>
      </c>
      <c r="E409" s="153"/>
      <c r="F409" s="2" t="s">
        <v>196</v>
      </c>
      <c r="G409" s="54">
        <v>29</v>
      </c>
      <c r="H409" s="84">
        <v>0</v>
      </c>
      <c r="I409" s="54">
        <f>G409*H409</f>
        <v>0</v>
      </c>
      <c r="J409" s="54">
        <v>4.0000000000000001E-3</v>
      </c>
      <c r="K409" s="54">
        <v>4.0000000000000001E-3</v>
      </c>
      <c r="L409" s="54">
        <f>G409*J409</f>
        <v>0.11600000000000001</v>
      </c>
      <c r="M409" s="55" t="s">
        <v>111</v>
      </c>
      <c r="Z409" s="54">
        <f>IF(AQ409="5",BJ409,0)</f>
        <v>0</v>
      </c>
      <c r="AB409" s="54">
        <f>IF(AQ409="1",BH409,0)</f>
        <v>0</v>
      </c>
      <c r="AC409" s="54">
        <f>IF(AQ409="1",BI409,0)</f>
        <v>0</v>
      </c>
      <c r="AD409" s="54">
        <f>IF(AQ409="7",BH409,0)</f>
        <v>0</v>
      </c>
      <c r="AE409" s="54">
        <f>IF(AQ409="7",BI409,0)</f>
        <v>0</v>
      </c>
      <c r="AF409" s="54">
        <f>IF(AQ409="2",BH409,0)</f>
        <v>0</v>
      </c>
      <c r="AG409" s="54">
        <f>IF(AQ409="2",BI409,0)</f>
        <v>0</v>
      </c>
      <c r="AH409" s="54">
        <f>IF(AQ409="0",BJ409,0)</f>
        <v>0</v>
      </c>
      <c r="AI409" s="34" t="s">
        <v>103</v>
      </c>
      <c r="AJ409" s="54">
        <f>IF(AN409=0,I409,0)</f>
        <v>0</v>
      </c>
      <c r="AK409" s="54">
        <f>IF(AN409=12,I409,0)</f>
        <v>0</v>
      </c>
      <c r="AL409" s="54">
        <f>IF(AN409=21,I409,0)</f>
        <v>0</v>
      </c>
      <c r="AN409" s="54">
        <v>21</v>
      </c>
      <c r="AO409" s="54">
        <f>H409*0</f>
        <v>0</v>
      </c>
      <c r="AP409" s="54">
        <f>H409*(1-0)</f>
        <v>0</v>
      </c>
      <c r="AQ409" s="56" t="s">
        <v>168</v>
      </c>
      <c r="AV409" s="54">
        <f>AW409+AX409</f>
        <v>0</v>
      </c>
      <c r="AW409" s="54">
        <f>G409*AO409</f>
        <v>0</v>
      </c>
      <c r="AX409" s="54">
        <f>G409*AP409</f>
        <v>0</v>
      </c>
      <c r="AY409" s="56" t="s">
        <v>866</v>
      </c>
      <c r="AZ409" s="56" t="s">
        <v>855</v>
      </c>
      <c r="BA409" s="34" t="s">
        <v>114</v>
      </c>
      <c r="BC409" s="54">
        <f>AW409+AX409</f>
        <v>0</v>
      </c>
      <c r="BD409" s="54">
        <f>H409/(100-BE409)*100</f>
        <v>0</v>
      </c>
      <c r="BE409" s="54">
        <v>0</v>
      </c>
      <c r="BF409" s="54">
        <f>L409</f>
        <v>0.11600000000000001</v>
      </c>
      <c r="BH409" s="54">
        <f>G409*AO409</f>
        <v>0</v>
      </c>
      <c r="BI409" s="54">
        <f>G409*AP409</f>
        <v>0</v>
      </c>
      <c r="BJ409" s="54">
        <f>G409*H409</f>
        <v>0</v>
      </c>
      <c r="BK409" s="54"/>
      <c r="BL409" s="54">
        <v>766</v>
      </c>
      <c r="BW409" s="54">
        <v>21</v>
      </c>
      <c r="BX409" s="3" t="s">
        <v>941</v>
      </c>
    </row>
    <row r="410" spans="1:76" ht="14.5" x14ac:dyDescent="0.35">
      <c r="A410" s="57"/>
      <c r="D410" s="58" t="s">
        <v>922</v>
      </c>
      <c r="E410" s="59" t="s">
        <v>943</v>
      </c>
      <c r="G410" s="60">
        <v>29</v>
      </c>
      <c r="M410" s="61"/>
    </row>
    <row r="411" spans="1:76" ht="14.5" x14ac:dyDescent="0.35">
      <c r="A411" s="1" t="s">
        <v>944</v>
      </c>
      <c r="B411" s="2" t="s">
        <v>103</v>
      </c>
      <c r="C411" s="2" t="s">
        <v>945</v>
      </c>
      <c r="D411" s="155" t="s">
        <v>946</v>
      </c>
      <c r="E411" s="153"/>
      <c r="F411" s="2" t="s">
        <v>196</v>
      </c>
      <c r="G411" s="54">
        <v>29</v>
      </c>
      <c r="H411" s="84">
        <v>0</v>
      </c>
      <c r="I411" s="54">
        <f>G411*H411</f>
        <v>0</v>
      </c>
      <c r="J411" s="54">
        <v>1.0000000000000001E-5</v>
      </c>
      <c r="K411" s="54">
        <v>0</v>
      </c>
      <c r="L411" s="54">
        <f>G411*J411</f>
        <v>2.9E-4</v>
      </c>
      <c r="M411" s="55" t="s">
        <v>111</v>
      </c>
      <c r="Z411" s="54">
        <f>IF(AQ411="5",BJ411,0)</f>
        <v>0</v>
      </c>
      <c r="AB411" s="54">
        <f>IF(AQ411="1",BH411,0)</f>
        <v>0</v>
      </c>
      <c r="AC411" s="54">
        <f>IF(AQ411="1",BI411,0)</f>
        <v>0</v>
      </c>
      <c r="AD411" s="54">
        <f>IF(AQ411="7",BH411,0)</f>
        <v>0</v>
      </c>
      <c r="AE411" s="54">
        <f>IF(AQ411="7",BI411,0)</f>
        <v>0</v>
      </c>
      <c r="AF411" s="54">
        <f>IF(AQ411="2",BH411,0)</f>
        <v>0</v>
      </c>
      <c r="AG411" s="54">
        <f>IF(AQ411="2",BI411,0)</f>
        <v>0</v>
      </c>
      <c r="AH411" s="54">
        <f>IF(AQ411="0",BJ411,0)</f>
        <v>0</v>
      </c>
      <c r="AI411" s="34" t="s">
        <v>103</v>
      </c>
      <c r="AJ411" s="54">
        <f>IF(AN411=0,I411,0)</f>
        <v>0</v>
      </c>
      <c r="AK411" s="54">
        <f>IF(AN411=12,I411,0)</f>
        <v>0</v>
      </c>
      <c r="AL411" s="54">
        <f>IF(AN411=21,I411,0)</f>
        <v>0</v>
      </c>
      <c r="AN411" s="54">
        <v>21</v>
      </c>
      <c r="AO411" s="54">
        <f>H411*0.010339623</f>
        <v>0</v>
      </c>
      <c r="AP411" s="54">
        <f>H411*(1-0.010339623)</f>
        <v>0</v>
      </c>
      <c r="AQ411" s="56" t="s">
        <v>168</v>
      </c>
      <c r="AV411" s="54">
        <f>AW411+AX411</f>
        <v>0</v>
      </c>
      <c r="AW411" s="54">
        <f>G411*AO411</f>
        <v>0</v>
      </c>
      <c r="AX411" s="54">
        <f>G411*AP411</f>
        <v>0</v>
      </c>
      <c r="AY411" s="56" t="s">
        <v>866</v>
      </c>
      <c r="AZ411" s="56" t="s">
        <v>855</v>
      </c>
      <c r="BA411" s="34" t="s">
        <v>114</v>
      </c>
      <c r="BC411" s="54">
        <f>AW411+AX411</f>
        <v>0</v>
      </c>
      <c r="BD411" s="54">
        <f>H411/(100-BE411)*100</f>
        <v>0</v>
      </c>
      <c r="BE411" s="54">
        <v>0</v>
      </c>
      <c r="BF411" s="54">
        <f>L411</f>
        <v>2.9E-4</v>
      </c>
      <c r="BH411" s="54">
        <f>G411*AO411</f>
        <v>0</v>
      </c>
      <c r="BI411" s="54">
        <f>G411*AP411</f>
        <v>0</v>
      </c>
      <c r="BJ411" s="54">
        <f>G411*H411</f>
        <v>0</v>
      </c>
      <c r="BK411" s="54"/>
      <c r="BL411" s="54">
        <v>766</v>
      </c>
      <c r="BW411" s="54">
        <v>21</v>
      </c>
      <c r="BX411" s="3" t="s">
        <v>946</v>
      </c>
    </row>
    <row r="412" spans="1:76" ht="14.5" x14ac:dyDescent="0.35">
      <c r="A412" s="57"/>
      <c r="D412" s="58" t="s">
        <v>922</v>
      </c>
      <c r="E412" s="59" t="s">
        <v>10</v>
      </c>
      <c r="G412" s="60">
        <v>29</v>
      </c>
      <c r="M412" s="61"/>
    </row>
    <row r="413" spans="1:76" ht="14.5" x14ac:dyDescent="0.35">
      <c r="A413" s="1" t="s">
        <v>948</v>
      </c>
      <c r="B413" s="2" t="s">
        <v>103</v>
      </c>
      <c r="C413" s="2" t="s">
        <v>949</v>
      </c>
      <c r="D413" s="155" t="s">
        <v>950</v>
      </c>
      <c r="E413" s="153"/>
      <c r="F413" s="2" t="s">
        <v>481</v>
      </c>
      <c r="G413" s="54">
        <v>29</v>
      </c>
      <c r="H413" s="84">
        <v>0</v>
      </c>
      <c r="I413" s="54">
        <f>G413*H413</f>
        <v>0</v>
      </c>
      <c r="J413" s="54">
        <v>0</v>
      </c>
      <c r="K413" s="54">
        <v>0</v>
      </c>
      <c r="L413" s="54">
        <f>G413*J413</f>
        <v>0</v>
      </c>
      <c r="M413" s="55" t="s">
        <v>10</v>
      </c>
      <c r="Z413" s="54">
        <f>IF(AQ413="5",BJ413,0)</f>
        <v>0</v>
      </c>
      <c r="AB413" s="54">
        <f>IF(AQ413="1",BH413,0)</f>
        <v>0</v>
      </c>
      <c r="AC413" s="54">
        <f>IF(AQ413="1",BI413,0)</f>
        <v>0</v>
      </c>
      <c r="AD413" s="54">
        <f>IF(AQ413="7",BH413,0)</f>
        <v>0</v>
      </c>
      <c r="AE413" s="54">
        <f>IF(AQ413="7",BI413,0)</f>
        <v>0</v>
      </c>
      <c r="AF413" s="54">
        <f>IF(AQ413="2",BH413,0)</f>
        <v>0</v>
      </c>
      <c r="AG413" s="54">
        <f>IF(AQ413="2",BI413,0)</f>
        <v>0</v>
      </c>
      <c r="AH413" s="54">
        <f>IF(AQ413="0",BJ413,0)</f>
        <v>0</v>
      </c>
      <c r="AI413" s="34" t="s">
        <v>103</v>
      </c>
      <c r="AJ413" s="54">
        <f>IF(AN413=0,I413,0)</f>
        <v>0</v>
      </c>
      <c r="AK413" s="54">
        <f>IF(AN413=12,I413,0)</f>
        <v>0</v>
      </c>
      <c r="AL413" s="54">
        <f>IF(AN413=21,I413,0)</f>
        <v>0</v>
      </c>
      <c r="AN413" s="54">
        <v>21</v>
      </c>
      <c r="AO413" s="54">
        <f>H413*0</f>
        <v>0</v>
      </c>
      <c r="AP413" s="54">
        <f>H413*(1-0)</f>
        <v>0</v>
      </c>
      <c r="AQ413" s="56" t="s">
        <v>168</v>
      </c>
      <c r="AV413" s="54">
        <f>AW413+AX413</f>
        <v>0</v>
      </c>
      <c r="AW413" s="54">
        <f>G413*AO413</f>
        <v>0</v>
      </c>
      <c r="AX413" s="54">
        <f>G413*AP413</f>
        <v>0</v>
      </c>
      <c r="AY413" s="56" t="s">
        <v>866</v>
      </c>
      <c r="AZ413" s="56" t="s">
        <v>855</v>
      </c>
      <c r="BA413" s="34" t="s">
        <v>114</v>
      </c>
      <c r="BC413" s="54">
        <f>AW413+AX413</f>
        <v>0</v>
      </c>
      <c r="BD413" s="54">
        <f>H413/(100-BE413)*100</f>
        <v>0</v>
      </c>
      <c r="BE413" s="54">
        <v>0</v>
      </c>
      <c r="BF413" s="54">
        <f>L413</f>
        <v>0</v>
      </c>
      <c r="BH413" s="54">
        <f>G413*AO413</f>
        <v>0</v>
      </c>
      <c r="BI413" s="54">
        <f>G413*AP413</f>
        <v>0</v>
      </c>
      <c r="BJ413" s="54">
        <f>G413*H413</f>
        <v>0</v>
      </c>
      <c r="BK413" s="54"/>
      <c r="BL413" s="54">
        <v>766</v>
      </c>
      <c r="BW413" s="54">
        <v>21</v>
      </c>
      <c r="BX413" s="3" t="s">
        <v>950</v>
      </c>
    </row>
    <row r="414" spans="1:76" ht="14.5" x14ac:dyDescent="0.35">
      <c r="A414" s="57"/>
      <c r="D414" s="58" t="s">
        <v>922</v>
      </c>
      <c r="E414" s="59" t="s">
        <v>952</v>
      </c>
      <c r="G414" s="60">
        <v>29</v>
      </c>
      <c r="M414" s="61"/>
    </row>
    <row r="415" spans="1:76" ht="14.5" x14ac:dyDescent="0.35">
      <c r="A415" s="1" t="s">
        <v>953</v>
      </c>
      <c r="B415" s="2" t="s">
        <v>103</v>
      </c>
      <c r="C415" s="2" t="s">
        <v>954</v>
      </c>
      <c r="D415" s="155" t="s">
        <v>955</v>
      </c>
      <c r="E415" s="153"/>
      <c r="F415" s="2" t="s">
        <v>153</v>
      </c>
      <c r="G415" s="54">
        <v>149.625</v>
      </c>
      <c r="H415" s="84">
        <v>0</v>
      </c>
      <c r="I415" s="54">
        <f>G415*H415</f>
        <v>0</v>
      </c>
      <c r="J415" s="54">
        <v>1.6000000000000001E-4</v>
      </c>
      <c r="K415" s="54">
        <v>0</v>
      </c>
      <c r="L415" s="54">
        <f>G415*J415</f>
        <v>2.3940000000000003E-2</v>
      </c>
      <c r="M415" s="55" t="s">
        <v>111</v>
      </c>
      <c r="Z415" s="54">
        <f>IF(AQ415="5",BJ415,0)</f>
        <v>0</v>
      </c>
      <c r="AB415" s="54">
        <f>IF(AQ415="1",BH415,0)</f>
        <v>0</v>
      </c>
      <c r="AC415" s="54">
        <f>IF(AQ415="1",BI415,0)</f>
        <v>0</v>
      </c>
      <c r="AD415" s="54">
        <f>IF(AQ415="7",BH415,0)</f>
        <v>0</v>
      </c>
      <c r="AE415" s="54">
        <f>IF(AQ415="7",BI415,0)</f>
        <v>0</v>
      </c>
      <c r="AF415" s="54">
        <f>IF(AQ415="2",BH415,0)</f>
        <v>0</v>
      </c>
      <c r="AG415" s="54">
        <f>IF(AQ415="2",BI415,0)</f>
        <v>0</v>
      </c>
      <c r="AH415" s="54">
        <f>IF(AQ415="0",BJ415,0)</f>
        <v>0</v>
      </c>
      <c r="AI415" s="34" t="s">
        <v>103</v>
      </c>
      <c r="AJ415" s="54">
        <f>IF(AN415=0,I415,0)</f>
        <v>0</v>
      </c>
      <c r="AK415" s="54">
        <f>IF(AN415=12,I415,0)</f>
        <v>0</v>
      </c>
      <c r="AL415" s="54">
        <f>IF(AN415=21,I415,0)</f>
        <v>0</v>
      </c>
      <c r="AN415" s="54">
        <v>21</v>
      </c>
      <c r="AO415" s="54">
        <f>H415*0.015402295</f>
        <v>0</v>
      </c>
      <c r="AP415" s="54">
        <f>H415*(1-0.015402295)</f>
        <v>0</v>
      </c>
      <c r="AQ415" s="56" t="s">
        <v>168</v>
      </c>
      <c r="AV415" s="54">
        <f>AW415+AX415</f>
        <v>0</v>
      </c>
      <c r="AW415" s="54">
        <f>G415*AO415</f>
        <v>0</v>
      </c>
      <c r="AX415" s="54">
        <f>G415*AP415</f>
        <v>0</v>
      </c>
      <c r="AY415" s="56" t="s">
        <v>866</v>
      </c>
      <c r="AZ415" s="56" t="s">
        <v>855</v>
      </c>
      <c r="BA415" s="34" t="s">
        <v>114</v>
      </c>
      <c r="BC415" s="54">
        <f>AW415+AX415</f>
        <v>0</v>
      </c>
      <c r="BD415" s="54">
        <f>H415/(100-BE415)*100</f>
        <v>0</v>
      </c>
      <c r="BE415" s="54">
        <v>0</v>
      </c>
      <c r="BF415" s="54">
        <f>L415</f>
        <v>2.3940000000000003E-2</v>
      </c>
      <c r="BH415" s="54">
        <f>G415*AO415</f>
        <v>0</v>
      </c>
      <c r="BI415" s="54">
        <f>G415*AP415</f>
        <v>0</v>
      </c>
      <c r="BJ415" s="54">
        <f>G415*H415</f>
        <v>0</v>
      </c>
      <c r="BK415" s="54"/>
      <c r="BL415" s="54">
        <v>766</v>
      </c>
      <c r="BW415" s="54">
        <v>21</v>
      </c>
      <c r="BX415" s="3" t="s">
        <v>955</v>
      </c>
    </row>
    <row r="416" spans="1:76" ht="14.5" x14ac:dyDescent="0.35">
      <c r="A416" s="57"/>
      <c r="D416" s="58" t="s">
        <v>957</v>
      </c>
      <c r="E416" s="59" t="s">
        <v>10</v>
      </c>
      <c r="G416" s="60">
        <v>119.7</v>
      </c>
      <c r="M416" s="61"/>
    </row>
    <row r="417" spans="1:76" ht="14.5" x14ac:dyDescent="0.35">
      <c r="A417" s="57"/>
      <c r="D417" s="58" t="s">
        <v>958</v>
      </c>
      <c r="E417" s="59" t="s">
        <v>10</v>
      </c>
      <c r="G417" s="60">
        <v>24.15</v>
      </c>
      <c r="M417" s="61"/>
    </row>
    <row r="418" spans="1:76" ht="14.5" x14ac:dyDescent="0.35">
      <c r="A418" s="57"/>
      <c r="D418" s="58" t="s">
        <v>959</v>
      </c>
      <c r="E418" s="59" t="s">
        <v>10</v>
      </c>
      <c r="G418" s="60">
        <v>5.7750000000000004</v>
      </c>
      <c r="M418" s="61"/>
    </row>
    <row r="419" spans="1:76" ht="14.5" x14ac:dyDescent="0.35">
      <c r="A419" s="1" t="s">
        <v>960</v>
      </c>
      <c r="B419" s="2" t="s">
        <v>103</v>
      </c>
      <c r="C419" s="2" t="s">
        <v>961</v>
      </c>
      <c r="D419" s="155" t="s">
        <v>962</v>
      </c>
      <c r="E419" s="153"/>
      <c r="F419" s="2" t="s">
        <v>153</v>
      </c>
      <c r="G419" s="54">
        <v>34.776000000000003</v>
      </c>
      <c r="H419" s="84">
        <v>0</v>
      </c>
      <c r="I419" s="54">
        <f>G419*H419</f>
        <v>0</v>
      </c>
      <c r="J419" s="54">
        <v>1.6000000000000001E-4</v>
      </c>
      <c r="K419" s="54">
        <v>0</v>
      </c>
      <c r="L419" s="54">
        <f>G419*J419</f>
        <v>5.5641600000000012E-3</v>
      </c>
      <c r="M419" s="55" t="s">
        <v>616</v>
      </c>
      <c r="Z419" s="54">
        <f>IF(AQ419="5",BJ419,0)</f>
        <v>0</v>
      </c>
      <c r="AB419" s="54">
        <f>IF(AQ419="1",BH419,0)</f>
        <v>0</v>
      </c>
      <c r="AC419" s="54">
        <f>IF(AQ419="1",BI419,0)</f>
        <v>0</v>
      </c>
      <c r="AD419" s="54">
        <f>IF(AQ419="7",BH419,0)</f>
        <v>0</v>
      </c>
      <c r="AE419" s="54">
        <f>IF(AQ419="7",BI419,0)</f>
        <v>0</v>
      </c>
      <c r="AF419" s="54">
        <f>IF(AQ419="2",BH419,0)</f>
        <v>0</v>
      </c>
      <c r="AG419" s="54">
        <f>IF(AQ419="2",BI419,0)</f>
        <v>0</v>
      </c>
      <c r="AH419" s="54">
        <f>IF(AQ419="0",BJ419,0)</f>
        <v>0</v>
      </c>
      <c r="AI419" s="34" t="s">
        <v>103</v>
      </c>
      <c r="AJ419" s="54">
        <f>IF(AN419=0,I419,0)</f>
        <v>0</v>
      </c>
      <c r="AK419" s="54">
        <f>IF(AN419=12,I419,0)</f>
        <v>0</v>
      </c>
      <c r="AL419" s="54">
        <f>IF(AN419=21,I419,0)</f>
        <v>0</v>
      </c>
      <c r="AN419" s="54">
        <v>21</v>
      </c>
      <c r="AO419" s="54">
        <f>H419*0.015402287</f>
        <v>0</v>
      </c>
      <c r="AP419" s="54">
        <f>H419*(1-0.015402287)</f>
        <v>0</v>
      </c>
      <c r="AQ419" s="56" t="s">
        <v>168</v>
      </c>
      <c r="AV419" s="54">
        <f>AW419+AX419</f>
        <v>0</v>
      </c>
      <c r="AW419" s="54">
        <f>G419*AO419</f>
        <v>0</v>
      </c>
      <c r="AX419" s="54">
        <f>G419*AP419</f>
        <v>0</v>
      </c>
      <c r="AY419" s="56" t="s">
        <v>866</v>
      </c>
      <c r="AZ419" s="56" t="s">
        <v>855</v>
      </c>
      <c r="BA419" s="34" t="s">
        <v>114</v>
      </c>
      <c r="BC419" s="54">
        <f>AW419+AX419</f>
        <v>0</v>
      </c>
      <c r="BD419" s="54">
        <f>H419/(100-BE419)*100</f>
        <v>0</v>
      </c>
      <c r="BE419" s="54">
        <v>0</v>
      </c>
      <c r="BF419" s="54">
        <f>L419</f>
        <v>5.5641600000000012E-3</v>
      </c>
      <c r="BH419" s="54">
        <f>G419*AO419</f>
        <v>0</v>
      </c>
      <c r="BI419" s="54">
        <f>G419*AP419</f>
        <v>0</v>
      </c>
      <c r="BJ419" s="54">
        <f>G419*H419</f>
        <v>0</v>
      </c>
      <c r="BK419" s="54"/>
      <c r="BL419" s="54">
        <v>766</v>
      </c>
      <c r="BW419" s="54">
        <v>21</v>
      </c>
      <c r="BX419" s="3" t="s">
        <v>962</v>
      </c>
    </row>
    <row r="420" spans="1:76" ht="14.5" x14ac:dyDescent="0.35">
      <c r="A420" s="57"/>
      <c r="D420" s="58" t="s">
        <v>963</v>
      </c>
      <c r="E420" s="59" t="s">
        <v>10</v>
      </c>
      <c r="G420" s="60">
        <v>34.776000000000003</v>
      </c>
      <c r="M420" s="61"/>
    </row>
    <row r="421" spans="1:76" ht="14.5" x14ac:dyDescent="0.35">
      <c r="A421" s="1" t="s">
        <v>964</v>
      </c>
      <c r="B421" s="2" t="s">
        <v>103</v>
      </c>
      <c r="C421" s="2" t="s">
        <v>965</v>
      </c>
      <c r="D421" s="155" t="s">
        <v>966</v>
      </c>
      <c r="E421" s="153"/>
      <c r="F421" s="2" t="s">
        <v>412</v>
      </c>
      <c r="G421" s="54">
        <v>2.633</v>
      </c>
      <c r="H421" s="84">
        <v>0</v>
      </c>
      <c r="I421" s="54">
        <f>G421*H421</f>
        <v>0</v>
      </c>
      <c r="J421" s="54">
        <v>0</v>
      </c>
      <c r="K421" s="54">
        <v>0</v>
      </c>
      <c r="L421" s="54">
        <f>G421*J421</f>
        <v>0</v>
      </c>
      <c r="M421" s="55" t="s">
        <v>111</v>
      </c>
      <c r="Z421" s="54">
        <f>IF(AQ421="5",BJ421,0)</f>
        <v>0</v>
      </c>
      <c r="AB421" s="54">
        <f>IF(AQ421="1",BH421,0)</f>
        <v>0</v>
      </c>
      <c r="AC421" s="54">
        <f>IF(AQ421="1",BI421,0)</f>
        <v>0</v>
      </c>
      <c r="AD421" s="54">
        <f>IF(AQ421="7",BH421,0)</f>
        <v>0</v>
      </c>
      <c r="AE421" s="54">
        <f>IF(AQ421="7",BI421,0)</f>
        <v>0</v>
      </c>
      <c r="AF421" s="54">
        <f>IF(AQ421="2",BH421,0)</f>
        <v>0</v>
      </c>
      <c r="AG421" s="54">
        <f>IF(AQ421="2",BI421,0)</f>
        <v>0</v>
      </c>
      <c r="AH421" s="54">
        <f>IF(AQ421="0",BJ421,0)</f>
        <v>0</v>
      </c>
      <c r="AI421" s="34" t="s">
        <v>103</v>
      </c>
      <c r="AJ421" s="54">
        <f>IF(AN421=0,I421,0)</f>
        <v>0</v>
      </c>
      <c r="AK421" s="54">
        <f>IF(AN421=12,I421,0)</f>
        <v>0</v>
      </c>
      <c r="AL421" s="54">
        <f>IF(AN421=21,I421,0)</f>
        <v>0</v>
      </c>
      <c r="AN421" s="54">
        <v>21</v>
      </c>
      <c r="AO421" s="54">
        <f>H421*0</f>
        <v>0</v>
      </c>
      <c r="AP421" s="54">
        <f>H421*(1-0)</f>
        <v>0</v>
      </c>
      <c r="AQ421" s="56" t="s">
        <v>150</v>
      </c>
      <c r="AV421" s="54">
        <f>AW421+AX421</f>
        <v>0</v>
      </c>
      <c r="AW421" s="54">
        <f>G421*AO421</f>
        <v>0</v>
      </c>
      <c r="AX421" s="54">
        <f>G421*AP421</f>
        <v>0</v>
      </c>
      <c r="AY421" s="56" t="s">
        <v>866</v>
      </c>
      <c r="AZ421" s="56" t="s">
        <v>855</v>
      </c>
      <c r="BA421" s="34" t="s">
        <v>114</v>
      </c>
      <c r="BC421" s="54">
        <f>AW421+AX421</f>
        <v>0</v>
      </c>
      <c r="BD421" s="54">
        <f>H421/(100-BE421)*100</f>
        <v>0</v>
      </c>
      <c r="BE421" s="54">
        <v>0</v>
      </c>
      <c r="BF421" s="54">
        <f>L421</f>
        <v>0</v>
      </c>
      <c r="BH421" s="54">
        <f>G421*AO421</f>
        <v>0</v>
      </c>
      <c r="BI421" s="54">
        <f>G421*AP421</f>
        <v>0</v>
      </c>
      <c r="BJ421" s="54">
        <f>G421*H421</f>
        <v>0</v>
      </c>
      <c r="BK421" s="54"/>
      <c r="BL421" s="54">
        <v>766</v>
      </c>
      <c r="BW421" s="54">
        <v>21</v>
      </c>
      <c r="BX421" s="3" t="s">
        <v>966</v>
      </c>
    </row>
    <row r="422" spans="1:76" ht="25" x14ac:dyDescent="0.35">
      <c r="A422" s="1" t="s">
        <v>967</v>
      </c>
      <c r="B422" s="2" t="s">
        <v>103</v>
      </c>
      <c r="C422" s="2" t="s">
        <v>968</v>
      </c>
      <c r="D422" s="155" t="s">
        <v>969</v>
      </c>
      <c r="E422" s="153"/>
      <c r="F422" s="2" t="s">
        <v>581</v>
      </c>
      <c r="G422" s="54">
        <v>1</v>
      </c>
      <c r="H422" s="84">
        <v>0</v>
      </c>
      <c r="I422" s="54">
        <f>G422*H422</f>
        <v>0</v>
      </c>
      <c r="J422" s="54">
        <v>0</v>
      </c>
      <c r="K422" s="54">
        <v>0</v>
      </c>
      <c r="L422" s="54">
        <f>G422*J422</f>
        <v>0</v>
      </c>
      <c r="M422" s="55" t="s">
        <v>616</v>
      </c>
      <c r="Z422" s="54">
        <f>IF(AQ422="5",BJ422,0)</f>
        <v>0</v>
      </c>
      <c r="AB422" s="54">
        <f>IF(AQ422="1",BH422,0)</f>
        <v>0</v>
      </c>
      <c r="AC422" s="54">
        <f>IF(AQ422="1",BI422,0)</f>
        <v>0</v>
      </c>
      <c r="AD422" s="54">
        <f>IF(AQ422="7",BH422,0)</f>
        <v>0</v>
      </c>
      <c r="AE422" s="54">
        <f>IF(AQ422="7",BI422,0)</f>
        <v>0</v>
      </c>
      <c r="AF422" s="54">
        <f>IF(AQ422="2",BH422,0)</f>
        <v>0</v>
      </c>
      <c r="AG422" s="54">
        <f>IF(AQ422="2",BI422,0)</f>
        <v>0</v>
      </c>
      <c r="AH422" s="54">
        <f>IF(AQ422="0",BJ422,0)</f>
        <v>0</v>
      </c>
      <c r="AI422" s="34" t="s">
        <v>103</v>
      </c>
      <c r="AJ422" s="54">
        <f>IF(AN422=0,I422,0)</f>
        <v>0</v>
      </c>
      <c r="AK422" s="54">
        <f>IF(AN422=12,I422,0)</f>
        <v>0</v>
      </c>
      <c r="AL422" s="54">
        <f>IF(AN422=21,I422,0)</f>
        <v>0</v>
      </c>
      <c r="AN422" s="54">
        <v>21</v>
      </c>
      <c r="AO422" s="54">
        <f>H422*0</f>
        <v>0</v>
      </c>
      <c r="AP422" s="54">
        <f>H422*(1-0)</f>
        <v>0</v>
      </c>
      <c r="AQ422" s="56" t="s">
        <v>150</v>
      </c>
      <c r="AV422" s="54">
        <f>AW422+AX422</f>
        <v>0</v>
      </c>
      <c r="AW422" s="54">
        <f>G422*AO422</f>
        <v>0</v>
      </c>
      <c r="AX422" s="54">
        <f>G422*AP422</f>
        <v>0</v>
      </c>
      <c r="AY422" s="56" t="s">
        <v>866</v>
      </c>
      <c r="AZ422" s="56" t="s">
        <v>855</v>
      </c>
      <c r="BA422" s="34" t="s">
        <v>114</v>
      </c>
      <c r="BC422" s="54">
        <f>AW422+AX422</f>
        <v>0</v>
      </c>
      <c r="BD422" s="54">
        <f>H422/(100-BE422)*100</f>
        <v>0</v>
      </c>
      <c r="BE422" s="54">
        <v>0</v>
      </c>
      <c r="BF422" s="54">
        <f>L422</f>
        <v>0</v>
      </c>
      <c r="BH422" s="54">
        <f>G422*AO422</f>
        <v>0</v>
      </c>
      <c r="BI422" s="54">
        <f>G422*AP422</f>
        <v>0</v>
      </c>
      <c r="BJ422" s="54">
        <f>G422*H422</f>
        <v>0</v>
      </c>
      <c r="BK422" s="54"/>
      <c r="BL422" s="54">
        <v>766</v>
      </c>
      <c r="BW422" s="54">
        <v>21</v>
      </c>
      <c r="BX422" s="3" t="s">
        <v>969</v>
      </c>
    </row>
    <row r="423" spans="1:76" ht="14.5" x14ac:dyDescent="0.35">
      <c r="A423" s="57"/>
      <c r="D423" s="58" t="s">
        <v>107</v>
      </c>
      <c r="E423" s="59" t="s">
        <v>971</v>
      </c>
      <c r="G423" s="60">
        <v>1</v>
      </c>
      <c r="M423" s="61"/>
    </row>
    <row r="424" spans="1:76" ht="14.5" x14ac:dyDescent="0.35">
      <c r="A424" s="50" t="s">
        <v>10</v>
      </c>
      <c r="B424" s="51" t="s">
        <v>103</v>
      </c>
      <c r="C424" s="51" t="s">
        <v>972</v>
      </c>
      <c r="D424" s="206" t="s">
        <v>973</v>
      </c>
      <c r="E424" s="207"/>
      <c r="F424" s="52" t="s">
        <v>84</v>
      </c>
      <c r="G424" s="52" t="s">
        <v>84</v>
      </c>
      <c r="H424" s="83" t="s">
        <v>84</v>
      </c>
      <c r="I424" s="27">
        <f>SUM(I425:I425)</f>
        <v>0</v>
      </c>
      <c r="J424" s="34" t="s">
        <v>10</v>
      </c>
      <c r="K424" s="34" t="s">
        <v>10</v>
      </c>
      <c r="L424" s="27">
        <f>SUM(L425:L425)</f>
        <v>2.4379999999999999E-2</v>
      </c>
      <c r="M424" s="53" t="s">
        <v>10</v>
      </c>
      <c r="AI424" s="34" t="s">
        <v>103</v>
      </c>
      <c r="AS424" s="27">
        <f>SUM(AJ425:AJ425)</f>
        <v>0</v>
      </c>
      <c r="AT424" s="27">
        <f>SUM(AK425:AK425)</f>
        <v>0</v>
      </c>
      <c r="AU424" s="27">
        <f>SUM(AL425:AL425)</f>
        <v>0</v>
      </c>
    </row>
    <row r="425" spans="1:76" ht="14.5" x14ac:dyDescent="0.35">
      <c r="A425" s="1" t="s">
        <v>974</v>
      </c>
      <c r="B425" s="2" t="s">
        <v>103</v>
      </c>
      <c r="C425" s="2" t="s">
        <v>975</v>
      </c>
      <c r="D425" s="155" t="s">
        <v>976</v>
      </c>
      <c r="E425" s="153"/>
      <c r="F425" s="2" t="s">
        <v>977</v>
      </c>
      <c r="G425" s="54">
        <v>23</v>
      </c>
      <c r="H425" s="84">
        <v>0</v>
      </c>
      <c r="I425" s="54">
        <f>G425*H425</f>
        <v>0</v>
      </c>
      <c r="J425" s="54">
        <v>1.06E-3</v>
      </c>
      <c r="K425" s="54">
        <v>1E-3</v>
      </c>
      <c r="L425" s="54">
        <f>G425*J425</f>
        <v>2.4379999999999999E-2</v>
      </c>
      <c r="M425" s="55" t="s">
        <v>111</v>
      </c>
      <c r="Z425" s="54">
        <f>IF(AQ425="5",BJ425,0)</f>
        <v>0</v>
      </c>
      <c r="AB425" s="54">
        <f>IF(AQ425="1",BH425,0)</f>
        <v>0</v>
      </c>
      <c r="AC425" s="54">
        <f>IF(AQ425="1",BI425,0)</f>
        <v>0</v>
      </c>
      <c r="AD425" s="54">
        <f>IF(AQ425="7",BH425,0)</f>
        <v>0</v>
      </c>
      <c r="AE425" s="54">
        <f>IF(AQ425="7",BI425,0)</f>
        <v>0</v>
      </c>
      <c r="AF425" s="54">
        <f>IF(AQ425="2",BH425,0)</f>
        <v>0</v>
      </c>
      <c r="AG425" s="54">
        <f>IF(AQ425="2",BI425,0)</f>
        <v>0</v>
      </c>
      <c r="AH425" s="54">
        <f>IF(AQ425="0",BJ425,0)</f>
        <v>0</v>
      </c>
      <c r="AI425" s="34" t="s">
        <v>103</v>
      </c>
      <c r="AJ425" s="54">
        <f>IF(AN425=0,I425,0)</f>
        <v>0</v>
      </c>
      <c r="AK425" s="54">
        <f>IF(AN425=12,I425,0)</f>
        <v>0</v>
      </c>
      <c r="AL425" s="54">
        <f>IF(AN425=21,I425,0)</f>
        <v>0</v>
      </c>
      <c r="AN425" s="54">
        <v>21</v>
      </c>
      <c r="AO425" s="54">
        <f>H425*0.196373057</f>
        <v>0</v>
      </c>
      <c r="AP425" s="54">
        <f>H425*(1-0.196373057)</f>
        <v>0</v>
      </c>
      <c r="AQ425" s="56" t="s">
        <v>168</v>
      </c>
      <c r="AV425" s="54">
        <f>AW425+AX425</f>
        <v>0</v>
      </c>
      <c r="AW425" s="54">
        <f>G425*AO425</f>
        <v>0</v>
      </c>
      <c r="AX425" s="54">
        <f>G425*AP425</f>
        <v>0</v>
      </c>
      <c r="AY425" s="56" t="s">
        <v>978</v>
      </c>
      <c r="AZ425" s="56" t="s">
        <v>855</v>
      </c>
      <c r="BA425" s="34" t="s">
        <v>114</v>
      </c>
      <c r="BC425" s="54">
        <f>AW425+AX425</f>
        <v>0</v>
      </c>
      <c r="BD425" s="54">
        <f>H425/(100-BE425)*100</f>
        <v>0</v>
      </c>
      <c r="BE425" s="54">
        <v>0</v>
      </c>
      <c r="BF425" s="54">
        <f>L425</f>
        <v>2.4379999999999999E-2</v>
      </c>
      <c r="BH425" s="54">
        <f>G425*AO425</f>
        <v>0</v>
      </c>
      <c r="BI425" s="54">
        <f>G425*AP425</f>
        <v>0</v>
      </c>
      <c r="BJ425" s="54">
        <f>G425*H425</f>
        <v>0</v>
      </c>
      <c r="BK425" s="54"/>
      <c r="BL425" s="54">
        <v>767</v>
      </c>
      <c r="BW425" s="54">
        <v>21</v>
      </c>
      <c r="BX425" s="3" t="s">
        <v>976</v>
      </c>
    </row>
    <row r="426" spans="1:76" ht="14.5" x14ac:dyDescent="0.35">
      <c r="A426" s="57"/>
      <c r="D426" s="58" t="s">
        <v>208</v>
      </c>
      <c r="E426" s="59" t="s">
        <v>979</v>
      </c>
      <c r="G426" s="60">
        <v>0</v>
      </c>
      <c r="M426" s="61"/>
    </row>
    <row r="427" spans="1:76" ht="14.5" x14ac:dyDescent="0.35">
      <c r="A427" s="57"/>
      <c r="D427" s="58" t="s">
        <v>354</v>
      </c>
      <c r="E427" s="59" t="s">
        <v>980</v>
      </c>
      <c r="G427" s="60">
        <v>11</v>
      </c>
      <c r="M427" s="61"/>
    </row>
    <row r="428" spans="1:76" ht="14.5" x14ac:dyDescent="0.35">
      <c r="A428" s="57"/>
      <c r="D428" s="58" t="s">
        <v>981</v>
      </c>
      <c r="E428" s="59" t="s">
        <v>982</v>
      </c>
      <c r="G428" s="60">
        <v>5</v>
      </c>
      <c r="M428" s="61"/>
    </row>
    <row r="429" spans="1:76" ht="14.5" x14ac:dyDescent="0.35">
      <c r="A429" s="57"/>
      <c r="D429" s="58" t="s">
        <v>983</v>
      </c>
      <c r="E429" s="59" t="s">
        <v>984</v>
      </c>
      <c r="G429" s="60">
        <v>7</v>
      </c>
      <c r="M429" s="61"/>
    </row>
    <row r="430" spans="1:76" ht="14.5" x14ac:dyDescent="0.35">
      <c r="A430" s="50" t="s">
        <v>10</v>
      </c>
      <c r="B430" s="51" t="s">
        <v>103</v>
      </c>
      <c r="C430" s="51" t="s">
        <v>985</v>
      </c>
      <c r="D430" s="206" t="s">
        <v>986</v>
      </c>
      <c r="E430" s="207"/>
      <c r="F430" s="52" t="s">
        <v>84</v>
      </c>
      <c r="G430" s="52" t="s">
        <v>84</v>
      </c>
      <c r="H430" s="83" t="s">
        <v>84</v>
      </c>
      <c r="I430" s="27">
        <f>SUM(I431:I478)</f>
        <v>0</v>
      </c>
      <c r="J430" s="34" t="s">
        <v>10</v>
      </c>
      <c r="K430" s="34" t="s">
        <v>10</v>
      </c>
      <c r="L430" s="27">
        <f>SUM(L431:L478)</f>
        <v>6.4211432799999999</v>
      </c>
      <c r="M430" s="53" t="s">
        <v>10</v>
      </c>
      <c r="AI430" s="34" t="s">
        <v>103</v>
      </c>
      <c r="AS430" s="27">
        <f>SUM(AJ431:AJ478)</f>
        <v>0</v>
      </c>
      <c r="AT430" s="27">
        <f>SUM(AK431:AK478)</f>
        <v>0</v>
      </c>
      <c r="AU430" s="27">
        <f>SUM(AL431:AL478)</f>
        <v>0</v>
      </c>
    </row>
    <row r="431" spans="1:76" ht="14.5" x14ac:dyDescent="0.35">
      <c r="A431" s="1" t="s">
        <v>987</v>
      </c>
      <c r="B431" s="2" t="s">
        <v>103</v>
      </c>
      <c r="C431" s="2" t="s">
        <v>988</v>
      </c>
      <c r="D431" s="155" t="s">
        <v>989</v>
      </c>
      <c r="E431" s="153"/>
      <c r="F431" s="2" t="s">
        <v>110</v>
      </c>
      <c r="G431" s="54">
        <v>170.79900000000001</v>
      </c>
      <c r="H431" s="84">
        <v>0</v>
      </c>
      <c r="I431" s="54">
        <f>G431*H431</f>
        <v>0</v>
      </c>
      <c r="J431" s="54">
        <v>9.1900000000000003E-3</v>
      </c>
      <c r="K431" s="54">
        <v>0</v>
      </c>
      <c r="L431" s="54">
        <f>G431*J431</f>
        <v>1.5696428100000002</v>
      </c>
      <c r="M431" s="55" t="s">
        <v>111</v>
      </c>
      <c r="Z431" s="54">
        <f>IF(AQ431="5",BJ431,0)</f>
        <v>0</v>
      </c>
      <c r="AB431" s="54">
        <f>IF(AQ431="1",BH431,0)</f>
        <v>0</v>
      </c>
      <c r="AC431" s="54">
        <f>IF(AQ431="1",BI431,0)</f>
        <v>0</v>
      </c>
      <c r="AD431" s="54">
        <f>IF(AQ431="7",BH431,0)</f>
        <v>0</v>
      </c>
      <c r="AE431" s="54">
        <f>IF(AQ431="7",BI431,0)</f>
        <v>0</v>
      </c>
      <c r="AF431" s="54">
        <f>IF(AQ431="2",BH431,0)</f>
        <v>0</v>
      </c>
      <c r="AG431" s="54">
        <f>IF(AQ431="2",BI431,0)</f>
        <v>0</v>
      </c>
      <c r="AH431" s="54">
        <f>IF(AQ431="0",BJ431,0)</f>
        <v>0</v>
      </c>
      <c r="AI431" s="34" t="s">
        <v>103</v>
      </c>
      <c r="AJ431" s="54">
        <f>IF(AN431=0,I431,0)</f>
        <v>0</v>
      </c>
      <c r="AK431" s="54">
        <f>IF(AN431=12,I431,0)</f>
        <v>0</v>
      </c>
      <c r="AL431" s="54">
        <f>IF(AN431=21,I431,0)</f>
        <v>0</v>
      </c>
      <c r="AN431" s="54">
        <v>21</v>
      </c>
      <c r="AO431" s="54">
        <f>H431*0.442246464</f>
        <v>0</v>
      </c>
      <c r="AP431" s="54">
        <f>H431*(1-0.442246464)</f>
        <v>0</v>
      </c>
      <c r="AQ431" s="56" t="s">
        <v>168</v>
      </c>
      <c r="AV431" s="54">
        <f>AW431+AX431</f>
        <v>0</v>
      </c>
      <c r="AW431" s="54">
        <f>G431*AO431</f>
        <v>0</v>
      </c>
      <c r="AX431" s="54">
        <f>G431*AP431</f>
        <v>0</v>
      </c>
      <c r="AY431" s="56" t="s">
        <v>990</v>
      </c>
      <c r="AZ431" s="56" t="s">
        <v>991</v>
      </c>
      <c r="BA431" s="34" t="s">
        <v>114</v>
      </c>
      <c r="BC431" s="54">
        <f>AW431+AX431</f>
        <v>0</v>
      </c>
      <c r="BD431" s="54">
        <f>H431/(100-BE431)*100</f>
        <v>0</v>
      </c>
      <c r="BE431" s="54">
        <v>0</v>
      </c>
      <c r="BF431" s="54">
        <f>L431</f>
        <v>1.5696428100000002</v>
      </c>
      <c r="BH431" s="54">
        <f>G431*AO431</f>
        <v>0</v>
      </c>
      <c r="BI431" s="54">
        <f>G431*AP431</f>
        <v>0</v>
      </c>
      <c r="BJ431" s="54">
        <f>G431*H431</f>
        <v>0</v>
      </c>
      <c r="BK431" s="54"/>
      <c r="BL431" s="54">
        <v>771</v>
      </c>
      <c r="BW431" s="54">
        <v>21</v>
      </c>
      <c r="BX431" s="3" t="s">
        <v>989</v>
      </c>
    </row>
    <row r="432" spans="1:76" ht="14.5" x14ac:dyDescent="0.35">
      <c r="A432" s="57"/>
      <c r="D432" s="58" t="s">
        <v>993</v>
      </c>
      <c r="E432" s="59" t="s">
        <v>994</v>
      </c>
      <c r="G432" s="60">
        <v>40.939</v>
      </c>
      <c r="M432" s="61"/>
    </row>
    <row r="433" spans="1:76" ht="14.5" x14ac:dyDescent="0.35">
      <c r="A433" s="57"/>
      <c r="D433" s="58" t="s">
        <v>10</v>
      </c>
      <c r="E433" s="59" t="s">
        <v>995</v>
      </c>
      <c r="G433" s="60">
        <v>0</v>
      </c>
      <c r="M433" s="61"/>
    </row>
    <row r="434" spans="1:76" ht="14.5" x14ac:dyDescent="0.35">
      <c r="A434" s="57"/>
      <c r="D434" s="58" t="s">
        <v>996</v>
      </c>
      <c r="E434" s="59" t="s">
        <v>997</v>
      </c>
      <c r="G434" s="60">
        <v>88.58</v>
      </c>
      <c r="M434" s="61"/>
    </row>
    <row r="435" spans="1:76" ht="14.5" x14ac:dyDescent="0.35">
      <c r="A435" s="57"/>
      <c r="D435" s="58" t="s">
        <v>336</v>
      </c>
      <c r="E435" s="59" t="s">
        <v>337</v>
      </c>
      <c r="G435" s="60">
        <v>22.54</v>
      </c>
      <c r="M435" s="61"/>
    </row>
    <row r="436" spans="1:76" ht="14.5" x14ac:dyDescent="0.35">
      <c r="A436" s="57"/>
      <c r="D436" s="58" t="s">
        <v>338</v>
      </c>
      <c r="E436" s="59" t="s">
        <v>339</v>
      </c>
      <c r="G436" s="60">
        <v>17.23</v>
      </c>
      <c r="M436" s="61"/>
    </row>
    <row r="437" spans="1:76" ht="14.5" x14ac:dyDescent="0.35">
      <c r="A437" s="57"/>
      <c r="D437" s="58" t="s">
        <v>341</v>
      </c>
      <c r="E437" s="59" t="s">
        <v>342</v>
      </c>
      <c r="G437" s="60">
        <v>1.51</v>
      </c>
      <c r="M437" s="61"/>
    </row>
    <row r="438" spans="1:76" ht="25" x14ac:dyDescent="0.35">
      <c r="A438" s="1" t="s">
        <v>999</v>
      </c>
      <c r="B438" s="2" t="s">
        <v>103</v>
      </c>
      <c r="C438" s="2" t="s">
        <v>1000</v>
      </c>
      <c r="D438" s="155" t="s">
        <v>1001</v>
      </c>
      <c r="E438" s="153"/>
      <c r="F438" s="2" t="s">
        <v>153</v>
      </c>
      <c r="G438" s="54">
        <v>94.95</v>
      </c>
      <c r="H438" s="84">
        <v>0</v>
      </c>
      <c r="I438" s="54">
        <f>G438*H438</f>
        <v>0</v>
      </c>
      <c r="J438" s="54">
        <v>3.2000000000000003E-4</v>
      </c>
      <c r="K438" s="54">
        <v>0</v>
      </c>
      <c r="L438" s="54">
        <f>G438*J438</f>
        <v>3.0384000000000005E-2</v>
      </c>
      <c r="M438" s="55" t="s">
        <v>10</v>
      </c>
      <c r="Z438" s="54">
        <f>IF(AQ438="5",BJ438,0)</f>
        <v>0</v>
      </c>
      <c r="AB438" s="54">
        <f>IF(AQ438="1",BH438,0)</f>
        <v>0</v>
      </c>
      <c r="AC438" s="54">
        <f>IF(AQ438="1",BI438,0)</f>
        <v>0</v>
      </c>
      <c r="AD438" s="54">
        <f>IF(AQ438="7",BH438,0)</f>
        <v>0</v>
      </c>
      <c r="AE438" s="54">
        <f>IF(AQ438="7",BI438,0)</f>
        <v>0</v>
      </c>
      <c r="AF438" s="54">
        <f>IF(AQ438="2",BH438,0)</f>
        <v>0</v>
      </c>
      <c r="AG438" s="54">
        <f>IF(AQ438="2",BI438,0)</f>
        <v>0</v>
      </c>
      <c r="AH438" s="54">
        <f>IF(AQ438="0",BJ438,0)</f>
        <v>0</v>
      </c>
      <c r="AI438" s="34" t="s">
        <v>103</v>
      </c>
      <c r="AJ438" s="54">
        <f>IF(AN438=0,I438,0)</f>
        <v>0</v>
      </c>
      <c r="AK438" s="54">
        <f>IF(AN438=12,I438,0)</f>
        <v>0</v>
      </c>
      <c r="AL438" s="54">
        <f>IF(AN438=21,I438,0)</f>
        <v>0</v>
      </c>
      <c r="AN438" s="54">
        <v>21</v>
      </c>
      <c r="AO438" s="54">
        <f>H438*0.096636606</f>
        <v>0</v>
      </c>
      <c r="AP438" s="54">
        <f>H438*(1-0.096636606)</f>
        <v>0</v>
      </c>
      <c r="AQ438" s="56" t="s">
        <v>168</v>
      </c>
      <c r="AV438" s="54">
        <f>AW438+AX438</f>
        <v>0</v>
      </c>
      <c r="AW438" s="54">
        <f>G438*AO438</f>
        <v>0</v>
      </c>
      <c r="AX438" s="54">
        <f>G438*AP438</f>
        <v>0</v>
      </c>
      <c r="AY438" s="56" t="s">
        <v>990</v>
      </c>
      <c r="AZ438" s="56" t="s">
        <v>991</v>
      </c>
      <c r="BA438" s="34" t="s">
        <v>114</v>
      </c>
      <c r="BC438" s="54">
        <f>AW438+AX438</f>
        <v>0</v>
      </c>
      <c r="BD438" s="54">
        <f>H438/(100-BE438)*100</f>
        <v>0</v>
      </c>
      <c r="BE438" s="54">
        <v>0</v>
      </c>
      <c r="BF438" s="54">
        <f>L438</f>
        <v>3.0384000000000005E-2</v>
      </c>
      <c r="BH438" s="54">
        <f>G438*AO438</f>
        <v>0</v>
      </c>
      <c r="BI438" s="54">
        <f>G438*AP438</f>
        <v>0</v>
      </c>
      <c r="BJ438" s="54">
        <f>G438*H438</f>
        <v>0</v>
      </c>
      <c r="BK438" s="54"/>
      <c r="BL438" s="54">
        <v>771</v>
      </c>
      <c r="BW438" s="54">
        <v>21</v>
      </c>
      <c r="BX438" s="3" t="s">
        <v>1001</v>
      </c>
    </row>
    <row r="439" spans="1:76" ht="14.5" x14ac:dyDescent="0.35">
      <c r="A439" s="57"/>
      <c r="D439" s="58" t="s">
        <v>208</v>
      </c>
      <c r="E439" s="59" t="s">
        <v>1003</v>
      </c>
      <c r="G439" s="60">
        <v>0</v>
      </c>
      <c r="M439" s="61"/>
    </row>
    <row r="440" spans="1:76" ht="14.5" x14ac:dyDescent="0.35">
      <c r="A440" s="57"/>
      <c r="D440" s="58" t="s">
        <v>1004</v>
      </c>
      <c r="E440" s="59" t="s">
        <v>1005</v>
      </c>
      <c r="G440" s="60">
        <v>60.86</v>
      </c>
      <c r="M440" s="61"/>
    </row>
    <row r="441" spans="1:76" ht="14.5" x14ac:dyDescent="0.35">
      <c r="A441" s="57"/>
      <c r="D441" s="58" t="s">
        <v>1006</v>
      </c>
      <c r="E441" s="59" t="s">
        <v>1007</v>
      </c>
      <c r="G441" s="60">
        <v>20.190000000000001</v>
      </c>
      <c r="M441" s="61"/>
    </row>
    <row r="442" spans="1:76" ht="14.5" x14ac:dyDescent="0.35">
      <c r="A442" s="57"/>
      <c r="D442" s="58" t="s">
        <v>1008</v>
      </c>
      <c r="E442" s="59" t="s">
        <v>1009</v>
      </c>
      <c r="G442" s="60">
        <v>13.9</v>
      </c>
      <c r="M442" s="61"/>
    </row>
    <row r="443" spans="1:76" ht="25" x14ac:dyDescent="0.35">
      <c r="A443" s="64" t="s">
        <v>1010</v>
      </c>
      <c r="B443" s="65" t="s">
        <v>103</v>
      </c>
      <c r="C443" s="65" t="s">
        <v>1011</v>
      </c>
      <c r="D443" s="217" t="s">
        <v>1012</v>
      </c>
      <c r="E443" s="218"/>
      <c r="F443" s="65" t="s">
        <v>196</v>
      </c>
      <c r="G443" s="67">
        <v>61</v>
      </c>
      <c r="H443" s="85">
        <v>0</v>
      </c>
      <c r="I443" s="67">
        <f>G443*H443</f>
        <v>0</v>
      </c>
      <c r="J443" s="67">
        <v>1.25E-3</v>
      </c>
      <c r="K443" s="67">
        <v>0</v>
      </c>
      <c r="L443" s="67">
        <f>G443*J443</f>
        <v>7.6249999999999998E-2</v>
      </c>
      <c r="M443" s="68" t="s">
        <v>10</v>
      </c>
      <c r="Z443" s="54">
        <f>IF(AQ443="5",BJ443,0)</f>
        <v>0</v>
      </c>
      <c r="AB443" s="54">
        <f>IF(AQ443="1",BH443,0)</f>
        <v>0</v>
      </c>
      <c r="AC443" s="54">
        <f>IF(AQ443="1",BI443,0)</f>
        <v>0</v>
      </c>
      <c r="AD443" s="54">
        <f>IF(AQ443="7",BH443,0)</f>
        <v>0</v>
      </c>
      <c r="AE443" s="54">
        <f>IF(AQ443="7",BI443,0)</f>
        <v>0</v>
      </c>
      <c r="AF443" s="54">
        <f>IF(AQ443="2",BH443,0)</f>
        <v>0</v>
      </c>
      <c r="AG443" s="54">
        <f>IF(AQ443="2",BI443,0)</f>
        <v>0</v>
      </c>
      <c r="AH443" s="54">
        <f>IF(AQ443="0",BJ443,0)</f>
        <v>0</v>
      </c>
      <c r="AI443" s="34" t="s">
        <v>103</v>
      </c>
      <c r="AJ443" s="67">
        <f>IF(AN443=0,I443,0)</f>
        <v>0</v>
      </c>
      <c r="AK443" s="67">
        <f>IF(AN443=12,I443,0)</f>
        <v>0</v>
      </c>
      <c r="AL443" s="67">
        <f>IF(AN443=21,I443,0)</f>
        <v>0</v>
      </c>
      <c r="AN443" s="54">
        <v>21</v>
      </c>
      <c r="AO443" s="54">
        <f>H443*1</f>
        <v>0</v>
      </c>
      <c r="AP443" s="54">
        <f>H443*(1-1)</f>
        <v>0</v>
      </c>
      <c r="AQ443" s="69" t="s">
        <v>168</v>
      </c>
      <c r="AV443" s="54">
        <f>AW443+AX443</f>
        <v>0</v>
      </c>
      <c r="AW443" s="54">
        <f>G443*AO443</f>
        <v>0</v>
      </c>
      <c r="AX443" s="54">
        <f>G443*AP443</f>
        <v>0</v>
      </c>
      <c r="AY443" s="56" t="s">
        <v>990</v>
      </c>
      <c r="AZ443" s="56" t="s">
        <v>991</v>
      </c>
      <c r="BA443" s="34" t="s">
        <v>114</v>
      </c>
      <c r="BC443" s="54">
        <f>AW443+AX443</f>
        <v>0</v>
      </c>
      <c r="BD443" s="54">
        <f>H443/(100-BE443)*100</f>
        <v>0</v>
      </c>
      <c r="BE443" s="54">
        <v>0</v>
      </c>
      <c r="BF443" s="54">
        <f>L443</f>
        <v>7.6249999999999998E-2</v>
      </c>
      <c r="BH443" s="67">
        <f>G443*AO443</f>
        <v>0</v>
      </c>
      <c r="BI443" s="67">
        <f>G443*AP443</f>
        <v>0</v>
      </c>
      <c r="BJ443" s="67">
        <f>G443*H443</f>
        <v>0</v>
      </c>
      <c r="BK443" s="67"/>
      <c r="BL443" s="54">
        <v>771</v>
      </c>
      <c r="BW443" s="54">
        <v>21</v>
      </c>
      <c r="BX443" s="66" t="s">
        <v>1012</v>
      </c>
    </row>
    <row r="444" spans="1:76" ht="14.5" x14ac:dyDescent="0.35">
      <c r="A444" s="57"/>
      <c r="D444" s="58" t="s">
        <v>208</v>
      </c>
      <c r="E444" s="59" t="s">
        <v>1014</v>
      </c>
      <c r="G444" s="60">
        <v>0</v>
      </c>
      <c r="M444" s="61"/>
    </row>
    <row r="445" spans="1:76" ht="14.5" x14ac:dyDescent="0.35">
      <c r="A445" s="57"/>
      <c r="D445" s="58" t="s">
        <v>1015</v>
      </c>
      <c r="E445" s="59" t="s">
        <v>1016</v>
      </c>
      <c r="G445" s="60">
        <v>36.005000000000003</v>
      </c>
      <c r="M445" s="61"/>
    </row>
    <row r="446" spans="1:76" ht="14.5" x14ac:dyDescent="0.35">
      <c r="A446" s="57"/>
      <c r="D446" s="58" t="s">
        <v>1017</v>
      </c>
      <c r="E446" s="59" t="s">
        <v>1018</v>
      </c>
      <c r="G446" s="60">
        <v>24.788</v>
      </c>
      <c r="M446" s="61"/>
    </row>
    <row r="447" spans="1:76" ht="14.5" x14ac:dyDescent="0.35">
      <c r="A447" s="57"/>
      <c r="D447" s="58" t="s">
        <v>1019</v>
      </c>
      <c r="E447" s="59" t="s">
        <v>1020</v>
      </c>
      <c r="G447" s="60">
        <v>0.20699999999999999</v>
      </c>
      <c r="M447" s="61"/>
    </row>
    <row r="448" spans="1:76" ht="14.5" x14ac:dyDescent="0.35">
      <c r="A448" s="64" t="s">
        <v>1021</v>
      </c>
      <c r="B448" s="65" t="s">
        <v>103</v>
      </c>
      <c r="C448" s="65" t="s">
        <v>1022</v>
      </c>
      <c r="D448" s="217" t="s">
        <v>1023</v>
      </c>
      <c r="E448" s="218"/>
      <c r="F448" s="65" t="s">
        <v>196</v>
      </c>
      <c r="G448" s="67">
        <v>110</v>
      </c>
      <c r="H448" s="85">
        <v>0</v>
      </c>
      <c r="I448" s="67">
        <f>G448*H448</f>
        <v>0</v>
      </c>
      <c r="J448" s="67">
        <v>1.25E-3</v>
      </c>
      <c r="K448" s="67">
        <v>0</v>
      </c>
      <c r="L448" s="67">
        <f>G448*J448</f>
        <v>0.13750000000000001</v>
      </c>
      <c r="M448" s="68" t="s">
        <v>10</v>
      </c>
      <c r="Z448" s="54">
        <f>IF(AQ448="5",BJ448,0)</f>
        <v>0</v>
      </c>
      <c r="AB448" s="54">
        <f>IF(AQ448="1",BH448,0)</f>
        <v>0</v>
      </c>
      <c r="AC448" s="54">
        <f>IF(AQ448="1",BI448,0)</f>
        <v>0</v>
      </c>
      <c r="AD448" s="54">
        <f>IF(AQ448="7",BH448,0)</f>
        <v>0</v>
      </c>
      <c r="AE448" s="54">
        <f>IF(AQ448="7",BI448,0)</f>
        <v>0</v>
      </c>
      <c r="AF448" s="54">
        <f>IF(AQ448="2",BH448,0)</f>
        <v>0</v>
      </c>
      <c r="AG448" s="54">
        <f>IF(AQ448="2",BI448,0)</f>
        <v>0</v>
      </c>
      <c r="AH448" s="54">
        <f>IF(AQ448="0",BJ448,0)</f>
        <v>0</v>
      </c>
      <c r="AI448" s="34" t="s">
        <v>103</v>
      </c>
      <c r="AJ448" s="67">
        <f>IF(AN448=0,I448,0)</f>
        <v>0</v>
      </c>
      <c r="AK448" s="67">
        <f>IF(AN448=12,I448,0)</f>
        <v>0</v>
      </c>
      <c r="AL448" s="67">
        <f>IF(AN448=21,I448,0)</f>
        <v>0</v>
      </c>
      <c r="AN448" s="54">
        <v>21</v>
      </c>
      <c r="AO448" s="54">
        <f>H448*1</f>
        <v>0</v>
      </c>
      <c r="AP448" s="54">
        <f>H448*(1-1)</f>
        <v>0</v>
      </c>
      <c r="AQ448" s="69" t="s">
        <v>168</v>
      </c>
      <c r="AV448" s="54">
        <f>AW448+AX448</f>
        <v>0</v>
      </c>
      <c r="AW448" s="54">
        <f>G448*AO448</f>
        <v>0</v>
      </c>
      <c r="AX448" s="54">
        <f>G448*AP448</f>
        <v>0</v>
      </c>
      <c r="AY448" s="56" t="s">
        <v>990</v>
      </c>
      <c r="AZ448" s="56" t="s">
        <v>991</v>
      </c>
      <c r="BA448" s="34" t="s">
        <v>114</v>
      </c>
      <c r="BC448" s="54">
        <f>AW448+AX448</f>
        <v>0</v>
      </c>
      <c r="BD448" s="54">
        <f>H448/(100-BE448)*100</f>
        <v>0</v>
      </c>
      <c r="BE448" s="54">
        <v>0</v>
      </c>
      <c r="BF448" s="54">
        <f>L448</f>
        <v>0.13750000000000001</v>
      </c>
      <c r="BH448" s="67">
        <f>G448*AO448</f>
        <v>0</v>
      </c>
      <c r="BI448" s="67">
        <f>G448*AP448</f>
        <v>0</v>
      </c>
      <c r="BJ448" s="67">
        <f>G448*H448</f>
        <v>0</v>
      </c>
      <c r="BK448" s="67"/>
      <c r="BL448" s="54">
        <v>771</v>
      </c>
      <c r="BW448" s="54">
        <v>21</v>
      </c>
      <c r="BX448" s="66" t="s">
        <v>1023</v>
      </c>
    </row>
    <row r="449" spans="1:76" ht="14.5" x14ac:dyDescent="0.35">
      <c r="A449" s="57"/>
      <c r="D449" s="58" t="s">
        <v>208</v>
      </c>
      <c r="E449" s="59" t="s">
        <v>1024</v>
      </c>
      <c r="G449" s="60">
        <v>0</v>
      </c>
      <c r="M449" s="61"/>
    </row>
    <row r="450" spans="1:76" ht="14.5" x14ac:dyDescent="0.35">
      <c r="A450" s="57"/>
      <c r="D450" s="58" t="s">
        <v>1025</v>
      </c>
      <c r="E450" s="59" t="s">
        <v>1026</v>
      </c>
      <c r="G450" s="60">
        <v>109.041</v>
      </c>
      <c r="M450" s="61"/>
    </row>
    <row r="451" spans="1:76" ht="14.5" x14ac:dyDescent="0.35">
      <c r="A451" s="57"/>
      <c r="D451" s="58" t="s">
        <v>1027</v>
      </c>
      <c r="E451" s="59" t="s">
        <v>1020</v>
      </c>
      <c r="G451" s="60">
        <v>0.95899999999999996</v>
      </c>
      <c r="M451" s="61"/>
    </row>
    <row r="452" spans="1:76" ht="14.5" x14ac:dyDescent="0.35">
      <c r="A452" s="1" t="s">
        <v>1028</v>
      </c>
      <c r="B452" s="2" t="s">
        <v>103</v>
      </c>
      <c r="C452" s="2" t="s">
        <v>1029</v>
      </c>
      <c r="D452" s="155" t="s">
        <v>1030</v>
      </c>
      <c r="E452" s="153"/>
      <c r="F452" s="2" t="s">
        <v>110</v>
      </c>
      <c r="G452" s="54">
        <v>170.79900000000001</v>
      </c>
      <c r="H452" s="84">
        <v>0</v>
      </c>
      <c r="I452" s="54">
        <f>G452*H452</f>
        <v>0</v>
      </c>
      <c r="J452" s="54">
        <v>6.9300000000000004E-3</v>
      </c>
      <c r="K452" s="54">
        <v>0</v>
      </c>
      <c r="L452" s="54">
        <f>G452*J452</f>
        <v>1.1836370700000001</v>
      </c>
      <c r="M452" s="55" t="s">
        <v>111</v>
      </c>
      <c r="Z452" s="54">
        <f>IF(AQ452="5",BJ452,0)</f>
        <v>0</v>
      </c>
      <c r="AB452" s="54">
        <f>IF(AQ452="1",BH452,0)</f>
        <v>0</v>
      </c>
      <c r="AC452" s="54">
        <f>IF(AQ452="1",BI452,0)</f>
        <v>0</v>
      </c>
      <c r="AD452" s="54">
        <f>IF(AQ452="7",BH452,0)</f>
        <v>0</v>
      </c>
      <c r="AE452" s="54">
        <f>IF(AQ452="7",BI452,0)</f>
        <v>0</v>
      </c>
      <c r="AF452" s="54">
        <f>IF(AQ452="2",BH452,0)</f>
        <v>0</v>
      </c>
      <c r="AG452" s="54">
        <f>IF(AQ452="2",BI452,0)</f>
        <v>0</v>
      </c>
      <c r="AH452" s="54">
        <f>IF(AQ452="0",BJ452,0)</f>
        <v>0</v>
      </c>
      <c r="AI452" s="34" t="s">
        <v>103</v>
      </c>
      <c r="AJ452" s="54">
        <f>IF(AN452=0,I452,0)</f>
        <v>0</v>
      </c>
      <c r="AK452" s="54">
        <f>IF(AN452=12,I452,0)</f>
        <v>0</v>
      </c>
      <c r="AL452" s="54">
        <f>IF(AN452=21,I452,0)</f>
        <v>0</v>
      </c>
      <c r="AN452" s="54">
        <v>21</v>
      </c>
      <c r="AO452" s="54">
        <f>H452*0.195234958</f>
        <v>0</v>
      </c>
      <c r="AP452" s="54">
        <f>H452*(1-0.195234958)</f>
        <v>0</v>
      </c>
      <c r="AQ452" s="56" t="s">
        <v>168</v>
      </c>
      <c r="AV452" s="54">
        <f>AW452+AX452</f>
        <v>0</v>
      </c>
      <c r="AW452" s="54">
        <f>G452*AO452</f>
        <v>0</v>
      </c>
      <c r="AX452" s="54">
        <f>G452*AP452</f>
        <v>0</v>
      </c>
      <c r="AY452" s="56" t="s">
        <v>990</v>
      </c>
      <c r="AZ452" s="56" t="s">
        <v>991</v>
      </c>
      <c r="BA452" s="34" t="s">
        <v>114</v>
      </c>
      <c r="BC452" s="54">
        <f>AW452+AX452</f>
        <v>0</v>
      </c>
      <c r="BD452" s="54">
        <f>H452/(100-BE452)*100</f>
        <v>0</v>
      </c>
      <c r="BE452" s="54">
        <v>0</v>
      </c>
      <c r="BF452" s="54">
        <f>L452</f>
        <v>1.1836370700000001</v>
      </c>
      <c r="BH452" s="54">
        <f>G452*AO452</f>
        <v>0</v>
      </c>
      <c r="BI452" s="54">
        <f>G452*AP452</f>
        <v>0</v>
      </c>
      <c r="BJ452" s="54">
        <f>G452*H452</f>
        <v>0</v>
      </c>
      <c r="BK452" s="54"/>
      <c r="BL452" s="54">
        <v>771</v>
      </c>
      <c r="BW452" s="54">
        <v>21</v>
      </c>
      <c r="BX452" s="3" t="s">
        <v>1030</v>
      </c>
    </row>
    <row r="453" spans="1:76" ht="14.5" x14ac:dyDescent="0.35">
      <c r="A453" s="57"/>
      <c r="D453" s="58" t="s">
        <v>208</v>
      </c>
      <c r="E453" s="59" t="s">
        <v>995</v>
      </c>
      <c r="G453" s="60">
        <v>0</v>
      </c>
      <c r="M453" s="61"/>
    </row>
    <row r="454" spans="1:76" ht="14.5" x14ac:dyDescent="0.35">
      <c r="A454" s="57"/>
      <c r="D454" s="58" t="s">
        <v>996</v>
      </c>
      <c r="E454" s="59" t="s">
        <v>997</v>
      </c>
      <c r="G454" s="60">
        <v>88.58</v>
      </c>
      <c r="M454" s="61"/>
    </row>
    <row r="455" spans="1:76" ht="14.5" x14ac:dyDescent="0.35">
      <c r="A455" s="57"/>
      <c r="D455" s="58" t="s">
        <v>336</v>
      </c>
      <c r="E455" s="59" t="s">
        <v>337</v>
      </c>
      <c r="G455" s="60">
        <v>22.54</v>
      </c>
      <c r="M455" s="61"/>
    </row>
    <row r="456" spans="1:76" ht="14.5" x14ac:dyDescent="0.35">
      <c r="A456" s="57"/>
      <c r="D456" s="58" t="s">
        <v>338</v>
      </c>
      <c r="E456" s="59" t="s">
        <v>339</v>
      </c>
      <c r="G456" s="60">
        <v>17.23</v>
      </c>
      <c r="M456" s="61"/>
    </row>
    <row r="457" spans="1:76" ht="14.5" x14ac:dyDescent="0.35">
      <c r="A457" s="57"/>
      <c r="D457" s="58" t="s">
        <v>341</v>
      </c>
      <c r="E457" s="59" t="s">
        <v>342</v>
      </c>
      <c r="G457" s="60">
        <v>1.51</v>
      </c>
      <c r="M457" s="61"/>
    </row>
    <row r="458" spans="1:76" ht="14.5" x14ac:dyDescent="0.35">
      <c r="A458" s="57"/>
      <c r="D458" s="58" t="s">
        <v>208</v>
      </c>
      <c r="E458" s="59" t="s">
        <v>327</v>
      </c>
      <c r="G458" s="60">
        <v>0</v>
      </c>
      <c r="M458" s="61"/>
    </row>
    <row r="459" spans="1:76" ht="14.5" x14ac:dyDescent="0.35">
      <c r="A459" s="57"/>
      <c r="D459" s="58" t="s">
        <v>1031</v>
      </c>
      <c r="E459" s="59" t="s">
        <v>1032</v>
      </c>
      <c r="G459" s="60">
        <v>40.939</v>
      </c>
      <c r="M459" s="61"/>
    </row>
    <row r="460" spans="1:76" ht="25" x14ac:dyDescent="0.35">
      <c r="A460" s="64" t="s">
        <v>1034</v>
      </c>
      <c r="B460" s="65" t="s">
        <v>103</v>
      </c>
      <c r="C460" s="65" t="s">
        <v>1035</v>
      </c>
      <c r="D460" s="217" t="s">
        <v>1036</v>
      </c>
      <c r="E460" s="218"/>
      <c r="F460" s="65" t="s">
        <v>110</v>
      </c>
      <c r="G460" s="67">
        <v>33.264000000000003</v>
      </c>
      <c r="H460" s="85">
        <v>0</v>
      </c>
      <c r="I460" s="67">
        <f>G460*H460</f>
        <v>0</v>
      </c>
      <c r="J460" s="67">
        <v>1.8200000000000001E-2</v>
      </c>
      <c r="K460" s="67">
        <v>0</v>
      </c>
      <c r="L460" s="67">
        <f>G460*J460</f>
        <v>0.60540480000000008</v>
      </c>
      <c r="M460" s="68" t="s">
        <v>10</v>
      </c>
      <c r="Z460" s="54">
        <f>IF(AQ460="5",BJ460,0)</f>
        <v>0</v>
      </c>
      <c r="AB460" s="54">
        <f>IF(AQ460="1",BH460,0)</f>
        <v>0</v>
      </c>
      <c r="AC460" s="54">
        <f>IF(AQ460="1",BI460,0)</f>
        <v>0</v>
      </c>
      <c r="AD460" s="54">
        <f>IF(AQ460="7",BH460,0)</f>
        <v>0</v>
      </c>
      <c r="AE460" s="54">
        <f>IF(AQ460="7",BI460,0)</f>
        <v>0</v>
      </c>
      <c r="AF460" s="54">
        <f>IF(AQ460="2",BH460,0)</f>
        <v>0</v>
      </c>
      <c r="AG460" s="54">
        <f>IF(AQ460="2",BI460,0)</f>
        <v>0</v>
      </c>
      <c r="AH460" s="54">
        <f>IF(AQ460="0",BJ460,0)</f>
        <v>0</v>
      </c>
      <c r="AI460" s="34" t="s">
        <v>103</v>
      </c>
      <c r="AJ460" s="67">
        <f>IF(AN460=0,I460,0)</f>
        <v>0</v>
      </c>
      <c r="AK460" s="67">
        <f>IF(AN460=12,I460,0)</f>
        <v>0</v>
      </c>
      <c r="AL460" s="67">
        <f>IF(AN460=21,I460,0)</f>
        <v>0</v>
      </c>
      <c r="AN460" s="54">
        <v>21</v>
      </c>
      <c r="AO460" s="54">
        <f>H460*1</f>
        <v>0</v>
      </c>
      <c r="AP460" s="54">
        <f>H460*(1-1)</f>
        <v>0</v>
      </c>
      <c r="AQ460" s="69" t="s">
        <v>168</v>
      </c>
      <c r="AV460" s="54">
        <f>AW460+AX460</f>
        <v>0</v>
      </c>
      <c r="AW460" s="54">
        <f>G460*AO460</f>
        <v>0</v>
      </c>
      <c r="AX460" s="54">
        <f>G460*AP460</f>
        <v>0</v>
      </c>
      <c r="AY460" s="56" t="s">
        <v>990</v>
      </c>
      <c r="AZ460" s="56" t="s">
        <v>991</v>
      </c>
      <c r="BA460" s="34" t="s">
        <v>114</v>
      </c>
      <c r="BC460" s="54">
        <f>AW460+AX460</f>
        <v>0</v>
      </c>
      <c r="BD460" s="54">
        <f>H460/(100-BE460)*100</f>
        <v>0</v>
      </c>
      <c r="BE460" s="54">
        <v>0</v>
      </c>
      <c r="BF460" s="54">
        <f>L460</f>
        <v>0.60540480000000008</v>
      </c>
      <c r="BH460" s="67">
        <f>G460*AO460</f>
        <v>0</v>
      </c>
      <c r="BI460" s="67">
        <f>G460*AP460</f>
        <v>0</v>
      </c>
      <c r="BJ460" s="67">
        <f>G460*H460</f>
        <v>0</v>
      </c>
      <c r="BK460" s="67"/>
      <c r="BL460" s="54">
        <v>771</v>
      </c>
      <c r="BW460" s="54">
        <v>21</v>
      </c>
      <c r="BX460" s="66" t="s">
        <v>1036</v>
      </c>
    </row>
    <row r="461" spans="1:76" ht="14.5" x14ac:dyDescent="0.35">
      <c r="A461" s="57"/>
      <c r="D461" s="58" t="s">
        <v>208</v>
      </c>
      <c r="E461" s="59" t="s">
        <v>1038</v>
      </c>
      <c r="G461" s="60">
        <v>0</v>
      </c>
      <c r="M461" s="61"/>
    </row>
    <row r="462" spans="1:76" ht="14.5" x14ac:dyDescent="0.35">
      <c r="A462" s="57"/>
      <c r="D462" s="58" t="s">
        <v>1039</v>
      </c>
      <c r="E462" s="59" t="s">
        <v>1040</v>
      </c>
      <c r="G462" s="60">
        <v>33.264000000000003</v>
      </c>
      <c r="M462" s="61"/>
    </row>
    <row r="463" spans="1:76" ht="25" x14ac:dyDescent="0.35">
      <c r="A463" s="64" t="s">
        <v>1041</v>
      </c>
      <c r="B463" s="65" t="s">
        <v>103</v>
      </c>
      <c r="C463" s="65" t="s">
        <v>1042</v>
      </c>
      <c r="D463" s="217" t="s">
        <v>1043</v>
      </c>
      <c r="E463" s="218"/>
      <c r="F463" s="65" t="s">
        <v>110</v>
      </c>
      <c r="G463" s="67">
        <v>41.201999999999998</v>
      </c>
      <c r="H463" s="85">
        <v>0</v>
      </c>
      <c r="I463" s="67">
        <f>G463*H463</f>
        <v>0</v>
      </c>
      <c r="J463" s="67">
        <v>1.8200000000000001E-2</v>
      </c>
      <c r="K463" s="67">
        <v>0</v>
      </c>
      <c r="L463" s="67">
        <f>G463*J463</f>
        <v>0.7498764</v>
      </c>
      <c r="M463" s="68" t="s">
        <v>10</v>
      </c>
      <c r="Z463" s="54">
        <f>IF(AQ463="5",BJ463,0)</f>
        <v>0</v>
      </c>
      <c r="AB463" s="54">
        <f>IF(AQ463="1",BH463,0)</f>
        <v>0</v>
      </c>
      <c r="AC463" s="54">
        <f>IF(AQ463="1",BI463,0)</f>
        <v>0</v>
      </c>
      <c r="AD463" s="54">
        <f>IF(AQ463="7",BH463,0)</f>
        <v>0</v>
      </c>
      <c r="AE463" s="54">
        <f>IF(AQ463="7",BI463,0)</f>
        <v>0</v>
      </c>
      <c r="AF463" s="54">
        <f>IF(AQ463="2",BH463,0)</f>
        <v>0</v>
      </c>
      <c r="AG463" s="54">
        <f>IF(AQ463="2",BI463,0)</f>
        <v>0</v>
      </c>
      <c r="AH463" s="54">
        <f>IF(AQ463="0",BJ463,0)</f>
        <v>0</v>
      </c>
      <c r="AI463" s="34" t="s">
        <v>103</v>
      </c>
      <c r="AJ463" s="67">
        <f>IF(AN463=0,I463,0)</f>
        <v>0</v>
      </c>
      <c r="AK463" s="67">
        <f>IF(AN463=12,I463,0)</f>
        <v>0</v>
      </c>
      <c r="AL463" s="67">
        <f>IF(AN463=21,I463,0)</f>
        <v>0</v>
      </c>
      <c r="AN463" s="54">
        <v>21</v>
      </c>
      <c r="AO463" s="54">
        <f>H463*1</f>
        <v>0</v>
      </c>
      <c r="AP463" s="54">
        <f>H463*(1-1)</f>
        <v>0</v>
      </c>
      <c r="AQ463" s="69" t="s">
        <v>168</v>
      </c>
      <c r="AV463" s="54">
        <f>AW463+AX463</f>
        <v>0</v>
      </c>
      <c r="AW463" s="54">
        <f>G463*AO463</f>
        <v>0</v>
      </c>
      <c r="AX463" s="54">
        <f>G463*AP463</f>
        <v>0</v>
      </c>
      <c r="AY463" s="56" t="s">
        <v>990</v>
      </c>
      <c r="AZ463" s="56" t="s">
        <v>991</v>
      </c>
      <c r="BA463" s="34" t="s">
        <v>114</v>
      </c>
      <c r="BC463" s="54">
        <f>AW463+AX463</f>
        <v>0</v>
      </c>
      <c r="BD463" s="54">
        <f>H463/(100-BE463)*100</f>
        <v>0</v>
      </c>
      <c r="BE463" s="54">
        <v>0</v>
      </c>
      <c r="BF463" s="54">
        <f>L463</f>
        <v>0.7498764</v>
      </c>
      <c r="BH463" s="67">
        <f>G463*AO463</f>
        <v>0</v>
      </c>
      <c r="BI463" s="67">
        <f>G463*AP463</f>
        <v>0</v>
      </c>
      <c r="BJ463" s="67">
        <f>G463*H463</f>
        <v>0</v>
      </c>
      <c r="BK463" s="67"/>
      <c r="BL463" s="54">
        <v>771</v>
      </c>
      <c r="BW463" s="54">
        <v>21</v>
      </c>
      <c r="BX463" s="66" t="s">
        <v>1043</v>
      </c>
    </row>
    <row r="464" spans="1:76" ht="14.5" x14ac:dyDescent="0.35">
      <c r="A464" s="57"/>
      <c r="D464" s="58" t="s">
        <v>208</v>
      </c>
      <c r="E464" s="59" t="s">
        <v>1038</v>
      </c>
      <c r="G464" s="60">
        <v>0</v>
      </c>
      <c r="M464" s="61"/>
    </row>
    <row r="465" spans="1:76" ht="14.5" x14ac:dyDescent="0.35">
      <c r="A465" s="57"/>
      <c r="D465" s="58" t="s">
        <v>1045</v>
      </c>
      <c r="E465" s="59" t="s">
        <v>1046</v>
      </c>
      <c r="G465" s="60">
        <v>41.201999999999998</v>
      </c>
      <c r="M465" s="61"/>
    </row>
    <row r="466" spans="1:76" ht="25" x14ac:dyDescent="0.35">
      <c r="A466" s="64" t="s">
        <v>1047</v>
      </c>
      <c r="B466" s="65" t="s">
        <v>103</v>
      </c>
      <c r="C466" s="65" t="s">
        <v>1048</v>
      </c>
      <c r="D466" s="217" t="s">
        <v>1049</v>
      </c>
      <c r="E466" s="218"/>
      <c r="F466" s="65" t="s">
        <v>110</v>
      </c>
      <c r="G466" s="67">
        <v>53.738</v>
      </c>
      <c r="H466" s="85">
        <v>0</v>
      </c>
      <c r="I466" s="67">
        <f>G466*H466</f>
        <v>0</v>
      </c>
      <c r="J466" s="67">
        <v>1.8200000000000001E-2</v>
      </c>
      <c r="K466" s="67">
        <v>0</v>
      </c>
      <c r="L466" s="67">
        <f>G466*J466</f>
        <v>0.9780316</v>
      </c>
      <c r="M466" s="68" t="s">
        <v>10</v>
      </c>
      <c r="Z466" s="54">
        <f>IF(AQ466="5",BJ466,0)</f>
        <v>0</v>
      </c>
      <c r="AB466" s="54">
        <f>IF(AQ466="1",BH466,0)</f>
        <v>0</v>
      </c>
      <c r="AC466" s="54">
        <f>IF(AQ466="1",BI466,0)</f>
        <v>0</v>
      </c>
      <c r="AD466" s="54">
        <f>IF(AQ466="7",BH466,0)</f>
        <v>0</v>
      </c>
      <c r="AE466" s="54">
        <f>IF(AQ466="7",BI466,0)</f>
        <v>0</v>
      </c>
      <c r="AF466" s="54">
        <f>IF(AQ466="2",BH466,0)</f>
        <v>0</v>
      </c>
      <c r="AG466" s="54">
        <f>IF(AQ466="2",BI466,0)</f>
        <v>0</v>
      </c>
      <c r="AH466" s="54">
        <f>IF(AQ466="0",BJ466,0)</f>
        <v>0</v>
      </c>
      <c r="AI466" s="34" t="s">
        <v>103</v>
      </c>
      <c r="AJ466" s="67">
        <f>IF(AN466=0,I466,0)</f>
        <v>0</v>
      </c>
      <c r="AK466" s="67">
        <f>IF(AN466=12,I466,0)</f>
        <v>0</v>
      </c>
      <c r="AL466" s="67">
        <f>IF(AN466=21,I466,0)</f>
        <v>0</v>
      </c>
      <c r="AN466" s="54">
        <v>21</v>
      </c>
      <c r="AO466" s="54">
        <f>H466*1</f>
        <v>0</v>
      </c>
      <c r="AP466" s="54">
        <f>H466*(1-1)</f>
        <v>0</v>
      </c>
      <c r="AQ466" s="69" t="s">
        <v>168</v>
      </c>
      <c r="AV466" s="54">
        <f>AW466+AX466</f>
        <v>0</v>
      </c>
      <c r="AW466" s="54">
        <f>G466*AO466</f>
        <v>0</v>
      </c>
      <c r="AX466" s="54">
        <f>G466*AP466</f>
        <v>0</v>
      </c>
      <c r="AY466" s="56" t="s">
        <v>990</v>
      </c>
      <c r="AZ466" s="56" t="s">
        <v>991</v>
      </c>
      <c r="BA466" s="34" t="s">
        <v>114</v>
      </c>
      <c r="BC466" s="54">
        <f>AW466+AX466</f>
        <v>0</v>
      </c>
      <c r="BD466" s="54">
        <f>H466/(100-BE466)*100</f>
        <v>0</v>
      </c>
      <c r="BE466" s="54">
        <v>0</v>
      </c>
      <c r="BF466" s="54">
        <f>L466</f>
        <v>0.9780316</v>
      </c>
      <c r="BH466" s="67">
        <f>G466*AO466</f>
        <v>0</v>
      </c>
      <c r="BI466" s="67">
        <f>G466*AP466</f>
        <v>0</v>
      </c>
      <c r="BJ466" s="67">
        <f>G466*H466</f>
        <v>0</v>
      </c>
      <c r="BK466" s="67"/>
      <c r="BL466" s="54">
        <v>771</v>
      </c>
      <c r="BW466" s="54">
        <v>21</v>
      </c>
      <c r="BX466" s="66" t="s">
        <v>1049</v>
      </c>
    </row>
    <row r="467" spans="1:76" ht="14.5" x14ac:dyDescent="0.35">
      <c r="A467" s="57"/>
      <c r="D467" s="58" t="s">
        <v>208</v>
      </c>
      <c r="E467" s="59" t="s">
        <v>1038</v>
      </c>
      <c r="G467" s="60">
        <v>0</v>
      </c>
      <c r="M467" s="61"/>
    </row>
    <row r="468" spans="1:76" ht="14.5" x14ac:dyDescent="0.35">
      <c r="A468" s="57"/>
      <c r="D468" s="58" t="s">
        <v>1051</v>
      </c>
      <c r="E468" s="59" t="s">
        <v>1052</v>
      </c>
      <c r="G468" s="60">
        <v>10.395</v>
      </c>
      <c r="M468" s="61"/>
    </row>
    <row r="469" spans="1:76" ht="14.5" x14ac:dyDescent="0.35">
      <c r="A469" s="57"/>
      <c r="D469" s="58" t="s">
        <v>1053</v>
      </c>
      <c r="E469" s="59" t="s">
        <v>1016</v>
      </c>
      <c r="G469" s="60">
        <v>23.667000000000002</v>
      </c>
      <c r="M469" s="61"/>
    </row>
    <row r="470" spans="1:76" ht="14.5" x14ac:dyDescent="0.35">
      <c r="A470" s="57"/>
      <c r="D470" s="58" t="s">
        <v>1054</v>
      </c>
      <c r="E470" s="59" t="s">
        <v>1018</v>
      </c>
      <c r="G470" s="60">
        <v>18.091000000000001</v>
      </c>
      <c r="M470" s="61"/>
    </row>
    <row r="471" spans="1:76" ht="14.5" x14ac:dyDescent="0.35">
      <c r="A471" s="57"/>
      <c r="D471" s="58" t="s">
        <v>1055</v>
      </c>
      <c r="E471" s="59" t="s">
        <v>1056</v>
      </c>
      <c r="G471" s="60">
        <v>1.585</v>
      </c>
      <c r="M471" s="61"/>
    </row>
    <row r="472" spans="1:76" ht="25" x14ac:dyDescent="0.35">
      <c r="A472" s="64" t="s">
        <v>1057</v>
      </c>
      <c r="B472" s="65" t="s">
        <v>103</v>
      </c>
      <c r="C472" s="65" t="s">
        <v>1058</v>
      </c>
      <c r="D472" s="217" t="s">
        <v>1059</v>
      </c>
      <c r="E472" s="218"/>
      <c r="F472" s="65" t="s">
        <v>110</v>
      </c>
      <c r="G472" s="67">
        <v>14.553000000000001</v>
      </c>
      <c r="H472" s="85">
        <v>0</v>
      </c>
      <c r="I472" s="67">
        <f>G472*H472</f>
        <v>0</v>
      </c>
      <c r="J472" s="67">
        <v>1.8200000000000001E-2</v>
      </c>
      <c r="K472" s="67">
        <v>0</v>
      </c>
      <c r="L472" s="67">
        <f>G472*J472</f>
        <v>0.26486460000000001</v>
      </c>
      <c r="M472" s="68" t="s">
        <v>10</v>
      </c>
      <c r="Z472" s="54">
        <f>IF(AQ472="5",BJ472,0)</f>
        <v>0</v>
      </c>
      <c r="AB472" s="54">
        <f>IF(AQ472="1",BH472,0)</f>
        <v>0</v>
      </c>
      <c r="AC472" s="54">
        <f>IF(AQ472="1",BI472,0)</f>
        <v>0</v>
      </c>
      <c r="AD472" s="54">
        <f>IF(AQ472="7",BH472,0)</f>
        <v>0</v>
      </c>
      <c r="AE472" s="54">
        <f>IF(AQ472="7",BI472,0)</f>
        <v>0</v>
      </c>
      <c r="AF472" s="54">
        <f>IF(AQ472="2",BH472,0)</f>
        <v>0</v>
      </c>
      <c r="AG472" s="54">
        <f>IF(AQ472="2",BI472,0)</f>
        <v>0</v>
      </c>
      <c r="AH472" s="54">
        <f>IF(AQ472="0",BJ472,0)</f>
        <v>0</v>
      </c>
      <c r="AI472" s="34" t="s">
        <v>103</v>
      </c>
      <c r="AJ472" s="67">
        <f>IF(AN472=0,I472,0)</f>
        <v>0</v>
      </c>
      <c r="AK472" s="67">
        <f>IF(AN472=12,I472,0)</f>
        <v>0</v>
      </c>
      <c r="AL472" s="67">
        <f>IF(AN472=21,I472,0)</f>
        <v>0</v>
      </c>
      <c r="AN472" s="54">
        <v>21</v>
      </c>
      <c r="AO472" s="54">
        <f>H472*1</f>
        <v>0</v>
      </c>
      <c r="AP472" s="54">
        <f>H472*(1-1)</f>
        <v>0</v>
      </c>
      <c r="AQ472" s="69" t="s">
        <v>168</v>
      </c>
      <c r="AV472" s="54">
        <f>AW472+AX472</f>
        <v>0</v>
      </c>
      <c r="AW472" s="54">
        <f>G472*AO472</f>
        <v>0</v>
      </c>
      <c r="AX472" s="54">
        <f>G472*AP472</f>
        <v>0</v>
      </c>
      <c r="AY472" s="56" t="s">
        <v>990</v>
      </c>
      <c r="AZ472" s="56" t="s">
        <v>991</v>
      </c>
      <c r="BA472" s="34" t="s">
        <v>114</v>
      </c>
      <c r="BC472" s="54">
        <f>AW472+AX472</f>
        <v>0</v>
      </c>
      <c r="BD472" s="54">
        <f>H472/(100-BE472)*100</f>
        <v>0</v>
      </c>
      <c r="BE472" s="54">
        <v>0</v>
      </c>
      <c r="BF472" s="54">
        <f>L472</f>
        <v>0.26486460000000001</v>
      </c>
      <c r="BH472" s="67">
        <f>G472*AO472</f>
        <v>0</v>
      </c>
      <c r="BI472" s="67">
        <f>G472*AP472</f>
        <v>0</v>
      </c>
      <c r="BJ472" s="67">
        <f>G472*H472</f>
        <v>0</v>
      </c>
      <c r="BK472" s="67"/>
      <c r="BL472" s="54">
        <v>771</v>
      </c>
      <c r="BW472" s="54">
        <v>21</v>
      </c>
      <c r="BX472" s="66" t="s">
        <v>1059</v>
      </c>
    </row>
    <row r="473" spans="1:76" ht="14.5" x14ac:dyDescent="0.35">
      <c r="A473" s="57"/>
      <c r="D473" s="58" t="s">
        <v>208</v>
      </c>
      <c r="E473" s="59" t="s">
        <v>1038</v>
      </c>
      <c r="G473" s="60">
        <v>0</v>
      </c>
      <c r="M473" s="61"/>
    </row>
    <row r="474" spans="1:76" ht="14.5" x14ac:dyDescent="0.35">
      <c r="A474" s="57"/>
      <c r="D474" s="58" t="s">
        <v>1061</v>
      </c>
      <c r="E474" s="59" t="s">
        <v>1062</v>
      </c>
      <c r="G474" s="60">
        <v>14.553000000000001</v>
      </c>
      <c r="M474" s="61"/>
    </row>
    <row r="475" spans="1:76" ht="25" x14ac:dyDescent="0.35">
      <c r="A475" s="64" t="s">
        <v>1063</v>
      </c>
      <c r="B475" s="65" t="s">
        <v>103</v>
      </c>
      <c r="C475" s="65" t="s">
        <v>1064</v>
      </c>
      <c r="D475" s="217" t="s">
        <v>1065</v>
      </c>
      <c r="E475" s="218"/>
      <c r="F475" s="65" t="s">
        <v>110</v>
      </c>
      <c r="G475" s="67">
        <v>45.36</v>
      </c>
      <c r="H475" s="85">
        <v>0</v>
      </c>
      <c r="I475" s="67">
        <f>G475*H475</f>
        <v>0</v>
      </c>
      <c r="J475" s="67">
        <v>1.8200000000000001E-2</v>
      </c>
      <c r="K475" s="67">
        <v>0</v>
      </c>
      <c r="L475" s="67">
        <f>G475*J475</f>
        <v>0.82555200000000006</v>
      </c>
      <c r="M475" s="68" t="s">
        <v>10</v>
      </c>
      <c r="Z475" s="54">
        <f>IF(AQ475="5",BJ475,0)</f>
        <v>0</v>
      </c>
      <c r="AB475" s="54">
        <f>IF(AQ475="1",BH475,0)</f>
        <v>0</v>
      </c>
      <c r="AC475" s="54">
        <f>IF(AQ475="1",BI475,0)</f>
        <v>0</v>
      </c>
      <c r="AD475" s="54">
        <f>IF(AQ475="7",BH475,0)</f>
        <v>0</v>
      </c>
      <c r="AE475" s="54">
        <f>IF(AQ475="7",BI475,0)</f>
        <v>0</v>
      </c>
      <c r="AF475" s="54">
        <f>IF(AQ475="2",BH475,0)</f>
        <v>0</v>
      </c>
      <c r="AG475" s="54">
        <f>IF(AQ475="2",BI475,0)</f>
        <v>0</v>
      </c>
      <c r="AH475" s="54">
        <f>IF(AQ475="0",BJ475,0)</f>
        <v>0</v>
      </c>
      <c r="AI475" s="34" t="s">
        <v>103</v>
      </c>
      <c r="AJ475" s="67">
        <f>IF(AN475=0,I475,0)</f>
        <v>0</v>
      </c>
      <c r="AK475" s="67">
        <f>IF(AN475=12,I475,0)</f>
        <v>0</v>
      </c>
      <c r="AL475" s="67">
        <f>IF(AN475=21,I475,0)</f>
        <v>0</v>
      </c>
      <c r="AN475" s="54">
        <v>21</v>
      </c>
      <c r="AO475" s="54">
        <f>H475*1</f>
        <v>0</v>
      </c>
      <c r="AP475" s="54">
        <f>H475*(1-1)</f>
        <v>0</v>
      </c>
      <c r="AQ475" s="69" t="s">
        <v>168</v>
      </c>
      <c r="AV475" s="54">
        <f>AW475+AX475</f>
        <v>0</v>
      </c>
      <c r="AW475" s="54">
        <f>G475*AO475</f>
        <v>0</v>
      </c>
      <c r="AX475" s="54">
        <f>G475*AP475</f>
        <v>0</v>
      </c>
      <c r="AY475" s="56" t="s">
        <v>990</v>
      </c>
      <c r="AZ475" s="56" t="s">
        <v>991</v>
      </c>
      <c r="BA475" s="34" t="s">
        <v>114</v>
      </c>
      <c r="BC475" s="54">
        <f>AW475+AX475</f>
        <v>0</v>
      </c>
      <c r="BD475" s="54">
        <f>H475/(100-BE475)*100</f>
        <v>0</v>
      </c>
      <c r="BE475" s="54">
        <v>0</v>
      </c>
      <c r="BF475" s="54">
        <f>L475</f>
        <v>0.82555200000000006</v>
      </c>
      <c r="BH475" s="67">
        <f>G475*AO475</f>
        <v>0</v>
      </c>
      <c r="BI475" s="67">
        <f>G475*AP475</f>
        <v>0</v>
      </c>
      <c r="BJ475" s="67">
        <f>G475*H475</f>
        <v>0</v>
      </c>
      <c r="BK475" s="67"/>
      <c r="BL475" s="54">
        <v>771</v>
      </c>
      <c r="BW475" s="54">
        <v>21</v>
      </c>
      <c r="BX475" s="66" t="s">
        <v>1065</v>
      </c>
    </row>
    <row r="476" spans="1:76" ht="14.5" x14ac:dyDescent="0.35">
      <c r="A476" s="57"/>
      <c r="D476" s="58" t="s">
        <v>208</v>
      </c>
      <c r="E476" s="59" t="s">
        <v>1067</v>
      </c>
      <c r="G476" s="60">
        <v>0</v>
      </c>
      <c r="M476" s="61"/>
    </row>
    <row r="477" spans="1:76" ht="14.5" x14ac:dyDescent="0.35">
      <c r="A477" s="57"/>
      <c r="D477" s="58" t="s">
        <v>1068</v>
      </c>
      <c r="E477" s="59" t="s">
        <v>1069</v>
      </c>
      <c r="G477" s="60">
        <v>45.36</v>
      </c>
      <c r="M477" s="61"/>
    </row>
    <row r="478" spans="1:76" ht="14.5" x14ac:dyDescent="0.35">
      <c r="A478" s="1" t="s">
        <v>1070</v>
      </c>
      <c r="B478" s="2" t="s">
        <v>103</v>
      </c>
      <c r="C478" s="2" t="s">
        <v>1071</v>
      </c>
      <c r="D478" s="155" t="s">
        <v>1072</v>
      </c>
      <c r="E478" s="153"/>
      <c r="F478" s="2" t="s">
        <v>412</v>
      </c>
      <c r="G478" s="54">
        <v>6.4210000000000003</v>
      </c>
      <c r="H478" s="84">
        <v>0</v>
      </c>
      <c r="I478" s="54">
        <f>G478*H478</f>
        <v>0</v>
      </c>
      <c r="J478" s="54">
        <v>0</v>
      </c>
      <c r="K478" s="54">
        <v>0</v>
      </c>
      <c r="L478" s="54">
        <f>G478*J478</f>
        <v>0</v>
      </c>
      <c r="M478" s="55" t="s">
        <v>111</v>
      </c>
      <c r="Z478" s="54">
        <f>IF(AQ478="5",BJ478,0)</f>
        <v>0</v>
      </c>
      <c r="AB478" s="54">
        <f>IF(AQ478="1",BH478,0)</f>
        <v>0</v>
      </c>
      <c r="AC478" s="54">
        <f>IF(AQ478="1",BI478,0)</f>
        <v>0</v>
      </c>
      <c r="AD478" s="54">
        <f>IF(AQ478="7",BH478,0)</f>
        <v>0</v>
      </c>
      <c r="AE478" s="54">
        <f>IF(AQ478="7",BI478,0)</f>
        <v>0</v>
      </c>
      <c r="AF478" s="54">
        <f>IF(AQ478="2",BH478,0)</f>
        <v>0</v>
      </c>
      <c r="AG478" s="54">
        <f>IF(AQ478="2",BI478,0)</f>
        <v>0</v>
      </c>
      <c r="AH478" s="54">
        <f>IF(AQ478="0",BJ478,0)</f>
        <v>0</v>
      </c>
      <c r="AI478" s="34" t="s">
        <v>103</v>
      </c>
      <c r="AJ478" s="54">
        <f>IF(AN478=0,I478,0)</f>
        <v>0</v>
      </c>
      <c r="AK478" s="54">
        <f>IF(AN478=12,I478,0)</f>
        <v>0</v>
      </c>
      <c r="AL478" s="54">
        <f>IF(AN478=21,I478,0)</f>
        <v>0</v>
      </c>
      <c r="AN478" s="54">
        <v>21</v>
      </c>
      <c r="AO478" s="54">
        <f>H478*0</f>
        <v>0</v>
      </c>
      <c r="AP478" s="54">
        <f>H478*(1-0)</f>
        <v>0</v>
      </c>
      <c r="AQ478" s="56" t="s">
        <v>150</v>
      </c>
      <c r="AV478" s="54">
        <f>AW478+AX478</f>
        <v>0</v>
      </c>
      <c r="AW478" s="54">
        <f>G478*AO478</f>
        <v>0</v>
      </c>
      <c r="AX478" s="54">
        <f>G478*AP478</f>
        <v>0</v>
      </c>
      <c r="AY478" s="56" t="s">
        <v>990</v>
      </c>
      <c r="AZ478" s="56" t="s">
        <v>991</v>
      </c>
      <c r="BA478" s="34" t="s">
        <v>114</v>
      </c>
      <c r="BC478" s="54">
        <f>AW478+AX478</f>
        <v>0</v>
      </c>
      <c r="BD478" s="54">
        <f>H478/(100-BE478)*100</f>
        <v>0</v>
      </c>
      <c r="BE478" s="54">
        <v>0</v>
      </c>
      <c r="BF478" s="54">
        <f>L478</f>
        <v>0</v>
      </c>
      <c r="BH478" s="54">
        <f>G478*AO478</f>
        <v>0</v>
      </c>
      <c r="BI478" s="54">
        <f>G478*AP478</f>
        <v>0</v>
      </c>
      <c r="BJ478" s="54">
        <f>G478*H478</f>
        <v>0</v>
      </c>
      <c r="BK478" s="54"/>
      <c r="BL478" s="54">
        <v>771</v>
      </c>
      <c r="BW478" s="54">
        <v>21</v>
      </c>
      <c r="BX478" s="3" t="s">
        <v>1072</v>
      </c>
    </row>
    <row r="479" spans="1:76" ht="14.5" x14ac:dyDescent="0.35">
      <c r="A479" s="50" t="s">
        <v>10</v>
      </c>
      <c r="B479" s="51" t="s">
        <v>103</v>
      </c>
      <c r="C479" s="51" t="s">
        <v>1073</v>
      </c>
      <c r="D479" s="206" t="s">
        <v>1074</v>
      </c>
      <c r="E479" s="207"/>
      <c r="F479" s="52" t="s">
        <v>84</v>
      </c>
      <c r="G479" s="52" t="s">
        <v>84</v>
      </c>
      <c r="H479" s="83" t="s">
        <v>84</v>
      </c>
      <c r="I479" s="27">
        <f>SUM(I480:I523)</f>
        <v>0</v>
      </c>
      <c r="J479" s="34" t="s">
        <v>10</v>
      </c>
      <c r="K479" s="34" t="s">
        <v>10</v>
      </c>
      <c r="L479" s="27">
        <f>SUM(L480:L523)</f>
        <v>11.946255000000001</v>
      </c>
      <c r="M479" s="53" t="s">
        <v>10</v>
      </c>
      <c r="AI479" s="34" t="s">
        <v>103</v>
      </c>
      <c r="AS479" s="27">
        <f>SUM(AJ480:AJ523)</f>
        <v>0</v>
      </c>
      <c r="AT479" s="27">
        <f>SUM(AK480:AK523)</f>
        <v>0</v>
      </c>
      <c r="AU479" s="27">
        <f>SUM(AL480:AL523)</f>
        <v>0</v>
      </c>
    </row>
    <row r="480" spans="1:76" ht="14.5" x14ac:dyDescent="0.35">
      <c r="A480" s="1" t="s">
        <v>1075</v>
      </c>
      <c r="B480" s="2" t="s">
        <v>103</v>
      </c>
      <c r="C480" s="2" t="s">
        <v>988</v>
      </c>
      <c r="D480" s="155" t="s">
        <v>989</v>
      </c>
      <c r="E480" s="153"/>
      <c r="F480" s="2" t="s">
        <v>110</v>
      </c>
      <c r="G480" s="54">
        <v>465.6</v>
      </c>
      <c r="H480" s="84">
        <v>0</v>
      </c>
      <c r="I480" s="54">
        <f>G480*H480</f>
        <v>0</v>
      </c>
      <c r="J480" s="54">
        <v>9.1900000000000003E-3</v>
      </c>
      <c r="K480" s="54">
        <v>0</v>
      </c>
      <c r="L480" s="54">
        <f>G480*J480</f>
        <v>4.2788640000000004</v>
      </c>
      <c r="M480" s="55" t="s">
        <v>111</v>
      </c>
      <c r="Z480" s="54">
        <f>IF(AQ480="5",BJ480,0)</f>
        <v>0</v>
      </c>
      <c r="AB480" s="54">
        <f>IF(AQ480="1",BH480,0)</f>
        <v>0</v>
      </c>
      <c r="AC480" s="54">
        <f>IF(AQ480="1",BI480,0)</f>
        <v>0</v>
      </c>
      <c r="AD480" s="54">
        <f>IF(AQ480="7",BH480,0)</f>
        <v>0</v>
      </c>
      <c r="AE480" s="54">
        <f>IF(AQ480="7",BI480,0)</f>
        <v>0</v>
      </c>
      <c r="AF480" s="54">
        <f>IF(AQ480="2",BH480,0)</f>
        <v>0</v>
      </c>
      <c r="AG480" s="54">
        <f>IF(AQ480="2",BI480,0)</f>
        <v>0</v>
      </c>
      <c r="AH480" s="54">
        <f>IF(AQ480="0",BJ480,0)</f>
        <v>0</v>
      </c>
      <c r="AI480" s="34" t="s">
        <v>103</v>
      </c>
      <c r="AJ480" s="54">
        <f>IF(AN480=0,I480,0)</f>
        <v>0</v>
      </c>
      <c r="AK480" s="54">
        <f>IF(AN480=12,I480,0)</f>
        <v>0</v>
      </c>
      <c r="AL480" s="54">
        <f>IF(AN480=21,I480,0)</f>
        <v>0</v>
      </c>
      <c r="AN480" s="54">
        <v>21</v>
      </c>
      <c r="AO480" s="54">
        <f>H480*0.442246456</f>
        <v>0</v>
      </c>
      <c r="AP480" s="54">
        <f>H480*(1-0.442246456)</f>
        <v>0</v>
      </c>
      <c r="AQ480" s="56" t="s">
        <v>168</v>
      </c>
      <c r="AV480" s="54">
        <f>AW480+AX480</f>
        <v>0</v>
      </c>
      <c r="AW480" s="54">
        <f>G480*AO480</f>
        <v>0</v>
      </c>
      <c r="AX480" s="54">
        <f>G480*AP480</f>
        <v>0</v>
      </c>
      <c r="AY480" s="56" t="s">
        <v>1076</v>
      </c>
      <c r="AZ480" s="56" t="s">
        <v>991</v>
      </c>
      <c r="BA480" s="34" t="s">
        <v>114</v>
      </c>
      <c r="BC480" s="54">
        <f>AW480+AX480</f>
        <v>0</v>
      </c>
      <c r="BD480" s="54">
        <f>H480/(100-BE480)*100</f>
        <v>0</v>
      </c>
      <c r="BE480" s="54">
        <v>0</v>
      </c>
      <c r="BF480" s="54">
        <f>L480</f>
        <v>4.2788640000000004</v>
      </c>
      <c r="BH480" s="54">
        <f>G480*AO480</f>
        <v>0</v>
      </c>
      <c r="BI480" s="54">
        <f>G480*AP480</f>
        <v>0</v>
      </c>
      <c r="BJ480" s="54">
        <f>G480*H480</f>
        <v>0</v>
      </c>
      <c r="BK480" s="54"/>
      <c r="BL480" s="54">
        <v>776</v>
      </c>
      <c r="BW480" s="54">
        <v>21</v>
      </c>
      <c r="BX480" s="3" t="s">
        <v>989</v>
      </c>
    </row>
    <row r="481" spans="1:76" ht="14.5" x14ac:dyDescent="0.35">
      <c r="A481" s="57"/>
      <c r="D481" s="58" t="s">
        <v>1077</v>
      </c>
      <c r="E481" s="59" t="s">
        <v>1078</v>
      </c>
      <c r="G481" s="60">
        <v>51.12</v>
      </c>
      <c r="M481" s="61"/>
    </row>
    <row r="482" spans="1:76" ht="14.5" x14ac:dyDescent="0.35">
      <c r="A482" s="57"/>
      <c r="D482" s="58" t="s">
        <v>1079</v>
      </c>
      <c r="E482" s="59" t="s">
        <v>1080</v>
      </c>
      <c r="G482" s="60">
        <v>345.84</v>
      </c>
      <c r="M482" s="61"/>
    </row>
    <row r="483" spans="1:76" ht="14.5" x14ac:dyDescent="0.35">
      <c r="A483" s="57"/>
      <c r="D483" s="58" t="s">
        <v>1081</v>
      </c>
      <c r="E483" s="59" t="s">
        <v>1082</v>
      </c>
      <c r="G483" s="60">
        <v>7.96</v>
      </c>
      <c r="M483" s="61"/>
    </row>
    <row r="484" spans="1:76" ht="14.5" x14ac:dyDescent="0.35">
      <c r="A484" s="57"/>
      <c r="D484" s="58" t="s">
        <v>1083</v>
      </c>
      <c r="E484" s="59" t="s">
        <v>1084</v>
      </c>
      <c r="G484" s="60">
        <v>40.68</v>
      </c>
      <c r="M484" s="61"/>
    </row>
    <row r="485" spans="1:76" ht="14.5" x14ac:dyDescent="0.35">
      <c r="A485" s="57"/>
      <c r="D485" s="58" t="s">
        <v>1085</v>
      </c>
      <c r="E485" s="59" t="s">
        <v>1086</v>
      </c>
      <c r="G485" s="60">
        <v>20</v>
      </c>
      <c r="M485" s="61"/>
    </row>
    <row r="486" spans="1:76" ht="14.5" x14ac:dyDescent="0.35">
      <c r="A486" s="1" t="s">
        <v>1087</v>
      </c>
      <c r="B486" s="2" t="s">
        <v>103</v>
      </c>
      <c r="C486" s="2" t="s">
        <v>1088</v>
      </c>
      <c r="D486" s="155" t="s">
        <v>1089</v>
      </c>
      <c r="E486" s="153"/>
      <c r="F486" s="2" t="s">
        <v>153</v>
      </c>
      <c r="G486" s="54">
        <v>501.4</v>
      </c>
      <c r="H486" s="84">
        <v>0</v>
      </c>
      <c r="I486" s="54">
        <f>G486*H486</f>
        <v>0</v>
      </c>
      <c r="J486" s="54">
        <v>8.0000000000000007E-5</v>
      </c>
      <c r="K486" s="54">
        <v>8.0000000000000007E-5</v>
      </c>
      <c r="L486" s="54">
        <f>G486*J486</f>
        <v>4.0112000000000002E-2</v>
      </c>
      <c r="M486" s="55" t="s">
        <v>111</v>
      </c>
      <c r="Z486" s="54">
        <f>IF(AQ486="5",BJ486,0)</f>
        <v>0</v>
      </c>
      <c r="AB486" s="54">
        <f>IF(AQ486="1",BH486,0)</f>
        <v>0</v>
      </c>
      <c r="AC486" s="54">
        <f>IF(AQ486="1",BI486,0)</f>
        <v>0</v>
      </c>
      <c r="AD486" s="54">
        <f>IF(AQ486="7",BH486,0)</f>
        <v>0</v>
      </c>
      <c r="AE486" s="54">
        <f>IF(AQ486="7",BI486,0)</f>
        <v>0</v>
      </c>
      <c r="AF486" s="54">
        <f>IF(AQ486="2",BH486,0)</f>
        <v>0</v>
      </c>
      <c r="AG486" s="54">
        <f>IF(AQ486="2",BI486,0)</f>
        <v>0</v>
      </c>
      <c r="AH486" s="54">
        <f>IF(AQ486="0",BJ486,0)</f>
        <v>0</v>
      </c>
      <c r="AI486" s="34" t="s">
        <v>103</v>
      </c>
      <c r="AJ486" s="54">
        <f>IF(AN486=0,I486,0)</f>
        <v>0</v>
      </c>
      <c r="AK486" s="54">
        <f>IF(AN486=12,I486,0)</f>
        <v>0</v>
      </c>
      <c r="AL486" s="54">
        <f>IF(AN486=21,I486,0)</f>
        <v>0</v>
      </c>
      <c r="AN486" s="54">
        <v>21</v>
      </c>
      <c r="AO486" s="54">
        <f>H486*0</f>
        <v>0</v>
      </c>
      <c r="AP486" s="54">
        <f>H486*(1-0)</f>
        <v>0</v>
      </c>
      <c r="AQ486" s="56" t="s">
        <v>168</v>
      </c>
      <c r="AV486" s="54">
        <f>AW486+AX486</f>
        <v>0</v>
      </c>
      <c r="AW486" s="54">
        <f>G486*AO486</f>
        <v>0</v>
      </c>
      <c r="AX486" s="54">
        <f>G486*AP486</f>
        <v>0</v>
      </c>
      <c r="AY486" s="56" t="s">
        <v>1076</v>
      </c>
      <c r="AZ486" s="56" t="s">
        <v>991</v>
      </c>
      <c r="BA486" s="34" t="s">
        <v>114</v>
      </c>
      <c r="BC486" s="54">
        <f>AW486+AX486</f>
        <v>0</v>
      </c>
      <c r="BD486" s="54">
        <f>H486/(100-BE486)*100</f>
        <v>0</v>
      </c>
      <c r="BE486" s="54">
        <v>0</v>
      </c>
      <c r="BF486" s="54">
        <f>L486</f>
        <v>4.0112000000000002E-2</v>
      </c>
      <c r="BH486" s="54">
        <f>G486*AO486</f>
        <v>0</v>
      </c>
      <c r="BI486" s="54">
        <f>G486*AP486</f>
        <v>0</v>
      </c>
      <c r="BJ486" s="54">
        <f>G486*H486</f>
        <v>0</v>
      </c>
      <c r="BK486" s="54"/>
      <c r="BL486" s="54">
        <v>776</v>
      </c>
      <c r="BW486" s="54">
        <v>21</v>
      </c>
      <c r="BX486" s="3" t="s">
        <v>1089</v>
      </c>
    </row>
    <row r="487" spans="1:76" ht="14.5" x14ac:dyDescent="0.35">
      <c r="A487" s="57"/>
      <c r="D487" s="58" t="s">
        <v>208</v>
      </c>
      <c r="E487" s="59" t="s">
        <v>1091</v>
      </c>
      <c r="G487" s="60">
        <v>0</v>
      </c>
      <c r="M487" s="61"/>
    </row>
    <row r="488" spans="1:76" ht="14.5" x14ac:dyDescent="0.35">
      <c r="A488" s="57"/>
      <c r="D488" s="58" t="s">
        <v>1092</v>
      </c>
      <c r="E488" s="59" t="s">
        <v>1093</v>
      </c>
      <c r="G488" s="60">
        <v>10.72</v>
      </c>
      <c r="M488" s="61"/>
    </row>
    <row r="489" spans="1:76" ht="14.5" x14ac:dyDescent="0.35">
      <c r="A489" s="57"/>
      <c r="D489" s="58" t="s">
        <v>1094</v>
      </c>
      <c r="E489" s="59" t="s">
        <v>1095</v>
      </c>
      <c r="G489" s="60">
        <v>35.76</v>
      </c>
      <c r="M489" s="61"/>
    </row>
    <row r="490" spans="1:76" ht="14.5" x14ac:dyDescent="0.35">
      <c r="A490" s="57"/>
      <c r="D490" s="58" t="s">
        <v>1096</v>
      </c>
      <c r="E490" s="59" t="s">
        <v>1097</v>
      </c>
      <c r="G490" s="60">
        <v>19.559999999999999</v>
      </c>
      <c r="M490" s="61"/>
    </row>
    <row r="491" spans="1:76" ht="14.5" x14ac:dyDescent="0.35">
      <c r="A491" s="57"/>
      <c r="D491" s="58" t="s">
        <v>1098</v>
      </c>
      <c r="E491" s="59" t="s">
        <v>1099</v>
      </c>
      <c r="G491" s="60">
        <v>88.56</v>
      </c>
      <c r="M491" s="61"/>
    </row>
    <row r="492" spans="1:76" ht="14.5" x14ac:dyDescent="0.35">
      <c r="A492" s="57"/>
      <c r="D492" s="58" t="s">
        <v>1100</v>
      </c>
      <c r="E492" s="59" t="s">
        <v>1101</v>
      </c>
      <c r="G492" s="60">
        <v>346.8</v>
      </c>
      <c r="M492" s="61"/>
    </row>
    <row r="493" spans="1:76" ht="14.5" x14ac:dyDescent="0.35">
      <c r="A493" s="1" t="s">
        <v>1102</v>
      </c>
      <c r="B493" s="2" t="s">
        <v>103</v>
      </c>
      <c r="C493" s="2" t="s">
        <v>1103</v>
      </c>
      <c r="D493" s="155" t="s">
        <v>1104</v>
      </c>
      <c r="E493" s="153"/>
      <c r="F493" s="2" t="s">
        <v>110</v>
      </c>
      <c r="G493" s="54">
        <v>61.04</v>
      </c>
      <c r="H493" s="84">
        <v>0</v>
      </c>
      <c r="I493" s="54">
        <f>G493*H493</f>
        <v>0</v>
      </c>
      <c r="J493" s="54">
        <v>3.5000000000000001E-3</v>
      </c>
      <c r="K493" s="54">
        <v>3.5000000000000001E-3</v>
      </c>
      <c r="L493" s="54">
        <f>G493*J493</f>
        <v>0.21364</v>
      </c>
      <c r="M493" s="55" t="s">
        <v>111</v>
      </c>
      <c r="Z493" s="54">
        <f>IF(AQ493="5",BJ493,0)</f>
        <v>0</v>
      </c>
      <c r="AB493" s="54">
        <f>IF(AQ493="1",BH493,0)</f>
        <v>0</v>
      </c>
      <c r="AC493" s="54">
        <f>IF(AQ493="1",BI493,0)</f>
        <v>0</v>
      </c>
      <c r="AD493" s="54">
        <f>IF(AQ493="7",BH493,0)</f>
        <v>0</v>
      </c>
      <c r="AE493" s="54">
        <f>IF(AQ493="7",BI493,0)</f>
        <v>0</v>
      </c>
      <c r="AF493" s="54">
        <f>IF(AQ493="2",BH493,0)</f>
        <v>0</v>
      </c>
      <c r="AG493" s="54">
        <f>IF(AQ493="2",BI493,0)</f>
        <v>0</v>
      </c>
      <c r="AH493" s="54">
        <f>IF(AQ493="0",BJ493,0)</f>
        <v>0</v>
      </c>
      <c r="AI493" s="34" t="s">
        <v>103</v>
      </c>
      <c r="AJ493" s="54">
        <f>IF(AN493=0,I493,0)</f>
        <v>0</v>
      </c>
      <c r="AK493" s="54">
        <f>IF(AN493=12,I493,0)</f>
        <v>0</v>
      </c>
      <c r="AL493" s="54">
        <f>IF(AN493=21,I493,0)</f>
        <v>0</v>
      </c>
      <c r="AN493" s="54">
        <v>21</v>
      </c>
      <c r="AO493" s="54">
        <f>H493*0</f>
        <v>0</v>
      </c>
      <c r="AP493" s="54">
        <f>H493*(1-0)</f>
        <v>0</v>
      </c>
      <c r="AQ493" s="56" t="s">
        <v>168</v>
      </c>
      <c r="AV493" s="54">
        <f>AW493+AX493</f>
        <v>0</v>
      </c>
      <c r="AW493" s="54">
        <f>G493*AO493</f>
        <v>0</v>
      </c>
      <c r="AX493" s="54">
        <f>G493*AP493</f>
        <v>0</v>
      </c>
      <c r="AY493" s="56" t="s">
        <v>1076</v>
      </c>
      <c r="AZ493" s="56" t="s">
        <v>991</v>
      </c>
      <c r="BA493" s="34" t="s">
        <v>114</v>
      </c>
      <c r="BC493" s="54">
        <f>AW493+AX493</f>
        <v>0</v>
      </c>
      <c r="BD493" s="54">
        <f>H493/(100-BE493)*100</f>
        <v>0</v>
      </c>
      <c r="BE493" s="54">
        <v>0</v>
      </c>
      <c r="BF493" s="54">
        <f>L493</f>
        <v>0.21364</v>
      </c>
      <c r="BH493" s="54">
        <f>G493*AO493</f>
        <v>0</v>
      </c>
      <c r="BI493" s="54">
        <f>G493*AP493</f>
        <v>0</v>
      </c>
      <c r="BJ493" s="54">
        <f>G493*H493</f>
        <v>0</v>
      </c>
      <c r="BK493" s="54"/>
      <c r="BL493" s="54">
        <v>776</v>
      </c>
      <c r="BW493" s="54">
        <v>21</v>
      </c>
      <c r="BX493" s="3" t="s">
        <v>1104</v>
      </c>
    </row>
    <row r="494" spans="1:76" ht="14.5" x14ac:dyDescent="0.35">
      <c r="A494" s="57"/>
      <c r="D494" s="58" t="s">
        <v>208</v>
      </c>
      <c r="E494" s="59" t="s">
        <v>1106</v>
      </c>
      <c r="G494" s="60">
        <v>0</v>
      </c>
      <c r="M494" s="61"/>
    </row>
    <row r="495" spans="1:76" ht="14.5" x14ac:dyDescent="0.35">
      <c r="A495" s="57"/>
      <c r="D495" s="58" t="s">
        <v>1083</v>
      </c>
      <c r="E495" s="59" t="s">
        <v>1107</v>
      </c>
      <c r="G495" s="60">
        <v>40.68</v>
      </c>
      <c r="M495" s="61"/>
    </row>
    <row r="496" spans="1:76" ht="14.5" x14ac:dyDescent="0.35">
      <c r="A496" s="57"/>
      <c r="D496" s="58" t="s">
        <v>1108</v>
      </c>
      <c r="E496" s="59" t="s">
        <v>1109</v>
      </c>
      <c r="G496" s="60">
        <v>20.36</v>
      </c>
      <c r="M496" s="61"/>
    </row>
    <row r="497" spans="1:76" ht="14.5" x14ac:dyDescent="0.35">
      <c r="A497" s="1" t="s">
        <v>1110</v>
      </c>
      <c r="B497" s="2" t="s">
        <v>103</v>
      </c>
      <c r="C497" s="2" t="s">
        <v>1111</v>
      </c>
      <c r="D497" s="155" t="s">
        <v>1104</v>
      </c>
      <c r="E497" s="153"/>
      <c r="F497" s="2" t="s">
        <v>110</v>
      </c>
      <c r="G497" s="54">
        <v>345.84</v>
      </c>
      <c r="H497" s="84">
        <v>0</v>
      </c>
      <c r="I497" s="54">
        <f>G497*H497</f>
        <v>0</v>
      </c>
      <c r="J497" s="54">
        <v>3.5000000000000001E-3</v>
      </c>
      <c r="K497" s="54">
        <v>3.5000000000000001E-3</v>
      </c>
      <c r="L497" s="54">
        <f>G497*J497</f>
        <v>1.21044</v>
      </c>
      <c r="M497" s="55" t="s">
        <v>111</v>
      </c>
      <c r="Z497" s="54">
        <f>IF(AQ497="5",BJ497,0)</f>
        <v>0</v>
      </c>
      <c r="AB497" s="54">
        <f>IF(AQ497="1",BH497,0)</f>
        <v>0</v>
      </c>
      <c r="AC497" s="54">
        <f>IF(AQ497="1",BI497,0)</f>
        <v>0</v>
      </c>
      <c r="AD497" s="54">
        <f>IF(AQ497="7",BH497,0)</f>
        <v>0</v>
      </c>
      <c r="AE497" s="54">
        <f>IF(AQ497="7",BI497,0)</f>
        <v>0</v>
      </c>
      <c r="AF497" s="54">
        <f>IF(AQ497="2",BH497,0)</f>
        <v>0</v>
      </c>
      <c r="AG497" s="54">
        <f>IF(AQ497="2",BI497,0)</f>
        <v>0</v>
      </c>
      <c r="AH497" s="54">
        <f>IF(AQ497="0",BJ497,0)</f>
        <v>0</v>
      </c>
      <c r="AI497" s="34" t="s">
        <v>103</v>
      </c>
      <c r="AJ497" s="54">
        <f>IF(AN497=0,I497,0)</f>
        <v>0</v>
      </c>
      <c r="AK497" s="54">
        <f>IF(AN497=12,I497,0)</f>
        <v>0</v>
      </c>
      <c r="AL497" s="54">
        <f>IF(AN497=21,I497,0)</f>
        <v>0</v>
      </c>
      <c r="AN497" s="54">
        <v>21</v>
      </c>
      <c r="AO497" s="54">
        <f>H497*0</f>
        <v>0</v>
      </c>
      <c r="AP497" s="54">
        <f>H497*(1-0)</f>
        <v>0</v>
      </c>
      <c r="AQ497" s="56" t="s">
        <v>168</v>
      </c>
      <c r="AV497" s="54">
        <f>AW497+AX497</f>
        <v>0</v>
      </c>
      <c r="AW497" s="54">
        <f>G497*AO497</f>
        <v>0</v>
      </c>
      <c r="AX497" s="54">
        <f>G497*AP497</f>
        <v>0</v>
      </c>
      <c r="AY497" s="56" t="s">
        <v>1076</v>
      </c>
      <c r="AZ497" s="56" t="s">
        <v>991</v>
      </c>
      <c r="BA497" s="34" t="s">
        <v>114</v>
      </c>
      <c r="BC497" s="54">
        <f>AW497+AX497</f>
        <v>0</v>
      </c>
      <c r="BD497" s="54">
        <f>H497/(100-BE497)*100</f>
        <v>0</v>
      </c>
      <c r="BE497" s="54">
        <v>0</v>
      </c>
      <c r="BF497" s="54">
        <f>L497</f>
        <v>1.21044</v>
      </c>
      <c r="BH497" s="54">
        <f>G497*AO497</f>
        <v>0</v>
      </c>
      <c r="BI497" s="54">
        <f>G497*AP497</f>
        <v>0</v>
      </c>
      <c r="BJ497" s="54">
        <f>G497*H497</f>
        <v>0</v>
      </c>
      <c r="BK497" s="54"/>
      <c r="BL497" s="54">
        <v>776</v>
      </c>
      <c r="BW497" s="54">
        <v>21</v>
      </c>
      <c r="BX497" s="3" t="s">
        <v>1104</v>
      </c>
    </row>
    <row r="498" spans="1:76" ht="14.5" x14ac:dyDescent="0.35">
      <c r="A498" s="57"/>
      <c r="D498" s="58" t="s">
        <v>208</v>
      </c>
      <c r="E498" s="59" t="s">
        <v>1113</v>
      </c>
      <c r="G498" s="60">
        <v>0</v>
      </c>
      <c r="M498" s="61"/>
    </row>
    <row r="499" spans="1:76" ht="14.5" x14ac:dyDescent="0.35">
      <c r="A499" s="57"/>
      <c r="D499" s="58" t="s">
        <v>1079</v>
      </c>
      <c r="E499" s="59" t="s">
        <v>1114</v>
      </c>
      <c r="G499" s="60">
        <v>345.84</v>
      </c>
      <c r="M499" s="61"/>
    </row>
    <row r="500" spans="1:76" ht="14.5" x14ac:dyDescent="0.35">
      <c r="A500" s="1" t="s">
        <v>1115</v>
      </c>
      <c r="B500" s="2" t="s">
        <v>103</v>
      </c>
      <c r="C500" s="2" t="s">
        <v>1116</v>
      </c>
      <c r="D500" s="155" t="s">
        <v>1104</v>
      </c>
      <c r="E500" s="153"/>
      <c r="F500" s="2" t="s">
        <v>110</v>
      </c>
      <c r="G500" s="54">
        <v>131.404</v>
      </c>
      <c r="H500" s="84">
        <v>0</v>
      </c>
      <c r="I500" s="54">
        <f>G500*H500</f>
        <v>0</v>
      </c>
      <c r="J500" s="54">
        <v>3.5000000000000001E-3</v>
      </c>
      <c r="K500" s="54">
        <v>3.5000000000000001E-3</v>
      </c>
      <c r="L500" s="54">
        <f>G500*J500</f>
        <v>0.45991399999999999</v>
      </c>
      <c r="M500" s="55" t="s">
        <v>111</v>
      </c>
      <c r="Z500" s="54">
        <f>IF(AQ500="5",BJ500,0)</f>
        <v>0</v>
      </c>
      <c r="AB500" s="54">
        <f>IF(AQ500="1",BH500,0)</f>
        <v>0</v>
      </c>
      <c r="AC500" s="54">
        <f>IF(AQ500="1",BI500,0)</f>
        <v>0</v>
      </c>
      <c r="AD500" s="54">
        <f>IF(AQ500="7",BH500,0)</f>
        <v>0</v>
      </c>
      <c r="AE500" s="54">
        <f>IF(AQ500="7",BI500,0)</f>
        <v>0</v>
      </c>
      <c r="AF500" s="54">
        <f>IF(AQ500="2",BH500,0)</f>
        <v>0</v>
      </c>
      <c r="AG500" s="54">
        <f>IF(AQ500="2",BI500,0)</f>
        <v>0</v>
      </c>
      <c r="AH500" s="54">
        <f>IF(AQ500="0",BJ500,0)</f>
        <v>0</v>
      </c>
      <c r="AI500" s="34" t="s">
        <v>103</v>
      </c>
      <c r="AJ500" s="54">
        <f>IF(AN500=0,I500,0)</f>
        <v>0</v>
      </c>
      <c r="AK500" s="54">
        <f>IF(AN500=12,I500,0)</f>
        <v>0</v>
      </c>
      <c r="AL500" s="54">
        <f>IF(AN500=21,I500,0)</f>
        <v>0</v>
      </c>
      <c r="AN500" s="54">
        <v>21</v>
      </c>
      <c r="AO500" s="54">
        <f>H500*0</f>
        <v>0</v>
      </c>
      <c r="AP500" s="54">
        <f>H500*(1-0)</f>
        <v>0</v>
      </c>
      <c r="AQ500" s="56" t="s">
        <v>168</v>
      </c>
      <c r="AV500" s="54">
        <f>AW500+AX500</f>
        <v>0</v>
      </c>
      <c r="AW500" s="54">
        <f>G500*AO500</f>
        <v>0</v>
      </c>
      <c r="AX500" s="54">
        <f>G500*AP500</f>
        <v>0</v>
      </c>
      <c r="AY500" s="56" t="s">
        <v>1076</v>
      </c>
      <c r="AZ500" s="56" t="s">
        <v>991</v>
      </c>
      <c r="BA500" s="34" t="s">
        <v>114</v>
      </c>
      <c r="BC500" s="54">
        <f>AW500+AX500</f>
        <v>0</v>
      </c>
      <c r="BD500" s="54">
        <f>H500/(100-BE500)*100</f>
        <v>0</v>
      </c>
      <c r="BE500" s="54">
        <v>0</v>
      </c>
      <c r="BF500" s="54">
        <f>L500</f>
        <v>0.45991399999999999</v>
      </c>
      <c r="BH500" s="54">
        <f>G500*AO500</f>
        <v>0</v>
      </c>
      <c r="BI500" s="54">
        <f>G500*AP500</f>
        <v>0</v>
      </c>
      <c r="BJ500" s="54">
        <f>G500*H500</f>
        <v>0</v>
      </c>
      <c r="BK500" s="54"/>
      <c r="BL500" s="54">
        <v>776</v>
      </c>
      <c r="BW500" s="54">
        <v>21</v>
      </c>
      <c r="BX500" s="3" t="s">
        <v>1104</v>
      </c>
    </row>
    <row r="501" spans="1:76" ht="14.5" x14ac:dyDescent="0.35">
      <c r="A501" s="57"/>
      <c r="D501" s="58" t="s">
        <v>208</v>
      </c>
      <c r="E501" s="59" t="s">
        <v>1113</v>
      </c>
      <c r="G501" s="60">
        <v>0</v>
      </c>
      <c r="M501" s="61"/>
    </row>
    <row r="502" spans="1:76" ht="14.5" x14ac:dyDescent="0.35">
      <c r="A502" s="57"/>
      <c r="D502" s="58" t="s">
        <v>1081</v>
      </c>
      <c r="E502" s="59" t="s">
        <v>1118</v>
      </c>
      <c r="G502" s="60">
        <v>7.96</v>
      </c>
      <c r="M502" s="61"/>
    </row>
    <row r="503" spans="1:76" ht="14.5" x14ac:dyDescent="0.35">
      <c r="A503" s="57"/>
      <c r="D503" s="58" t="s">
        <v>1077</v>
      </c>
      <c r="E503" s="59" t="s">
        <v>1119</v>
      </c>
      <c r="G503" s="60">
        <v>51.12</v>
      </c>
      <c r="M503" s="61"/>
    </row>
    <row r="504" spans="1:76" ht="14.5" x14ac:dyDescent="0.35">
      <c r="A504" s="57"/>
      <c r="D504" s="58" t="s">
        <v>1120</v>
      </c>
      <c r="E504" s="59" t="s">
        <v>1121</v>
      </c>
      <c r="G504" s="60">
        <v>72.323999999999998</v>
      </c>
      <c r="M504" s="61"/>
    </row>
    <row r="505" spans="1:76" ht="14.5" x14ac:dyDescent="0.35">
      <c r="A505" s="1" t="s">
        <v>1122</v>
      </c>
      <c r="B505" s="2" t="s">
        <v>103</v>
      </c>
      <c r="C505" s="2" t="s">
        <v>1123</v>
      </c>
      <c r="D505" s="155" t="s">
        <v>1124</v>
      </c>
      <c r="E505" s="153"/>
      <c r="F505" s="2" t="s">
        <v>110</v>
      </c>
      <c r="G505" s="54">
        <v>465.6</v>
      </c>
      <c r="H505" s="84">
        <v>0</v>
      </c>
      <c r="I505" s="54">
        <f>G505*H505</f>
        <v>0</v>
      </c>
      <c r="J505" s="54">
        <v>1.166E-2</v>
      </c>
      <c r="K505" s="54">
        <v>0</v>
      </c>
      <c r="L505" s="54">
        <f>G505*J505</f>
        <v>5.4288959999999999</v>
      </c>
      <c r="M505" s="55" t="s">
        <v>111</v>
      </c>
      <c r="Z505" s="54">
        <f>IF(AQ505="5",BJ505,0)</f>
        <v>0</v>
      </c>
      <c r="AB505" s="54">
        <f>IF(AQ505="1",BH505,0)</f>
        <v>0</v>
      </c>
      <c r="AC505" s="54">
        <f>IF(AQ505="1",BI505,0)</f>
        <v>0</v>
      </c>
      <c r="AD505" s="54">
        <f>IF(AQ505="7",BH505,0)</f>
        <v>0</v>
      </c>
      <c r="AE505" s="54">
        <f>IF(AQ505="7",BI505,0)</f>
        <v>0</v>
      </c>
      <c r="AF505" s="54">
        <f>IF(AQ505="2",BH505,0)</f>
        <v>0</v>
      </c>
      <c r="AG505" s="54">
        <f>IF(AQ505="2",BI505,0)</f>
        <v>0</v>
      </c>
      <c r="AH505" s="54">
        <f>IF(AQ505="0",BJ505,0)</f>
        <v>0</v>
      </c>
      <c r="AI505" s="34" t="s">
        <v>103</v>
      </c>
      <c r="AJ505" s="54">
        <f>IF(AN505=0,I505,0)</f>
        <v>0</v>
      </c>
      <c r="AK505" s="54">
        <f>IF(AN505=12,I505,0)</f>
        <v>0</v>
      </c>
      <c r="AL505" s="54">
        <f>IF(AN505=21,I505,0)</f>
        <v>0</v>
      </c>
      <c r="AN505" s="54">
        <v>21</v>
      </c>
      <c r="AO505" s="54">
        <f>H505*0.686170098</f>
        <v>0</v>
      </c>
      <c r="AP505" s="54">
        <f>H505*(1-0.686170098)</f>
        <v>0</v>
      </c>
      <c r="AQ505" s="56" t="s">
        <v>168</v>
      </c>
      <c r="AV505" s="54">
        <f>AW505+AX505</f>
        <v>0</v>
      </c>
      <c r="AW505" s="54">
        <f>G505*AO505</f>
        <v>0</v>
      </c>
      <c r="AX505" s="54">
        <f>G505*AP505</f>
        <v>0</v>
      </c>
      <c r="AY505" s="56" t="s">
        <v>1076</v>
      </c>
      <c r="AZ505" s="56" t="s">
        <v>991</v>
      </c>
      <c r="BA505" s="34" t="s">
        <v>114</v>
      </c>
      <c r="BC505" s="54">
        <f>AW505+AX505</f>
        <v>0</v>
      </c>
      <c r="BD505" s="54">
        <f>H505/(100-BE505)*100</f>
        <v>0</v>
      </c>
      <c r="BE505" s="54">
        <v>0</v>
      </c>
      <c r="BF505" s="54">
        <f>L505</f>
        <v>5.4288959999999999</v>
      </c>
      <c r="BH505" s="54">
        <f>G505*AO505</f>
        <v>0</v>
      </c>
      <c r="BI505" s="54">
        <f>G505*AP505</f>
        <v>0</v>
      </c>
      <c r="BJ505" s="54">
        <f>G505*H505</f>
        <v>0</v>
      </c>
      <c r="BK505" s="54"/>
      <c r="BL505" s="54">
        <v>776</v>
      </c>
      <c r="BW505" s="54">
        <v>21</v>
      </c>
      <c r="BX505" s="3" t="s">
        <v>1124</v>
      </c>
    </row>
    <row r="506" spans="1:76" ht="14.5" x14ac:dyDescent="0.35">
      <c r="A506" s="57"/>
      <c r="D506" s="58" t="s">
        <v>208</v>
      </c>
      <c r="E506" s="59" t="s">
        <v>1126</v>
      </c>
      <c r="G506" s="60">
        <v>0</v>
      </c>
      <c r="M506" s="61"/>
    </row>
    <row r="507" spans="1:76" ht="14.5" x14ac:dyDescent="0.35">
      <c r="A507" s="57"/>
      <c r="D507" s="58" t="s">
        <v>1081</v>
      </c>
      <c r="E507" s="59" t="s">
        <v>1127</v>
      </c>
      <c r="G507" s="60">
        <v>7.96</v>
      </c>
      <c r="M507" s="61"/>
    </row>
    <row r="508" spans="1:76" ht="14.5" x14ac:dyDescent="0.35">
      <c r="A508" s="57"/>
      <c r="D508" s="58" t="s">
        <v>1083</v>
      </c>
      <c r="E508" s="59" t="s">
        <v>1128</v>
      </c>
      <c r="G508" s="60">
        <v>40.68</v>
      </c>
      <c r="M508" s="61"/>
    </row>
    <row r="509" spans="1:76" ht="14.5" x14ac:dyDescent="0.35">
      <c r="A509" s="57"/>
      <c r="D509" s="58" t="s">
        <v>1129</v>
      </c>
      <c r="E509" s="59" t="s">
        <v>1130</v>
      </c>
      <c r="G509" s="60">
        <v>20</v>
      </c>
      <c r="M509" s="61"/>
    </row>
    <row r="510" spans="1:76" ht="14.5" x14ac:dyDescent="0.35">
      <c r="A510" s="57"/>
      <c r="D510" s="58" t="s">
        <v>1079</v>
      </c>
      <c r="E510" s="59" t="s">
        <v>1131</v>
      </c>
      <c r="G510" s="60">
        <v>345.84</v>
      </c>
      <c r="M510" s="61"/>
    </row>
    <row r="511" spans="1:76" ht="14.5" x14ac:dyDescent="0.35">
      <c r="A511" s="57"/>
      <c r="D511" s="58" t="s">
        <v>1077</v>
      </c>
      <c r="E511" s="59" t="s">
        <v>1133</v>
      </c>
      <c r="G511" s="60">
        <v>51.12</v>
      </c>
      <c r="M511" s="61"/>
    </row>
    <row r="512" spans="1:76" ht="14.5" x14ac:dyDescent="0.35">
      <c r="A512" s="64" t="s">
        <v>1134</v>
      </c>
      <c r="B512" s="65" t="s">
        <v>103</v>
      </c>
      <c r="C512" s="65" t="s">
        <v>1135</v>
      </c>
      <c r="D512" s="217" t="s">
        <v>1136</v>
      </c>
      <c r="E512" s="218"/>
      <c r="F512" s="65" t="s">
        <v>110</v>
      </c>
      <c r="G512" s="67">
        <v>94.4</v>
      </c>
      <c r="H512" s="85">
        <v>0</v>
      </c>
      <c r="I512" s="67">
        <f>G512*H512</f>
        <v>0</v>
      </c>
      <c r="J512" s="67">
        <v>3.0599999999999998E-3</v>
      </c>
      <c r="K512" s="67">
        <v>0</v>
      </c>
      <c r="L512" s="67">
        <f>G512*J512</f>
        <v>0.28886400000000001</v>
      </c>
      <c r="M512" s="68" t="s">
        <v>111</v>
      </c>
      <c r="Z512" s="54">
        <f>IF(AQ512="5",BJ512,0)</f>
        <v>0</v>
      </c>
      <c r="AB512" s="54">
        <f>IF(AQ512="1",BH512,0)</f>
        <v>0</v>
      </c>
      <c r="AC512" s="54">
        <f>IF(AQ512="1",BI512,0)</f>
        <v>0</v>
      </c>
      <c r="AD512" s="54">
        <f>IF(AQ512="7",BH512,0)</f>
        <v>0</v>
      </c>
      <c r="AE512" s="54">
        <f>IF(AQ512="7",BI512,0)</f>
        <v>0</v>
      </c>
      <c r="AF512" s="54">
        <f>IF(AQ512="2",BH512,0)</f>
        <v>0</v>
      </c>
      <c r="AG512" s="54">
        <f>IF(AQ512="2",BI512,0)</f>
        <v>0</v>
      </c>
      <c r="AH512" s="54">
        <f>IF(AQ512="0",BJ512,0)</f>
        <v>0</v>
      </c>
      <c r="AI512" s="34" t="s">
        <v>103</v>
      </c>
      <c r="AJ512" s="67">
        <f>IF(AN512=0,I512,0)</f>
        <v>0</v>
      </c>
      <c r="AK512" s="67">
        <f>IF(AN512=12,I512,0)</f>
        <v>0</v>
      </c>
      <c r="AL512" s="67">
        <f>IF(AN512=21,I512,0)</f>
        <v>0</v>
      </c>
      <c r="AN512" s="54">
        <v>21</v>
      </c>
      <c r="AO512" s="54">
        <f>H512*1</f>
        <v>0</v>
      </c>
      <c r="AP512" s="54">
        <f>H512*(1-1)</f>
        <v>0</v>
      </c>
      <c r="AQ512" s="69" t="s">
        <v>168</v>
      </c>
      <c r="AV512" s="54">
        <f>AW512+AX512</f>
        <v>0</v>
      </c>
      <c r="AW512" s="54">
        <f>G512*AO512</f>
        <v>0</v>
      </c>
      <c r="AX512" s="54">
        <f>G512*AP512</f>
        <v>0</v>
      </c>
      <c r="AY512" s="56" t="s">
        <v>1076</v>
      </c>
      <c r="AZ512" s="56" t="s">
        <v>991</v>
      </c>
      <c r="BA512" s="34" t="s">
        <v>114</v>
      </c>
      <c r="BC512" s="54">
        <f>AW512+AX512</f>
        <v>0</v>
      </c>
      <c r="BD512" s="54">
        <f>H512/(100-BE512)*100</f>
        <v>0</v>
      </c>
      <c r="BE512" s="54">
        <v>0</v>
      </c>
      <c r="BF512" s="54">
        <f>L512</f>
        <v>0.28886400000000001</v>
      </c>
      <c r="BH512" s="67">
        <f>G512*AO512</f>
        <v>0</v>
      </c>
      <c r="BI512" s="67">
        <f>G512*AP512</f>
        <v>0</v>
      </c>
      <c r="BJ512" s="67">
        <f>G512*H512</f>
        <v>0</v>
      </c>
      <c r="BK512" s="67"/>
      <c r="BL512" s="54">
        <v>776</v>
      </c>
      <c r="BW512" s="54">
        <v>21</v>
      </c>
      <c r="BX512" s="66" t="s">
        <v>1136</v>
      </c>
    </row>
    <row r="513" spans="1:76" ht="14.5" x14ac:dyDescent="0.35">
      <c r="A513" s="57"/>
      <c r="D513" s="58" t="s">
        <v>1138</v>
      </c>
      <c r="E513" s="59" t="s">
        <v>1139</v>
      </c>
      <c r="G513" s="60">
        <v>69.84</v>
      </c>
      <c r="M513" s="61"/>
    </row>
    <row r="514" spans="1:76" ht="14.5" x14ac:dyDescent="0.35">
      <c r="A514" s="57"/>
      <c r="D514" s="58" t="s">
        <v>1140</v>
      </c>
      <c r="E514" s="59" t="s">
        <v>1141</v>
      </c>
      <c r="G514" s="60">
        <v>24.56</v>
      </c>
      <c r="M514" s="61"/>
    </row>
    <row r="515" spans="1:76" ht="14.5" x14ac:dyDescent="0.35">
      <c r="A515" s="64" t="s">
        <v>1143</v>
      </c>
      <c r="B515" s="65" t="s">
        <v>103</v>
      </c>
      <c r="C515" s="65" t="s">
        <v>1144</v>
      </c>
      <c r="D515" s="217" t="s">
        <v>1145</v>
      </c>
      <c r="E515" s="218"/>
      <c r="F515" s="65" t="s">
        <v>153</v>
      </c>
      <c r="G515" s="67">
        <v>51.05</v>
      </c>
      <c r="H515" s="85">
        <v>0</v>
      </c>
      <c r="I515" s="67">
        <f>G515*H515</f>
        <v>0</v>
      </c>
      <c r="J515" s="67">
        <v>5.0000000000000001E-4</v>
      </c>
      <c r="K515" s="67">
        <v>0</v>
      </c>
      <c r="L515" s="67">
        <f>G515*J515</f>
        <v>2.5524999999999999E-2</v>
      </c>
      <c r="M515" s="68" t="s">
        <v>10</v>
      </c>
      <c r="Z515" s="54">
        <f>IF(AQ515="5",BJ515,0)</f>
        <v>0</v>
      </c>
      <c r="AB515" s="54">
        <f>IF(AQ515="1",BH515,0)</f>
        <v>0</v>
      </c>
      <c r="AC515" s="54">
        <f>IF(AQ515="1",BI515,0)</f>
        <v>0</v>
      </c>
      <c r="AD515" s="54">
        <f>IF(AQ515="7",BH515,0)</f>
        <v>0</v>
      </c>
      <c r="AE515" s="54">
        <f>IF(AQ515="7",BI515,0)</f>
        <v>0</v>
      </c>
      <c r="AF515" s="54">
        <f>IF(AQ515="2",BH515,0)</f>
        <v>0</v>
      </c>
      <c r="AG515" s="54">
        <f>IF(AQ515="2",BI515,0)</f>
        <v>0</v>
      </c>
      <c r="AH515" s="54">
        <f>IF(AQ515="0",BJ515,0)</f>
        <v>0</v>
      </c>
      <c r="AI515" s="34" t="s">
        <v>103</v>
      </c>
      <c r="AJ515" s="67">
        <f>IF(AN515=0,I515,0)</f>
        <v>0</v>
      </c>
      <c r="AK515" s="67">
        <f>IF(AN515=12,I515,0)</f>
        <v>0</v>
      </c>
      <c r="AL515" s="67">
        <f>IF(AN515=21,I515,0)</f>
        <v>0</v>
      </c>
      <c r="AN515" s="54">
        <v>21</v>
      </c>
      <c r="AO515" s="54">
        <f>H515*1</f>
        <v>0</v>
      </c>
      <c r="AP515" s="54">
        <f>H515*(1-1)</f>
        <v>0</v>
      </c>
      <c r="AQ515" s="69" t="s">
        <v>168</v>
      </c>
      <c r="AV515" s="54">
        <f>AW515+AX515</f>
        <v>0</v>
      </c>
      <c r="AW515" s="54">
        <f>G515*AO515</f>
        <v>0</v>
      </c>
      <c r="AX515" s="54">
        <f>G515*AP515</f>
        <v>0</v>
      </c>
      <c r="AY515" s="56" t="s">
        <v>1076</v>
      </c>
      <c r="AZ515" s="56" t="s">
        <v>991</v>
      </c>
      <c r="BA515" s="34" t="s">
        <v>114</v>
      </c>
      <c r="BC515" s="54">
        <f>AW515+AX515</f>
        <v>0</v>
      </c>
      <c r="BD515" s="54">
        <f>H515/(100-BE515)*100</f>
        <v>0</v>
      </c>
      <c r="BE515" s="54">
        <v>0</v>
      </c>
      <c r="BF515" s="54">
        <f>L515</f>
        <v>2.5524999999999999E-2</v>
      </c>
      <c r="BH515" s="67">
        <f>G515*AO515</f>
        <v>0</v>
      </c>
      <c r="BI515" s="67">
        <f>G515*AP515</f>
        <v>0</v>
      </c>
      <c r="BJ515" s="67">
        <f>G515*H515</f>
        <v>0</v>
      </c>
      <c r="BK515" s="67"/>
      <c r="BL515" s="54">
        <v>776</v>
      </c>
      <c r="BW515" s="54">
        <v>21</v>
      </c>
      <c r="BX515" s="66" t="s">
        <v>1145</v>
      </c>
    </row>
    <row r="516" spans="1:76" ht="14.5" x14ac:dyDescent="0.35">
      <c r="A516" s="57"/>
      <c r="D516" s="58" t="s">
        <v>208</v>
      </c>
      <c r="E516" s="59" t="s">
        <v>1091</v>
      </c>
      <c r="G516" s="60">
        <v>0</v>
      </c>
      <c r="M516" s="61"/>
    </row>
    <row r="517" spans="1:76" ht="14.5" x14ac:dyDescent="0.35">
      <c r="A517" s="57"/>
      <c r="D517" s="58" t="s">
        <v>1146</v>
      </c>
      <c r="E517" s="59" t="s">
        <v>1147</v>
      </c>
      <c r="G517" s="60">
        <v>0.214</v>
      </c>
      <c r="M517" s="61"/>
    </row>
    <row r="518" spans="1:76" ht="14.5" x14ac:dyDescent="0.35">
      <c r="A518" s="57"/>
      <c r="D518" s="58" t="s">
        <v>1148</v>
      </c>
      <c r="E518" s="59" t="s">
        <v>1149</v>
      </c>
      <c r="G518" s="60">
        <v>0.71499999999999997</v>
      </c>
      <c r="M518" s="61"/>
    </row>
    <row r="519" spans="1:76" ht="14.5" x14ac:dyDescent="0.35">
      <c r="A519" s="57"/>
      <c r="D519" s="58" t="s">
        <v>1150</v>
      </c>
      <c r="E519" s="59" t="s">
        <v>1151</v>
      </c>
      <c r="G519" s="60">
        <v>0.39100000000000001</v>
      </c>
      <c r="M519" s="61"/>
    </row>
    <row r="520" spans="1:76" ht="14.5" x14ac:dyDescent="0.35">
      <c r="A520" s="57"/>
      <c r="D520" s="58" t="s">
        <v>1152</v>
      </c>
      <c r="E520" s="59" t="s">
        <v>1153</v>
      </c>
      <c r="G520" s="60">
        <v>1.7230000000000001</v>
      </c>
      <c r="M520" s="61"/>
    </row>
    <row r="521" spans="1:76" ht="14.5" x14ac:dyDescent="0.35">
      <c r="A521" s="57"/>
      <c r="D521" s="58" t="s">
        <v>1154</v>
      </c>
      <c r="E521" s="59" t="s">
        <v>1155</v>
      </c>
      <c r="G521" s="60">
        <v>6.9359999999999999</v>
      </c>
      <c r="M521" s="61"/>
    </row>
    <row r="522" spans="1:76" ht="14.5" x14ac:dyDescent="0.35">
      <c r="A522" s="57"/>
      <c r="D522" s="58" t="s">
        <v>1156</v>
      </c>
      <c r="E522" s="59" t="s">
        <v>1157</v>
      </c>
      <c r="G522" s="60">
        <v>41.070999999999998</v>
      </c>
      <c r="M522" s="61"/>
    </row>
    <row r="523" spans="1:76" ht="14.5" x14ac:dyDescent="0.35">
      <c r="A523" s="1" t="s">
        <v>1159</v>
      </c>
      <c r="B523" s="2" t="s">
        <v>103</v>
      </c>
      <c r="C523" s="2" t="s">
        <v>1160</v>
      </c>
      <c r="D523" s="155" t="s">
        <v>1161</v>
      </c>
      <c r="E523" s="153"/>
      <c r="F523" s="2" t="s">
        <v>412</v>
      </c>
      <c r="G523" s="54">
        <v>11.946</v>
      </c>
      <c r="H523" s="84">
        <v>0</v>
      </c>
      <c r="I523" s="54">
        <f>G523*H523</f>
        <v>0</v>
      </c>
      <c r="J523" s="54">
        <v>0</v>
      </c>
      <c r="K523" s="54">
        <v>0</v>
      </c>
      <c r="L523" s="54">
        <f>G523*J523</f>
        <v>0</v>
      </c>
      <c r="M523" s="55" t="s">
        <v>111</v>
      </c>
      <c r="Z523" s="54">
        <f>IF(AQ523="5",BJ523,0)</f>
        <v>0</v>
      </c>
      <c r="AB523" s="54">
        <f>IF(AQ523="1",BH523,0)</f>
        <v>0</v>
      </c>
      <c r="AC523" s="54">
        <f>IF(AQ523="1",BI523,0)</f>
        <v>0</v>
      </c>
      <c r="AD523" s="54">
        <f>IF(AQ523="7",BH523,0)</f>
        <v>0</v>
      </c>
      <c r="AE523" s="54">
        <f>IF(AQ523="7",BI523,0)</f>
        <v>0</v>
      </c>
      <c r="AF523" s="54">
        <f>IF(AQ523="2",BH523,0)</f>
        <v>0</v>
      </c>
      <c r="AG523" s="54">
        <f>IF(AQ523="2",BI523,0)</f>
        <v>0</v>
      </c>
      <c r="AH523" s="54">
        <f>IF(AQ523="0",BJ523,0)</f>
        <v>0</v>
      </c>
      <c r="AI523" s="34" t="s">
        <v>103</v>
      </c>
      <c r="AJ523" s="54">
        <f>IF(AN523=0,I523,0)</f>
        <v>0</v>
      </c>
      <c r="AK523" s="54">
        <f>IF(AN523=12,I523,0)</f>
        <v>0</v>
      </c>
      <c r="AL523" s="54">
        <f>IF(AN523=21,I523,0)</f>
        <v>0</v>
      </c>
      <c r="AN523" s="54">
        <v>21</v>
      </c>
      <c r="AO523" s="54">
        <f>H523*0</f>
        <v>0</v>
      </c>
      <c r="AP523" s="54">
        <f>H523*(1-0)</f>
        <v>0</v>
      </c>
      <c r="AQ523" s="56" t="s">
        <v>150</v>
      </c>
      <c r="AV523" s="54">
        <f>AW523+AX523</f>
        <v>0</v>
      </c>
      <c r="AW523" s="54">
        <f>G523*AO523</f>
        <v>0</v>
      </c>
      <c r="AX523" s="54">
        <f>G523*AP523</f>
        <v>0</v>
      </c>
      <c r="AY523" s="56" t="s">
        <v>1076</v>
      </c>
      <c r="AZ523" s="56" t="s">
        <v>991</v>
      </c>
      <c r="BA523" s="34" t="s">
        <v>114</v>
      </c>
      <c r="BC523" s="54">
        <f>AW523+AX523</f>
        <v>0</v>
      </c>
      <c r="BD523" s="54">
        <f>H523/(100-BE523)*100</f>
        <v>0</v>
      </c>
      <c r="BE523" s="54">
        <v>0</v>
      </c>
      <c r="BF523" s="54">
        <f>L523</f>
        <v>0</v>
      </c>
      <c r="BH523" s="54">
        <f>G523*AO523</f>
        <v>0</v>
      </c>
      <c r="BI523" s="54">
        <f>G523*AP523</f>
        <v>0</v>
      </c>
      <c r="BJ523" s="54">
        <f>G523*H523</f>
        <v>0</v>
      </c>
      <c r="BK523" s="54"/>
      <c r="BL523" s="54">
        <v>776</v>
      </c>
      <c r="BW523" s="54">
        <v>21</v>
      </c>
      <c r="BX523" s="3" t="s">
        <v>1161</v>
      </c>
    </row>
    <row r="524" spans="1:76" ht="14.5" x14ac:dyDescent="0.35">
      <c r="A524" s="50" t="s">
        <v>10</v>
      </c>
      <c r="B524" s="51" t="s">
        <v>103</v>
      </c>
      <c r="C524" s="51" t="s">
        <v>1162</v>
      </c>
      <c r="D524" s="206" t="s">
        <v>1163</v>
      </c>
      <c r="E524" s="207"/>
      <c r="F524" s="52" t="s">
        <v>84</v>
      </c>
      <c r="G524" s="52" t="s">
        <v>84</v>
      </c>
      <c r="H524" s="83" t="s">
        <v>84</v>
      </c>
      <c r="I524" s="27">
        <f>SUM(I525:I555)</f>
        <v>0</v>
      </c>
      <c r="J524" s="34" t="s">
        <v>10</v>
      </c>
      <c r="K524" s="34" t="s">
        <v>10</v>
      </c>
      <c r="L524" s="27">
        <f>SUM(L525:L555)</f>
        <v>10.639247280000001</v>
      </c>
      <c r="M524" s="53" t="s">
        <v>10</v>
      </c>
      <c r="AI524" s="34" t="s">
        <v>103</v>
      </c>
      <c r="AS524" s="27">
        <f>SUM(AJ525:AJ555)</f>
        <v>0</v>
      </c>
      <c r="AT524" s="27">
        <f>SUM(AK525:AK555)</f>
        <v>0</v>
      </c>
      <c r="AU524" s="27">
        <f>SUM(AL525:AL555)</f>
        <v>0</v>
      </c>
    </row>
    <row r="525" spans="1:76" ht="14.5" x14ac:dyDescent="0.35">
      <c r="A525" s="1" t="s">
        <v>1164</v>
      </c>
      <c r="B525" s="2" t="s">
        <v>103</v>
      </c>
      <c r="C525" s="2" t="s">
        <v>1165</v>
      </c>
      <c r="D525" s="155" t="s">
        <v>1166</v>
      </c>
      <c r="E525" s="153"/>
      <c r="F525" s="2" t="s">
        <v>110</v>
      </c>
      <c r="G525" s="54">
        <v>198.92400000000001</v>
      </c>
      <c r="H525" s="84">
        <v>0</v>
      </c>
      <c r="I525" s="54">
        <f>G525*H525</f>
        <v>0</v>
      </c>
      <c r="J525" s="54">
        <v>0</v>
      </c>
      <c r="K525" s="54">
        <v>0</v>
      </c>
      <c r="L525" s="54">
        <f>G525*J525</f>
        <v>0</v>
      </c>
      <c r="M525" s="55" t="s">
        <v>111</v>
      </c>
      <c r="Z525" s="54">
        <f>IF(AQ525="5",BJ525,0)</f>
        <v>0</v>
      </c>
      <c r="AB525" s="54">
        <f>IF(AQ525="1",BH525,0)</f>
        <v>0</v>
      </c>
      <c r="AC525" s="54">
        <f>IF(AQ525="1",BI525,0)</f>
        <v>0</v>
      </c>
      <c r="AD525" s="54">
        <f>IF(AQ525="7",BH525,0)</f>
        <v>0</v>
      </c>
      <c r="AE525" s="54">
        <f>IF(AQ525="7",BI525,0)</f>
        <v>0</v>
      </c>
      <c r="AF525" s="54">
        <f>IF(AQ525="2",BH525,0)</f>
        <v>0</v>
      </c>
      <c r="AG525" s="54">
        <f>IF(AQ525="2",BI525,0)</f>
        <v>0</v>
      </c>
      <c r="AH525" s="54">
        <f>IF(AQ525="0",BJ525,0)</f>
        <v>0</v>
      </c>
      <c r="AI525" s="34" t="s">
        <v>103</v>
      </c>
      <c r="AJ525" s="54">
        <f>IF(AN525=0,I525,0)</f>
        <v>0</v>
      </c>
      <c r="AK525" s="54">
        <f>IF(AN525=12,I525,0)</f>
        <v>0</v>
      </c>
      <c r="AL525" s="54">
        <f>IF(AN525=21,I525,0)</f>
        <v>0</v>
      </c>
      <c r="AN525" s="54">
        <v>21</v>
      </c>
      <c r="AO525" s="54">
        <f>H525*0</f>
        <v>0</v>
      </c>
      <c r="AP525" s="54">
        <f>H525*(1-0)</f>
        <v>0</v>
      </c>
      <c r="AQ525" s="56" t="s">
        <v>168</v>
      </c>
      <c r="AV525" s="54">
        <f>AW525+AX525</f>
        <v>0</v>
      </c>
      <c r="AW525" s="54">
        <f>G525*AO525</f>
        <v>0</v>
      </c>
      <c r="AX525" s="54">
        <f>G525*AP525</f>
        <v>0</v>
      </c>
      <c r="AY525" s="56" t="s">
        <v>1167</v>
      </c>
      <c r="AZ525" s="56" t="s">
        <v>1168</v>
      </c>
      <c r="BA525" s="34" t="s">
        <v>114</v>
      </c>
      <c r="BC525" s="54">
        <f>AW525+AX525</f>
        <v>0</v>
      </c>
      <c r="BD525" s="54">
        <f>H525/(100-BE525)*100</f>
        <v>0</v>
      </c>
      <c r="BE525" s="54">
        <v>0</v>
      </c>
      <c r="BF525" s="54">
        <f>L525</f>
        <v>0</v>
      </c>
      <c r="BH525" s="54">
        <f>G525*AO525</f>
        <v>0</v>
      </c>
      <c r="BI525" s="54">
        <f>G525*AP525</f>
        <v>0</v>
      </c>
      <c r="BJ525" s="54">
        <f>G525*H525</f>
        <v>0</v>
      </c>
      <c r="BK525" s="54"/>
      <c r="BL525" s="54">
        <v>781</v>
      </c>
      <c r="BW525" s="54">
        <v>21</v>
      </c>
      <c r="BX525" s="3" t="s">
        <v>1166</v>
      </c>
    </row>
    <row r="526" spans="1:76" ht="14.5" x14ac:dyDescent="0.35">
      <c r="A526" s="57"/>
      <c r="D526" s="58" t="s">
        <v>208</v>
      </c>
      <c r="E526" s="59" t="s">
        <v>304</v>
      </c>
      <c r="G526" s="60">
        <v>0</v>
      </c>
      <c r="M526" s="61"/>
    </row>
    <row r="527" spans="1:76" ht="14.5" x14ac:dyDescent="0.35">
      <c r="A527" s="57"/>
      <c r="D527" s="58" t="s">
        <v>1169</v>
      </c>
      <c r="E527" s="59" t="s">
        <v>1170</v>
      </c>
      <c r="G527" s="60">
        <v>176.59200000000001</v>
      </c>
      <c r="M527" s="61"/>
    </row>
    <row r="528" spans="1:76" ht="14.5" x14ac:dyDescent="0.35">
      <c r="A528" s="57"/>
      <c r="D528" s="58" t="s">
        <v>381</v>
      </c>
      <c r="E528" s="59" t="s">
        <v>1171</v>
      </c>
      <c r="G528" s="60">
        <v>4.8</v>
      </c>
      <c r="M528" s="61"/>
    </row>
    <row r="529" spans="1:76" ht="14.5" x14ac:dyDescent="0.35">
      <c r="A529" s="57"/>
      <c r="D529" s="58" t="s">
        <v>383</v>
      </c>
      <c r="E529" s="59" t="s">
        <v>384</v>
      </c>
      <c r="G529" s="60">
        <v>16.271999999999998</v>
      </c>
      <c r="M529" s="61"/>
    </row>
    <row r="530" spans="1:76" ht="14.5" x14ac:dyDescent="0.35">
      <c r="A530" s="57"/>
      <c r="D530" s="58" t="s">
        <v>385</v>
      </c>
      <c r="E530" s="59" t="s">
        <v>386</v>
      </c>
      <c r="G530" s="60">
        <v>1.26</v>
      </c>
      <c r="M530" s="61"/>
    </row>
    <row r="531" spans="1:76" ht="14.5" x14ac:dyDescent="0.35">
      <c r="A531" s="64" t="s">
        <v>1173</v>
      </c>
      <c r="B531" s="65" t="s">
        <v>103</v>
      </c>
      <c r="C531" s="65" t="s">
        <v>1174</v>
      </c>
      <c r="D531" s="217" t="s">
        <v>1175</v>
      </c>
      <c r="E531" s="218"/>
      <c r="F531" s="65" t="s">
        <v>412</v>
      </c>
      <c r="G531" s="67">
        <v>2.4870000000000001</v>
      </c>
      <c r="H531" s="85">
        <v>0</v>
      </c>
      <c r="I531" s="67">
        <f>G531*H531</f>
        <v>0</v>
      </c>
      <c r="J531" s="67">
        <v>1</v>
      </c>
      <c r="K531" s="67">
        <v>0</v>
      </c>
      <c r="L531" s="67">
        <f>G531*J531</f>
        <v>2.4870000000000001</v>
      </c>
      <c r="M531" s="68" t="s">
        <v>111</v>
      </c>
      <c r="Z531" s="54">
        <f>IF(AQ531="5",BJ531,0)</f>
        <v>0</v>
      </c>
      <c r="AB531" s="54">
        <f>IF(AQ531="1",BH531,0)</f>
        <v>0</v>
      </c>
      <c r="AC531" s="54">
        <f>IF(AQ531="1",BI531,0)</f>
        <v>0</v>
      </c>
      <c r="AD531" s="54">
        <f>IF(AQ531="7",BH531,0)</f>
        <v>0</v>
      </c>
      <c r="AE531" s="54">
        <f>IF(AQ531="7",BI531,0)</f>
        <v>0</v>
      </c>
      <c r="AF531" s="54">
        <f>IF(AQ531="2",BH531,0)</f>
        <v>0</v>
      </c>
      <c r="AG531" s="54">
        <f>IF(AQ531="2",BI531,0)</f>
        <v>0</v>
      </c>
      <c r="AH531" s="54">
        <f>IF(AQ531="0",BJ531,0)</f>
        <v>0</v>
      </c>
      <c r="AI531" s="34" t="s">
        <v>103</v>
      </c>
      <c r="AJ531" s="67">
        <f>IF(AN531=0,I531,0)</f>
        <v>0</v>
      </c>
      <c r="AK531" s="67">
        <f>IF(AN531=12,I531,0)</f>
        <v>0</v>
      </c>
      <c r="AL531" s="67">
        <f>IF(AN531=21,I531,0)</f>
        <v>0</v>
      </c>
      <c r="AN531" s="54">
        <v>21</v>
      </c>
      <c r="AO531" s="54">
        <f>H531*1</f>
        <v>0</v>
      </c>
      <c r="AP531" s="54">
        <f>H531*(1-1)</f>
        <v>0</v>
      </c>
      <c r="AQ531" s="69" t="s">
        <v>168</v>
      </c>
      <c r="AV531" s="54">
        <f>AW531+AX531</f>
        <v>0</v>
      </c>
      <c r="AW531" s="54">
        <f>G531*AO531</f>
        <v>0</v>
      </c>
      <c r="AX531" s="54">
        <f>G531*AP531</f>
        <v>0</v>
      </c>
      <c r="AY531" s="56" t="s">
        <v>1167</v>
      </c>
      <c r="AZ531" s="56" t="s">
        <v>1168</v>
      </c>
      <c r="BA531" s="34" t="s">
        <v>114</v>
      </c>
      <c r="BC531" s="54">
        <f>AW531+AX531</f>
        <v>0</v>
      </c>
      <c r="BD531" s="54">
        <f>H531/(100-BE531)*100</f>
        <v>0</v>
      </c>
      <c r="BE531" s="54">
        <v>0</v>
      </c>
      <c r="BF531" s="54">
        <f>L531</f>
        <v>2.4870000000000001</v>
      </c>
      <c r="BH531" s="67">
        <f>G531*AO531</f>
        <v>0</v>
      </c>
      <c r="BI531" s="67">
        <f>G531*AP531</f>
        <v>0</v>
      </c>
      <c r="BJ531" s="67">
        <f>G531*H531</f>
        <v>0</v>
      </c>
      <c r="BK531" s="67"/>
      <c r="BL531" s="54">
        <v>781</v>
      </c>
      <c r="BW531" s="54">
        <v>21</v>
      </c>
      <c r="BX531" s="66" t="s">
        <v>1175</v>
      </c>
    </row>
    <row r="532" spans="1:76" ht="14.5" x14ac:dyDescent="0.35">
      <c r="A532" s="57"/>
      <c r="D532" s="58" t="s">
        <v>1176</v>
      </c>
      <c r="E532" s="59" t="s">
        <v>10</v>
      </c>
      <c r="G532" s="60">
        <v>2.4870000000000001</v>
      </c>
      <c r="M532" s="61"/>
    </row>
    <row r="533" spans="1:76" ht="14.5" x14ac:dyDescent="0.35">
      <c r="A533" s="1" t="s">
        <v>1178</v>
      </c>
      <c r="B533" s="2" t="s">
        <v>103</v>
      </c>
      <c r="C533" s="2" t="s">
        <v>1179</v>
      </c>
      <c r="D533" s="155" t="s">
        <v>1180</v>
      </c>
      <c r="E533" s="153"/>
      <c r="F533" s="2" t="s">
        <v>110</v>
      </c>
      <c r="G533" s="54">
        <v>419.67399999999998</v>
      </c>
      <c r="H533" s="84">
        <v>0</v>
      </c>
      <c r="I533" s="54">
        <f>G533*H533</f>
        <v>0</v>
      </c>
      <c r="J533" s="54">
        <v>1.6670000000000001E-2</v>
      </c>
      <c r="K533" s="54">
        <v>0</v>
      </c>
      <c r="L533" s="54">
        <f>G533*J533</f>
        <v>6.99596558</v>
      </c>
      <c r="M533" s="55" t="s">
        <v>111</v>
      </c>
      <c r="Z533" s="54">
        <f>IF(AQ533="5",BJ533,0)</f>
        <v>0</v>
      </c>
      <c r="AB533" s="54">
        <f>IF(AQ533="1",BH533,0)</f>
        <v>0</v>
      </c>
      <c r="AC533" s="54">
        <f>IF(AQ533="1",BI533,0)</f>
        <v>0</v>
      </c>
      <c r="AD533" s="54">
        <f>IF(AQ533="7",BH533,0)</f>
        <v>0</v>
      </c>
      <c r="AE533" s="54">
        <f>IF(AQ533="7",BI533,0)</f>
        <v>0</v>
      </c>
      <c r="AF533" s="54">
        <f>IF(AQ533="2",BH533,0)</f>
        <v>0</v>
      </c>
      <c r="AG533" s="54">
        <f>IF(AQ533="2",BI533,0)</f>
        <v>0</v>
      </c>
      <c r="AH533" s="54">
        <f>IF(AQ533="0",BJ533,0)</f>
        <v>0</v>
      </c>
      <c r="AI533" s="34" t="s">
        <v>103</v>
      </c>
      <c r="AJ533" s="54">
        <f>IF(AN533=0,I533,0)</f>
        <v>0</v>
      </c>
      <c r="AK533" s="54">
        <f>IF(AN533=12,I533,0)</f>
        <v>0</v>
      </c>
      <c r="AL533" s="54">
        <f>IF(AN533=21,I533,0)</f>
        <v>0</v>
      </c>
      <c r="AN533" s="54">
        <v>21</v>
      </c>
      <c r="AO533" s="54">
        <f>H533*0.469325133</f>
        <v>0</v>
      </c>
      <c r="AP533" s="54">
        <f>H533*(1-0.469325133)</f>
        <v>0</v>
      </c>
      <c r="AQ533" s="56" t="s">
        <v>168</v>
      </c>
      <c r="AV533" s="54">
        <f>AW533+AX533</f>
        <v>0</v>
      </c>
      <c r="AW533" s="54">
        <f>G533*AO533</f>
        <v>0</v>
      </c>
      <c r="AX533" s="54">
        <f>G533*AP533</f>
        <v>0</v>
      </c>
      <c r="AY533" s="56" t="s">
        <v>1167</v>
      </c>
      <c r="AZ533" s="56" t="s">
        <v>1168</v>
      </c>
      <c r="BA533" s="34" t="s">
        <v>114</v>
      </c>
      <c r="BC533" s="54">
        <f>AW533+AX533</f>
        <v>0</v>
      </c>
      <c r="BD533" s="54">
        <f>H533/(100-BE533)*100</f>
        <v>0</v>
      </c>
      <c r="BE533" s="54">
        <v>0</v>
      </c>
      <c r="BF533" s="54">
        <f>L533</f>
        <v>6.99596558</v>
      </c>
      <c r="BH533" s="54">
        <f>G533*AO533</f>
        <v>0</v>
      </c>
      <c r="BI533" s="54">
        <f>G533*AP533</f>
        <v>0</v>
      </c>
      <c r="BJ533" s="54">
        <f>G533*H533</f>
        <v>0</v>
      </c>
      <c r="BK533" s="54"/>
      <c r="BL533" s="54">
        <v>781</v>
      </c>
      <c r="BW533" s="54">
        <v>21</v>
      </c>
      <c r="BX533" s="3" t="s">
        <v>1180</v>
      </c>
    </row>
    <row r="534" spans="1:76" ht="14.5" x14ac:dyDescent="0.35">
      <c r="A534" s="57"/>
      <c r="D534" s="58" t="s">
        <v>208</v>
      </c>
      <c r="E534" s="59" t="s">
        <v>378</v>
      </c>
      <c r="G534" s="60">
        <v>0</v>
      </c>
      <c r="M534" s="61"/>
    </row>
    <row r="535" spans="1:76" ht="14.5" x14ac:dyDescent="0.35">
      <c r="A535" s="57"/>
      <c r="D535" s="58" t="s">
        <v>208</v>
      </c>
      <c r="E535" s="59" t="s">
        <v>1182</v>
      </c>
      <c r="G535" s="60">
        <v>0</v>
      </c>
      <c r="M535" s="61"/>
    </row>
    <row r="536" spans="1:76" ht="14.5" x14ac:dyDescent="0.35">
      <c r="A536" s="57"/>
      <c r="D536" s="58" t="s">
        <v>1183</v>
      </c>
      <c r="E536" s="59" t="s">
        <v>1184</v>
      </c>
      <c r="G536" s="60">
        <v>57.287999999999997</v>
      </c>
      <c r="M536" s="61"/>
    </row>
    <row r="537" spans="1:76" ht="14.5" x14ac:dyDescent="0.35">
      <c r="A537" s="57"/>
      <c r="D537" s="58" t="s">
        <v>1185</v>
      </c>
      <c r="E537" s="59" t="s">
        <v>1186</v>
      </c>
      <c r="G537" s="60">
        <v>129.38200000000001</v>
      </c>
      <c r="M537" s="61"/>
    </row>
    <row r="538" spans="1:76" ht="14.5" x14ac:dyDescent="0.35">
      <c r="A538" s="57"/>
      <c r="D538" s="58" t="s">
        <v>1187</v>
      </c>
      <c r="E538" s="59" t="s">
        <v>1188</v>
      </c>
      <c r="G538" s="60">
        <v>93.707999999999998</v>
      </c>
      <c r="M538" s="61"/>
    </row>
    <row r="539" spans="1:76" ht="14.5" x14ac:dyDescent="0.35">
      <c r="A539" s="57"/>
      <c r="D539" s="58" t="s">
        <v>1189</v>
      </c>
      <c r="E539" s="59" t="s">
        <v>1190</v>
      </c>
      <c r="G539" s="60">
        <v>127.626</v>
      </c>
      <c r="M539" s="61"/>
    </row>
    <row r="540" spans="1:76" ht="14.5" x14ac:dyDescent="0.35">
      <c r="A540" s="57"/>
      <c r="D540" s="58" t="s">
        <v>381</v>
      </c>
      <c r="E540" s="59" t="s">
        <v>1191</v>
      </c>
      <c r="G540" s="60">
        <v>4.8</v>
      </c>
      <c r="M540" s="61"/>
    </row>
    <row r="541" spans="1:76" ht="14.5" x14ac:dyDescent="0.35">
      <c r="A541" s="57"/>
      <c r="D541" s="58" t="s">
        <v>1192</v>
      </c>
      <c r="E541" s="59" t="s">
        <v>1193</v>
      </c>
      <c r="G541" s="60">
        <v>6.87</v>
      </c>
      <c r="M541" s="61"/>
    </row>
    <row r="542" spans="1:76" ht="14.5" x14ac:dyDescent="0.35">
      <c r="A542" s="64" t="s">
        <v>1195</v>
      </c>
      <c r="B542" s="65" t="s">
        <v>103</v>
      </c>
      <c r="C542" s="65" t="s">
        <v>1196</v>
      </c>
      <c r="D542" s="217" t="s">
        <v>1197</v>
      </c>
      <c r="E542" s="218"/>
      <c r="F542" s="65" t="s">
        <v>110</v>
      </c>
      <c r="G542" s="67">
        <v>62.951000000000001</v>
      </c>
      <c r="H542" s="85">
        <v>0</v>
      </c>
      <c r="I542" s="67">
        <f>G542*H542</f>
        <v>0</v>
      </c>
      <c r="J542" s="67">
        <v>1.67E-2</v>
      </c>
      <c r="K542" s="67">
        <v>0</v>
      </c>
      <c r="L542" s="67">
        <f>G542*J542</f>
        <v>1.0512816999999999</v>
      </c>
      <c r="M542" s="68" t="s">
        <v>10</v>
      </c>
      <c r="Z542" s="54">
        <f>IF(AQ542="5",BJ542,0)</f>
        <v>0</v>
      </c>
      <c r="AB542" s="54">
        <f>IF(AQ542="1",BH542,0)</f>
        <v>0</v>
      </c>
      <c r="AC542" s="54">
        <f>IF(AQ542="1",BI542,0)</f>
        <v>0</v>
      </c>
      <c r="AD542" s="54">
        <f>IF(AQ542="7",BH542,0)</f>
        <v>0</v>
      </c>
      <c r="AE542" s="54">
        <f>IF(AQ542="7",BI542,0)</f>
        <v>0</v>
      </c>
      <c r="AF542" s="54">
        <f>IF(AQ542="2",BH542,0)</f>
        <v>0</v>
      </c>
      <c r="AG542" s="54">
        <f>IF(AQ542="2",BI542,0)</f>
        <v>0</v>
      </c>
      <c r="AH542" s="54">
        <f>IF(AQ542="0",BJ542,0)</f>
        <v>0</v>
      </c>
      <c r="AI542" s="34" t="s">
        <v>103</v>
      </c>
      <c r="AJ542" s="67">
        <f>IF(AN542=0,I542,0)</f>
        <v>0</v>
      </c>
      <c r="AK542" s="67">
        <f>IF(AN542=12,I542,0)</f>
        <v>0</v>
      </c>
      <c r="AL542" s="67">
        <f>IF(AN542=21,I542,0)</f>
        <v>0</v>
      </c>
      <c r="AN542" s="54">
        <v>21</v>
      </c>
      <c r="AO542" s="54">
        <f>H542*1</f>
        <v>0</v>
      </c>
      <c r="AP542" s="54">
        <f>H542*(1-1)</f>
        <v>0</v>
      </c>
      <c r="AQ542" s="69" t="s">
        <v>168</v>
      </c>
      <c r="AV542" s="54">
        <f>AW542+AX542</f>
        <v>0</v>
      </c>
      <c r="AW542" s="54">
        <f>G542*AO542</f>
        <v>0</v>
      </c>
      <c r="AX542" s="54">
        <f>G542*AP542</f>
        <v>0</v>
      </c>
      <c r="AY542" s="56" t="s">
        <v>1167</v>
      </c>
      <c r="AZ542" s="56" t="s">
        <v>1168</v>
      </c>
      <c r="BA542" s="34" t="s">
        <v>114</v>
      </c>
      <c r="BC542" s="54">
        <f>AW542+AX542</f>
        <v>0</v>
      </c>
      <c r="BD542" s="54">
        <f>H542/(100-BE542)*100</f>
        <v>0</v>
      </c>
      <c r="BE542" s="54">
        <v>0</v>
      </c>
      <c r="BF542" s="54">
        <f>L542</f>
        <v>1.0512816999999999</v>
      </c>
      <c r="BH542" s="67">
        <f>G542*AO542</f>
        <v>0</v>
      </c>
      <c r="BI542" s="67">
        <f>G542*AP542</f>
        <v>0</v>
      </c>
      <c r="BJ542" s="67">
        <f>G542*H542</f>
        <v>0</v>
      </c>
      <c r="BK542" s="67"/>
      <c r="BL542" s="54">
        <v>781</v>
      </c>
      <c r="BW542" s="54">
        <v>21</v>
      </c>
      <c r="BX542" s="66" t="s">
        <v>1197</v>
      </c>
    </row>
    <row r="543" spans="1:76" ht="14.5" x14ac:dyDescent="0.35">
      <c r="A543" s="57"/>
      <c r="D543" s="58" t="s">
        <v>1198</v>
      </c>
      <c r="E543" s="59" t="s">
        <v>1199</v>
      </c>
      <c r="G543" s="60">
        <v>62.951000000000001</v>
      </c>
      <c r="M543" s="61"/>
    </row>
    <row r="544" spans="1:76" ht="14.5" x14ac:dyDescent="0.35">
      <c r="A544" s="1" t="s">
        <v>1200</v>
      </c>
      <c r="B544" s="2" t="s">
        <v>103</v>
      </c>
      <c r="C544" s="2" t="s">
        <v>1201</v>
      </c>
      <c r="D544" s="155" t="s">
        <v>1202</v>
      </c>
      <c r="E544" s="153"/>
      <c r="F544" s="2" t="s">
        <v>153</v>
      </c>
      <c r="G544" s="54">
        <v>198.24</v>
      </c>
      <c r="H544" s="84">
        <v>0</v>
      </c>
      <c r="I544" s="54">
        <f>G544*H544</f>
        <v>0</v>
      </c>
      <c r="J544" s="54">
        <v>0</v>
      </c>
      <c r="K544" s="54">
        <v>0</v>
      </c>
      <c r="L544" s="54">
        <f>G544*J544</f>
        <v>0</v>
      </c>
      <c r="M544" s="55" t="s">
        <v>111</v>
      </c>
      <c r="Z544" s="54">
        <f>IF(AQ544="5",BJ544,0)</f>
        <v>0</v>
      </c>
      <c r="AB544" s="54">
        <f>IF(AQ544="1",BH544,0)</f>
        <v>0</v>
      </c>
      <c r="AC544" s="54">
        <f>IF(AQ544="1",BI544,0)</f>
        <v>0</v>
      </c>
      <c r="AD544" s="54">
        <f>IF(AQ544="7",BH544,0)</f>
        <v>0</v>
      </c>
      <c r="AE544" s="54">
        <f>IF(AQ544="7",BI544,0)</f>
        <v>0</v>
      </c>
      <c r="AF544" s="54">
        <f>IF(AQ544="2",BH544,0)</f>
        <v>0</v>
      </c>
      <c r="AG544" s="54">
        <f>IF(AQ544="2",BI544,0)</f>
        <v>0</v>
      </c>
      <c r="AH544" s="54">
        <f>IF(AQ544="0",BJ544,0)</f>
        <v>0</v>
      </c>
      <c r="AI544" s="34" t="s">
        <v>103</v>
      </c>
      <c r="AJ544" s="54">
        <f>IF(AN544=0,I544,0)</f>
        <v>0</v>
      </c>
      <c r="AK544" s="54">
        <f>IF(AN544=12,I544,0)</f>
        <v>0</v>
      </c>
      <c r="AL544" s="54">
        <f>IF(AN544=21,I544,0)</f>
        <v>0</v>
      </c>
      <c r="AN544" s="54">
        <v>21</v>
      </c>
      <c r="AO544" s="54">
        <f>H544*0</f>
        <v>0</v>
      </c>
      <c r="AP544" s="54">
        <f>H544*(1-0)</f>
        <v>0</v>
      </c>
      <c r="AQ544" s="56" t="s">
        <v>168</v>
      </c>
      <c r="AV544" s="54">
        <f>AW544+AX544</f>
        <v>0</v>
      </c>
      <c r="AW544" s="54">
        <f>G544*AO544</f>
        <v>0</v>
      </c>
      <c r="AX544" s="54">
        <f>G544*AP544</f>
        <v>0</v>
      </c>
      <c r="AY544" s="56" t="s">
        <v>1167</v>
      </c>
      <c r="AZ544" s="56" t="s">
        <v>1168</v>
      </c>
      <c r="BA544" s="34" t="s">
        <v>114</v>
      </c>
      <c r="BC544" s="54">
        <f>AW544+AX544</f>
        <v>0</v>
      </c>
      <c r="BD544" s="54">
        <f>H544/(100-BE544)*100</f>
        <v>0</v>
      </c>
      <c r="BE544" s="54">
        <v>0</v>
      </c>
      <c r="BF544" s="54">
        <f>L544</f>
        <v>0</v>
      </c>
      <c r="BH544" s="54">
        <f>G544*AO544</f>
        <v>0</v>
      </c>
      <c r="BI544" s="54">
        <f>G544*AP544</f>
        <v>0</v>
      </c>
      <c r="BJ544" s="54">
        <f>G544*H544</f>
        <v>0</v>
      </c>
      <c r="BK544" s="54"/>
      <c r="BL544" s="54">
        <v>781</v>
      </c>
      <c r="BW544" s="54">
        <v>21</v>
      </c>
      <c r="BX544" s="3" t="s">
        <v>1202</v>
      </c>
    </row>
    <row r="545" spans="1:76" ht="14.5" x14ac:dyDescent="0.35">
      <c r="A545" s="57"/>
      <c r="D545" s="58" t="s">
        <v>208</v>
      </c>
      <c r="E545" s="59" t="s">
        <v>1204</v>
      </c>
      <c r="G545" s="60">
        <v>0</v>
      </c>
      <c r="M545" s="61"/>
    </row>
    <row r="546" spans="1:76" ht="14.5" x14ac:dyDescent="0.35">
      <c r="A546" s="57"/>
      <c r="D546" s="58" t="s">
        <v>1205</v>
      </c>
      <c r="E546" s="59" t="s">
        <v>1206</v>
      </c>
      <c r="G546" s="60">
        <v>54.24</v>
      </c>
      <c r="M546" s="61"/>
    </row>
    <row r="547" spans="1:76" ht="14.5" x14ac:dyDescent="0.35">
      <c r="A547" s="57"/>
      <c r="D547" s="58" t="s">
        <v>1207</v>
      </c>
      <c r="E547" s="59" t="s">
        <v>1208</v>
      </c>
      <c r="G547" s="60">
        <v>96</v>
      </c>
      <c r="M547" s="61"/>
    </row>
    <row r="548" spans="1:76" ht="14.5" x14ac:dyDescent="0.35">
      <c r="A548" s="57"/>
      <c r="D548" s="58" t="s">
        <v>1209</v>
      </c>
      <c r="E548" s="59" t="s">
        <v>1210</v>
      </c>
      <c r="G548" s="60">
        <v>48</v>
      </c>
      <c r="M548" s="61"/>
    </row>
    <row r="549" spans="1:76" ht="14.5" x14ac:dyDescent="0.35">
      <c r="A549" s="64" t="s">
        <v>1211</v>
      </c>
      <c r="B549" s="65" t="s">
        <v>103</v>
      </c>
      <c r="C549" s="65" t="s">
        <v>1212</v>
      </c>
      <c r="D549" s="217" t="s">
        <v>1213</v>
      </c>
      <c r="E549" s="218"/>
      <c r="F549" s="65" t="s">
        <v>1214</v>
      </c>
      <c r="G549" s="67">
        <v>210</v>
      </c>
      <c r="H549" s="85">
        <v>0</v>
      </c>
      <c r="I549" s="67">
        <f>G549*H549</f>
        <v>0</v>
      </c>
      <c r="J549" s="67">
        <v>5.0000000000000001E-4</v>
      </c>
      <c r="K549" s="67">
        <v>0</v>
      </c>
      <c r="L549" s="67">
        <f>G549*J549</f>
        <v>0.105</v>
      </c>
      <c r="M549" s="68" t="s">
        <v>616</v>
      </c>
      <c r="Z549" s="54">
        <f>IF(AQ549="5",BJ549,0)</f>
        <v>0</v>
      </c>
      <c r="AB549" s="54">
        <f>IF(AQ549="1",BH549,0)</f>
        <v>0</v>
      </c>
      <c r="AC549" s="54">
        <f>IF(AQ549="1",BI549,0)</f>
        <v>0</v>
      </c>
      <c r="AD549" s="54">
        <f>IF(AQ549="7",BH549,0)</f>
        <v>0</v>
      </c>
      <c r="AE549" s="54">
        <f>IF(AQ549="7",BI549,0)</f>
        <v>0</v>
      </c>
      <c r="AF549" s="54">
        <f>IF(AQ549="2",BH549,0)</f>
        <v>0</v>
      </c>
      <c r="AG549" s="54">
        <f>IF(AQ549="2",BI549,0)</f>
        <v>0</v>
      </c>
      <c r="AH549" s="54">
        <f>IF(AQ549="0",BJ549,0)</f>
        <v>0</v>
      </c>
      <c r="AI549" s="34" t="s">
        <v>103</v>
      </c>
      <c r="AJ549" s="67">
        <f>IF(AN549=0,I549,0)</f>
        <v>0</v>
      </c>
      <c r="AK549" s="67">
        <f>IF(AN549=12,I549,0)</f>
        <v>0</v>
      </c>
      <c r="AL549" s="67">
        <f>IF(AN549=21,I549,0)</f>
        <v>0</v>
      </c>
      <c r="AN549" s="54">
        <v>21</v>
      </c>
      <c r="AO549" s="54">
        <f>H549*1</f>
        <v>0</v>
      </c>
      <c r="AP549" s="54">
        <f>H549*(1-1)</f>
        <v>0</v>
      </c>
      <c r="AQ549" s="69" t="s">
        <v>168</v>
      </c>
      <c r="AV549" s="54">
        <f>AW549+AX549</f>
        <v>0</v>
      </c>
      <c r="AW549" s="54">
        <f>G549*AO549</f>
        <v>0</v>
      </c>
      <c r="AX549" s="54">
        <f>G549*AP549</f>
        <v>0</v>
      </c>
      <c r="AY549" s="56" t="s">
        <v>1167</v>
      </c>
      <c r="AZ549" s="56" t="s">
        <v>1168</v>
      </c>
      <c r="BA549" s="34" t="s">
        <v>114</v>
      </c>
      <c r="BC549" s="54">
        <f>AW549+AX549</f>
        <v>0</v>
      </c>
      <c r="BD549" s="54">
        <f>H549/(100-BE549)*100</f>
        <v>0</v>
      </c>
      <c r="BE549" s="54">
        <v>0</v>
      </c>
      <c r="BF549" s="54">
        <f>L549</f>
        <v>0.105</v>
      </c>
      <c r="BH549" s="67">
        <f>G549*AO549</f>
        <v>0</v>
      </c>
      <c r="BI549" s="67">
        <f>G549*AP549</f>
        <v>0</v>
      </c>
      <c r="BJ549" s="67">
        <f>G549*H549</f>
        <v>0</v>
      </c>
      <c r="BK549" s="67"/>
      <c r="BL549" s="54">
        <v>781</v>
      </c>
      <c r="BW549" s="54">
        <v>21</v>
      </c>
      <c r="BX549" s="66" t="s">
        <v>1213</v>
      </c>
    </row>
    <row r="550" spans="1:76" ht="14.5" x14ac:dyDescent="0.35">
      <c r="A550" s="57"/>
      <c r="D550" s="58" t="s">
        <v>10</v>
      </c>
      <c r="E550" s="59" t="s">
        <v>1204</v>
      </c>
      <c r="G550" s="60">
        <v>0</v>
      </c>
      <c r="M550" s="61"/>
    </row>
    <row r="551" spans="1:76" ht="14.5" x14ac:dyDescent="0.35">
      <c r="A551" s="57"/>
      <c r="D551" s="58" t="s">
        <v>1205</v>
      </c>
      <c r="E551" s="59" t="s">
        <v>1206</v>
      </c>
      <c r="G551" s="60">
        <v>54.24</v>
      </c>
      <c r="M551" s="61"/>
    </row>
    <row r="552" spans="1:76" ht="14.5" x14ac:dyDescent="0.35">
      <c r="A552" s="57"/>
      <c r="D552" s="58" t="s">
        <v>1207</v>
      </c>
      <c r="E552" s="59" t="s">
        <v>1208</v>
      </c>
      <c r="G552" s="60">
        <v>96</v>
      </c>
      <c r="M552" s="61"/>
    </row>
    <row r="553" spans="1:76" ht="14.5" x14ac:dyDescent="0.35">
      <c r="A553" s="57"/>
      <c r="D553" s="58" t="s">
        <v>1209</v>
      </c>
      <c r="E553" s="59" t="s">
        <v>1210</v>
      </c>
      <c r="G553" s="60">
        <v>48</v>
      </c>
      <c r="M553" s="61"/>
    </row>
    <row r="554" spans="1:76" ht="14.5" x14ac:dyDescent="0.35">
      <c r="A554" s="57"/>
      <c r="D554" s="58" t="s">
        <v>1215</v>
      </c>
      <c r="E554" s="59" t="s">
        <v>1216</v>
      </c>
      <c r="G554" s="60">
        <v>11.76</v>
      </c>
      <c r="M554" s="61"/>
    </row>
    <row r="555" spans="1:76" ht="14.5" x14ac:dyDescent="0.35">
      <c r="A555" s="1" t="s">
        <v>1217</v>
      </c>
      <c r="B555" s="2" t="s">
        <v>103</v>
      </c>
      <c r="C555" s="2" t="s">
        <v>1218</v>
      </c>
      <c r="D555" s="155" t="s">
        <v>1219</v>
      </c>
      <c r="E555" s="153"/>
      <c r="F555" s="2" t="s">
        <v>412</v>
      </c>
      <c r="G555" s="54">
        <v>10.638999999999999</v>
      </c>
      <c r="H555" s="84">
        <v>0</v>
      </c>
      <c r="I555" s="54">
        <f>G555*H555</f>
        <v>0</v>
      </c>
      <c r="J555" s="54">
        <v>0</v>
      </c>
      <c r="K555" s="54">
        <v>0</v>
      </c>
      <c r="L555" s="54">
        <f>G555*J555</f>
        <v>0</v>
      </c>
      <c r="M555" s="55" t="s">
        <v>111</v>
      </c>
      <c r="Z555" s="54">
        <f>IF(AQ555="5",BJ555,0)</f>
        <v>0</v>
      </c>
      <c r="AB555" s="54">
        <f>IF(AQ555="1",BH555,0)</f>
        <v>0</v>
      </c>
      <c r="AC555" s="54">
        <f>IF(AQ555="1",BI555,0)</f>
        <v>0</v>
      </c>
      <c r="AD555" s="54">
        <f>IF(AQ555="7",BH555,0)</f>
        <v>0</v>
      </c>
      <c r="AE555" s="54">
        <f>IF(AQ555="7",BI555,0)</f>
        <v>0</v>
      </c>
      <c r="AF555" s="54">
        <f>IF(AQ555="2",BH555,0)</f>
        <v>0</v>
      </c>
      <c r="AG555" s="54">
        <f>IF(AQ555="2",BI555,0)</f>
        <v>0</v>
      </c>
      <c r="AH555" s="54">
        <f>IF(AQ555="0",BJ555,0)</f>
        <v>0</v>
      </c>
      <c r="AI555" s="34" t="s">
        <v>103</v>
      </c>
      <c r="AJ555" s="54">
        <f>IF(AN555=0,I555,0)</f>
        <v>0</v>
      </c>
      <c r="AK555" s="54">
        <f>IF(AN555=12,I555,0)</f>
        <v>0</v>
      </c>
      <c r="AL555" s="54">
        <f>IF(AN555=21,I555,0)</f>
        <v>0</v>
      </c>
      <c r="AN555" s="54">
        <v>21</v>
      </c>
      <c r="AO555" s="54">
        <f>H555*0</f>
        <v>0</v>
      </c>
      <c r="AP555" s="54">
        <f>H555*(1-0)</f>
        <v>0</v>
      </c>
      <c r="AQ555" s="56" t="s">
        <v>150</v>
      </c>
      <c r="AV555" s="54">
        <f>AW555+AX555</f>
        <v>0</v>
      </c>
      <c r="AW555" s="54">
        <f>G555*AO555</f>
        <v>0</v>
      </c>
      <c r="AX555" s="54">
        <f>G555*AP555</f>
        <v>0</v>
      </c>
      <c r="AY555" s="56" t="s">
        <v>1167</v>
      </c>
      <c r="AZ555" s="56" t="s">
        <v>1168</v>
      </c>
      <c r="BA555" s="34" t="s">
        <v>114</v>
      </c>
      <c r="BC555" s="54">
        <f>AW555+AX555</f>
        <v>0</v>
      </c>
      <c r="BD555" s="54">
        <f>H555/(100-BE555)*100</f>
        <v>0</v>
      </c>
      <c r="BE555" s="54">
        <v>0</v>
      </c>
      <c r="BF555" s="54">
        <f>L555</f>
        <v>0</v>
      </c>
      <c r="BH555" s="54">
        <f>G555*AO555</f>
        <v>0</v>
      </c>
      <c r="BI555" s="54">
        <f>G555*AP555</f>
        <v>0</v>
      </c>
      <c r="BJ555" s="54">
        <f>G555*H555</f>
        <v>0</v>
      </c>
      <c r="BK555" s="54"/>
      <c r="BL555" s="54">
        <v>781</v>
      </c>
      <c r="BW555" s="54">
        <v>21</v>
      </c>
      <c r="BX555" s="3" t="s">
        <v>1219</v>
      </c>
    </row>
    <row r="556" spans="1:76" ht="14.5" x14ac:dyDescent="0.35">
      <c r="A556" s="50" t="s">
        <v>10</v>
      </c>
      <c r="B556" s="51" t="s">
        <v>103</v>
      </c>
      <c r="C556" s="51" t="s">
        <v>1220</v>
      </c>
      <c r="D556" s="206" t="s">
        <v>1221</v>
      </c>
      <c r="E556" s="207"/>
      <c r="F556" s="52" t="s">
        <v>84</v>
      </c>
      <c r="G556" s="52" t="s">
        <v>84</v>
      </c>
      <c r="H556" s="83" t="s">
        <v>84</v>
      </c>
      <c r="I556" s="27">
        <f>SUM(I557:I567)</f>
        <v>0</v>
      </c>
      <c r="J556" s="34" t="s">
        <v>10</v>
      </c>
      <c r="K556" s="34" t="s">
        <v>10</v>
      </c>
      <c r="L556" s="27">
        <f>SUM(L557:L567)</f>
        <v>5.1337159999999993E-2</v>
      </c>
      <c r="M556" s="53" t="s">
        <v>10</v>
      </c>
      <c r="AI556" s="34" t="s">
        <v>103</v>
      </c>
      <c r="AS556" s="27">
        <f>SUM(AJ557:AJ567)</f>
        <v>0</v>
      </c>
      <c r="AT556" s="27">
        <f>SUM(AK557:AK567)</f>
        <v>0</v>
      </c>
      <c r="AU556" s="27">
        <f>SUM(AL557:AL567)</f>
        <v>0</v>
      </c>
    </row>
    <row r="557" spans="1:76" ht="14.5" x14ac:dyDescent="0.35">
      <c r="A557" s="1" t="s">
        <v>1222</v>
      </c>
      <c r="B557" s="2" t="s">
        <v>103</v>
      </c>
      <c r="C557" s="2" t="s">
        <v>1223</v>
      </c>
      <c r="D557" s="155" t="s">
        <v>1224</v>
      </c>
      <c r="E557" s="153"/>
      <c r="F557" s="2" t="s">
        <v>110</v>
      </c>
      <c r="G557" s="54">
        <v>44.834000000000003</v>
      </c>
      <c r="H557" s="84">
        <v>0</v>
      </c>
      <c r="I557" s="54">
        <f>G557*H557</f>
        <v>0</v>
      </c>
      <c r="J557" s="54">
        <v>2.4000000000000001E-4</v>
      </c>
      <c r="K557" s="54">
        <v>0</v>
      </c>
      <c r="L557" s="54">
        <f>G557*J557</f>
        <v>1.0760160000000001E-2</v>
      </c>
      <c r="M557" s="55" t="s">
        <v>111</v>
      </c>
      <c r="Z557" s="54">
        <f>IF(AQ557="5",BJ557,0)</f>
        <v>0</v>
      </c>
      <c r="AB557" s="54">
        <f>IF(AQ557="1",BH557,0)</f>
        <v>0</v>
      </c>
      <c r="AC557" s="54">
        <f>IF(AQ557="1",BI557,0)</f>
        <v>0</v>
      </c>
      <c r="AD557" s="54">
        <f>IF(AQ557="7",BH557,0)</f>
        <v>0</v>
      </c>
      <c r="AE557" s="54">
        <f>IF(AQ557="7",BI557,0)</f>
        <v>0</v>
      </c>
      <c r="AF557" s="54">
        <f>IF(AQ557="2",BH557,0)</f>
        <v>0</v>
      </c>
      <c r="AG557" s="54">
        <f>IF(AQ557="2",BI557,0)</f>
        <v>0</v>
      </c>
      <c r="AH557" s="54">
        <f>IF(AQ557="0",BJ557,0)</f>
        <v>0</v>
      </c>
      <c r="AI557" s="34" t="s">
        <v>103</v>
      </c>
      <c r="AJ557" s="54">
        <f>IF(AN557=0,I557,0)</f>
        <v>0</v>
      </c>
      <c r="AK557" s="54">
        <f>IF(AN557=12,I557,0)</f>
        <v>0</v>
      </c>
      <c r="AL557" s="54">
        <f>IF(AN557=21,I557,0)</f>
        <v>0</v>
      </c>
      <c r="AN557" s="54">
        <v>21</v>
      </c>
      <c r="AO557" s="54">
        <f>H557*0.182375239</f>
        <v>0</v>
      </c>
      <c r="AP557" s="54">
        <f>H557*(1-0.182375239)</f>
        <v>0</v>
      </c>
      <c r="AQ557" s="56" t="s">
        <v>168</v>
      </c>
      <c r="AV557" s="54">
        <f>AW557+AX557</f>
        <v>0</v>
      </c>
      <c r="AW557" s="54">
        <f>G557*AO557</f>
        <v>0</v>
      </c>
      <c r="AX557" s="54">
        <f>G557*AP557</f>
        <v>0</v>
      </c>
      <c r="AY557" s="56" t="s">
        <v>1225</v>
      </c>
      <c r="AZ557" s="56" t="s">
        <v>1168</v>
      </c>
      <c r="BA557" s="34" t="s">
        <v>114</v>
      </c>
      <c r="BC557" s="54">
        <f>AW557+AX557</f>
        <v>0</v>
      </c>
      <c r="BD557" s="54">
        <f>H557/(100-BE557)*100</f>
        <v>0</v>
      </c>
      <c r="BE557" s="54">
        <v>0</v>
      </c>
      <c r="BF557" s="54">
        <f>L557</f>
        <v>1.0760160000000001E-2</v>
      </c>
      <c r="BH557" s="54">
        <f>G557*AO557</f>
        <v>0</v>
      </c>
      <c r="BI557" s="54">
        <f>G557*AP557</f>
        <v>0</v>
      </c>
      <c r="BJ557" s="54">
        <f>G557*H557</f>
        <v>0</v>
      </c>
      <c r="BK557" s="54"/>
      <c r="BL557" s="54">
        <v>783</v>
      </c>
      <c r="BW557" s="54">
        <v>21</v>
      </c>
      <c r="BX557" s="3" t="s">
        <v>1224</v>
      </c>
    </row>
    <row r="558" spans="1:76" ht="14.5" x14ac:dyDescent="0.35">
      <c r="A558" s="57"/>
      <c r="D558" s="58" t="s">
        <v>208</v>
      </c>
      <c r="E558" s="59" t="s">
        <v>1227</v>
      </c>
      <c r="G558" s="60">
        <v>0</v>
      </c>
      <c r="M558" s="61"/>
    </row>
    <row r="559" spans="1:76" ht="14.5" x14ac:dyDescent="0.35">
      <c r="A559" s="57"/>
      <c r="D559" s="58" t="s">
        <v>1228</v>
      </c>
      <c r="E559" s="59" t="s">
        <v>1229</v>
      </c>
      <c r="G559" s="60">
        <v>22.183</v>
      </c>
      <c r="M559" s="61"/>
    </row>
    <row r="560" spans="1:76" ht="14.5" x14ac:dyDescent="0.35">
      <c r="A560" s="57"/>
      <c r="D560" s="58" t="s">
        <v>1230</v>
      </c>
      <c r="E560" s="59" t="s">
        <v>1231</v>
      </c>
      <c r="G560" s="60">
        <v>22.651</v>
      </c>
      <c r="M560" s="61"/>
    </row>
    <row r="561" spans="1:76" ht="14.5" x14ac:dyDescent="0.35">
      <c r="A561" s="1" t="s">
        <v>1232</v>
      </c>
      <c r="B561" s="2" t="s">
        <v>103</v>
      </c>
      <c r="C561" s="2" t="s">
        <v>1233</v>
      </c>
      <c r="D561" s="155" t="s">
        <v>1234</v>
      </c>
      <c r="E561" s="153"/>
      <c r="F561" s="2" t="s">
        <v>110</v>
      </c>
      <c r="G561" s="54">
        <v>94.75</v>
      </c>
      <c r="H561" s="84">
        <v>0</v>
      </c>
      <c r="I561" s="54">
        <f>G561*H561</f>
        <v>0</v>
      </c>
      <c r="J561" s="54">
        <v>2.9999999999999997E-4</v>
      </c>
      <c r="K561" s="54">
        <v>0</v>
      </c>
      <c r="L561" s="54">
        <f>G561*J561</f>
        <v>2.8424999999999999E-2</v>
      </c>
      <c r="M561" s="55" t="s">
        <v>111</v>
      </c>
      <c r="Z561" s="54">
        <f>IF(AQ561="5",BJ561,0)</f>
        <v>0</v>
      </c>
      <c r="AB561" s="54">
        <f>IF(AQ561="1",BH561,0)</f>
        <v>0</v>
      </c>
      <c r="AC561" s="54">
        <f>IF(AQ561="1",BI561,0)</f>
        <v>0</v>
      </c>
      <c r="AD561" s="54">
        <f>IF(AQ561="7",BH561,0)</f>
        <v>0</v>
      </c>
      <c r="AE561" s="54">
        <f>IF(AQ561="7",BI561,0)</f>
        <v>0</v>
      </c>
      <c r="AF561" s="54">
        <f>IF(AQ561="2",BH561,0)</f>
        <v>0</v>
      </c>
      <c r="AG561" s="54">
        <f>IF(AQ561="2",BI561,0)</f>
        <v>0</v>
      </c>
      <c r="AH561" s="54">
        <f>IF(AQ561="0",BJ561,0)</f>
        <v>0</v>
      </c>
      <c r="AI561" s="34" t="s">
        <v>103</v>
      </c>
      <c r="AJ561" s="54">
        <f>IF(AN561=0,I561,0)</f>
        <v>0</v>
      </c>
      <c r="AK561" s="54">
        <f>IF(AN561=12,I561,0)</f>
        <v>0</v>
      </c>
      <c r="AL561" s="54">
        <f>IF(AN561=21,I561,0)</f>
        <v>0</v>
      </c>
      <c r="AN561" s="54">
        <v>21</v>
      </c>
      <c r="AO561" s="54">
        <f>H561*0.321518365</f>
        <v>0</v>
      </c>
      <c r="AP561" s="54">
        <f>H561*(1-0.321518365)</f>
        <v>0</v>
      </c>
      <c r="AQ561" s="56" t="s">
        <v>168</v>
      </c>
      <c r="AV561" s="54">
        <f>AW561+AX561</f>
        <v>0</v>
      </c>
      <c r="AW561" s="54">
        <f>G561*AO561</f>
        <v>0</v>
      </c>
      <c r="AX561" s="54">
        <f>G561*AP561</f>
        <v>0</v>
      </c>
      <c r="AY561" s="56" t="s">
        <v>1225</v>
      </c>
      <c r="AZ561" s="56" t="s">
        <v>1168</v>
      </c>
      <c r="BA561" s="34" t="s">
        <v>114</v>
      </c>
      <c r="BC561" s="54">
        <f>AW561+AX561</f>
        <v>0</v>
      </c>
      <c r="BD561" s="54">
        <f>H561/(100-BE561)*100</f>
        <v>0</v>
      </c>
      <c r="BE561" s="54">
        <v>0</v>
      </c>
      <c r="BF561" s="54">
        <f>L561</f>
        <v>2.8424999999999999E-2</v>
      </c>
      <c r="BH561" s="54">
        <f>G561*AO561</f>
        <v>0</v>
      </c>
      <c r="BI561" s="54">
        <f>G561*AP561</f>
        <v>0</v>
      </c>
      <c r="BJ561" s="54">
        <f>G561*H561</f>
        <v>0</v>
      </c>
      <c r="BK561" s="54"/>
      <c r="BL561" s="54">
        <v>783</v>
      </c>
      <c r="BW561" s="54">
        <v>21</v>
      </c>
      <c r="BX561" s="3" t="s">
        <v>1234</v>
      </c>
    </row>
    <row r="562" spans="1:76" ht="14.5" x14ac:dyDescent="0.35">
      <c r="A562" s="57"/>
      <c r="D562" s="58" t="s">
        <v>208</v>
      </c>
      <c r="E562" s="59" t="s">
        <v>1236</v>
      </c>
      <c r="G562" s="60">
        <v>0</v>
      </c>
      <c r="M562" s="61"/>
    </row>
    <row r="563" spans="1:76" ht="14.5" x14ac:dyDescent="0.35">
      <c r="A563" s="57"/>
      <c r="D563" s="58" t="s">
        <v>1237</v>
      </c>
      <c r="E563" s="59" t="s">
        <v>1238</v>
      </c>
      <c r="G563" s="60">
        <v>63.25</v>
      </c>
      <c r="M563" s="61"/>
    </row>
    <row r="564" spans="1:76" ht="14.5" x14ac:dyDescent="0.35">
      <c r="A564" s="57"/>
      <c r="D564" s="58" t="s">
        <v>1239</v>
      </c>
      <c r="E564" s="59" t="s">
        <v>1240</v>
      </c>
      <c r="G564" s="60">
        <v>5.75</v>
      </c>
      <c r="M564" s="61"/>
    </row>
    <row r="565" spans="1:76" ht="14.5" x14ac:dyDescent="0.35">
      <c r="A565" s="57"/>
      <c r="D565" s="58" t="s">
        <v>1241</v>
      </c>
      <c r="E565" s="59" t="s">
        <v>1242</v>
      </c>
      <c r="G565" s="60">
        <v>21</v>
      </c>
      <c r="M565" s="61"/>
    </row>
    <row r="566" spans="1:76" ht="14.5" x14ac:dyDescent="0.35">
      <c r="A566" s="57"/>
      <c r="D566" s="58" t="s">
        <v>1243</v>
      </c>
      <c r="E566" s="59" t="s">
        <v>1244</v>
      </c>
      <c r="G566" s="60">
        <v>4.75</v>
      </c>
      <c r="M566" s="61"/>
    </row>
    <row r="567" spans="1:76" ht="14.5" x14ac:dyDescent="0.35">
      <c r="A567" s="1" t="s">
        <v>1245</v>
      </c>
      <c r="B567" s="2" t="s">
        <v>103</v>
      </c>
      <c r="C567" s="2" t="s">
        <v>1246</v>
      </c>
      <c r="D567" s="155" t="s">
        <v>1247</v>
      </c>
      <c r="E567" s="153"/>
      <c r="F567" s="2" t="s">
        <v>153</v>
      </c>
      <c r="G567" s="54">
        <v>173.6</v>
      </c>
      <c r="H567" s="84">
        <v>0</v>
      </c>
      <c r="I567" s="54">
        <f>G567*H567</f>
        <v>0</v>
      </c>
      <c r="J567" s="54">
        <v>6.9999999999999994E-5</v>
      </c>
      <c r="K567" s="54">
        <v>0</v>
      </c>
      <c r="L567" s="54">
        <f>G567*J567</f>
        <v>1.2151999999999998E-2</v>
      </c>
      <c r="M567" s="55" t="s">
        <v>111</v>
      </c>
      <c r="Z567" s="54">
        <f>IF(AQ567="5",BJ567,0)</f>
        <v>0</v>
      </c>
      <c r="AB567" s="54">
        <f>IF(AQ567="1",BH567,0)</f>
        <v>0</v>
      </c>
      <c r="AC567" s="54">
        <f>IF(AQ567="1",BI567,0)</f>
        <v>0</v>
      </c>
      <c r="AD567" s="54">
        <f>IF(AQ567="7",BH567,0)</f>
        <v>0</v>
      </c>
      <c r="AE567" s="54">
        <f>IF(AQ567="7",BI567,0)</f>
        <v>0</v>
      </c>
      <c r="AF567" s="54">
        <f>IF(AQ567="2",BH567,0)</f>
        <v>0</v>
      </c>
      <c r="AG567" s="54">
        <f>IF(AQ567="2",BI567,0)</f>
        <v>0</v>
      </c>
      <c r="AH567" s="54">
        <f>IF(AQ567="0",BJ567,0)</f>
        <v>0</v>
      </c>
      <c r="AI567" s="34" t="s">
        <v>103</v>
      </c>
      <c r="AJ567" s="54">
        <f>IF(AN567=0,I567,0)</f>
        <v>0</v>
      </c>
      <c r="AK567" s="54">
        <f>IF(AN567=12,I567,0)</f>
        <v>0</v>
      </c>
      <c r="AL567" s="54">
        <f>IF(AN567=21,I567,0)</f>
        <v>0</v>
      </c>
      <c r="AN567" s="54">
        <v>21</v>
      </c>
      <c r="AO567" s="54">
        <f>H567*0.191094891</f>
        <v>0</v>
      </c>
      <c r="AP567" s="54">
        <f>H567*(1-0.191094891)</f>
        <v>0</v>
      </c>
      <c r="AQ567" s="56" t="s">
        <v>168</v>
      </c>
      <c r="AV567" s="54">
        <f>AW567+AX567</f>
        <v>0</v>
      </c>
      <c r="AW567" s="54">
        <f>G567*AO567</f>
        <v>0</v>
      </c>
      <c r="AX567" s="54">
        <f>G567*AP567</f>
        <v>0</v>
      </c>
      <c r="AY567" s="56" t="s">
        <v>1225</v>
      </c>
      <c r="AZ567" s="56" t="s">
        <v>1168</v>
      </c>
      <c r="BA567" s="34" t="s">
        <v>114</v>
      </c>
      <c r="BC567" s="54">
        <f>AW567+AX567</f>
        <v>0</v>
      </c>
      <c r="BD567" s="54">
        <f>H567/(100-BE567)*100</f>
        <v>0</v>
      </c>
      <c r="BE567" s="54">
        <v>0</v>
      </c>
      <c r="BF567" s="54">
        <f>L567</f>
        <v>1.2151999999999998E-2</v>
      </c>
      <c r="BH567" s="54">
        <f>G567*AO567</f>
        <v>0</v>
      </c>
      <c r="BI567" s="54">
        <f>G567*AP567</f>
        <v>0</v>
      </c>
      <c r="BJ567" s="54">
        <f>G567*H567</f>
        <v>0</v>
      </c>
      <c r="BK567" s="54"/>
      <c r="BL567" s="54">
        <v>783</v>
      </c>
      <c r="BW567" s="54">
        <v>21</v>
      </c>
      <c r="BX567" s="3" t="s">
        <v>1247</v>
      </c>
    </row>
    <row r="568" spans="1:76" ht="14.5" x14ac:dyDescent="0.35">
      <c r="A568" s="57"/>
      <c r="D568" s="58" t="s">
        <v>1248</v>
      </c>
      <c r="E568" s="59" t="s">
        <v>1249</v>
      </c>
      <c r="G568" s="60">
        <v>62.4</v>
      </c>
      <c r="M568" s="61"/>
    </row>
    <row r="569" spans="1:76" ht="14.5" x14ac:dyDescent="0.35">
      <c r="A569" s="57"/>
      <c r="D569" s="58" t="s">
        <v>179</v>
      </c>
      <c r="E569" s="59" t="s">
        <v>1250</v>
      </c>
      <c r="G569" s="60">
        <v>5.2</v>
      </c>
      <c r="M569" s="61"/>
    </row>
    <row r="570" spans="1:76" ht="14.5" x14ac:dyDescent="0.35">
      <c r="A570" s="57"/>
      <c r="D570" s="58" t="s">
        <v>572</v>
      </c>
      <c r="E570" s="59" t="s">
        <v>1251</v>
      </c>
      <c r="G570" s="60">
        <v>2</v>
      </c>
      <c r="M570" s="61"/>
    </row>
    <row r="571" spans="1:76" ht="14.5" x14ac:dyDescent="0.35">
      <c r="A571" s="57"/>
      <c r="D571" s="58" t="s">
        <v>179</v>
      </c>
      <c r="E571" s="59" t="s">
        <v>1252</v>
      </c>
      <c r="G571" s="60">
        <v>5.2</v>
      </c>
      <c r="M571" s="61"/>
    </row>
    <row r="572" spans="1:76" ht="14.5" x14ac:dyDescent="0.35">
      <c r="A572" s="57"/>
      <c r="D572" s="58" t="s">
        <v>208</v>
      </c>
      <c r="E572" s="59" t="s">
        <v>1253</v>
      </c>
      <c r="G572" s="60">
        <v>0</v>
      </c>
      <c r="M572" s="61"/>
    </row>
    <row r="573" spans="1:76" ht="14.5" x14ac:dyDescent="0.35">
      <c r="A573" s="57"/>
      <c r="D573" s="58" t="s">
        <v>1254</v>
      </c>
      <c r="E573" s="59" t="s">
        <v>1255</v>
      </c>
      <c r="G573" s="60">
        <v>41.6</v>
      </c>
      <c r="M573" s="61"/>
    </row>
    <row r="574" spans="1:76" ht="14.5" x14ac:dyDescent="0.35">
      <c r="A574" s="57"/>
      <c r="D574" s="58" t="s">
        <v>1256</v>
      </c>
      <c r="E574" s="59" t="s">
        <v>1257</v>
      </c>
      <c r="G574" s="60">
        <v>46.8</v>
      </c>
      <c r="M574" s="61"/>
    </row>
    <row r="575" spans="1:76" ht="14.5" x14ac:dyDescent="0.35">
      <c r="A575" s="57"/>
      <c r="D575" s="58" t="s">
        <v>1258</v>
      </c>
      <c r="E575" s="59" t="s">
        <v>1259</v>
      </c>
      <c r="G575" s="60">
        <v>10.4</v>
      </c>
      <c r="M575" s="61"/>
    </row>
    <row r="576" spans="1:76" ht="14.5" x14ac:dyDescent="0.35">
      <c r="A576" s="50" t="s">
        <v>10</v>
      </c>
      <c r="B576" s="51" t="s">
        <v>103</v>
      </c>
      <c r="C576" s="51" t="s">
        <v>1260</v>
      </c>
      <c r="D576" s="206" t="s">
        <v>1261</v>
      </c>
      <c r="E576" s="207"/>
      <c r="F576" s="52" t="s">
        <v>84</v>
      </c>
      <c r="G576" s="52" t="s">
        <v>84</v>
      </c>
      <c r="H576" s="83" t="s">
        <v>84</v>
      </c>
      <c r="I576" s="27">
        <f>SUM(I577:I608)</f>
        <v>0</v>
      </c>
      <c r="J576" s="34" t="s">
        <v>10</v>
      </c>
      <c r="K576" s="34" t="s">
        <v>10</v>
      </c>
      <c r="L576" s="27">
        <f>SUM(L577:L608)</f>
        <v>2.79713484</v>
      </c>
      <c r="M576" s="53" t="s">
        <v>10</v>
      </c>
      <c r="AI576" s="34" t="s">
        <v>103</v>
      </c>
      <c r="AS576" s="27">
        <f>SUM(AJ577:AJ608)</f>
        <v>0</v>
      </c>
      <c r="AT576" s="27">
        <f>SUM(AK577:AK608)</f>
        <v>0</v>
      </c>
      <c r="AU576" s="27">
        <f>SUM(AL577:AL608)</f>
        <v>0</v>
      </c>
    </row>
    <row r="577" spans="1:76" ht="14.5" x14ac:dyDescent="0.35">
      <c r="A577" s="1" t="s">
        <v>1262</v>
      </c>
      <c r="B577" s="2" t="s">
        <v>103</v>
      </c>
      <c r="C577" s="2" t="s">
        <v>1263</v>
      </c>
      <c r="D577" s="155" t="s">
        <v>1264</v>
      </c>
      <c r="E577" s="153"/>
      <c r="F577" s="2" t="s">
        <v>110</v>
      </c>
      <c r="G577" s="54">
        <v>1663.248</v>
      </c>
      <c r="H577" s="84">
        <v>0</v>
      </c>
      <c r="I577" s="54">
        <f>G577*H577</f>
        <v>0</v>
      </c>
      <c r="J577" s="54">
        <v>8.9999999999999998E-4</v>
      </c>
      <c r="K577" s="54">
        <v>8.9999999999999998E-4</v>
      </c>
      <c r="L577" s="54">
        <f>G577*J577</f>
        <v>1.4969231999999999</v>
      </c>
      <c r="M577" s="55" t="s">
        <v>111</v>
      </c>
      <c r="Z577" s="54">
        <f>IF(AQ577="5",BJ577,0)</f>
        <v>0</v>
      </c>
      <c r="AB577" s="54">
        <f>IF(AQ577="1",BH577,0)</f>
        <v>0</v>
      </c>
      <c r="AC577" s="54">
        <f>IF(AQ577="1",BI577,0)</f>
        <v>0</v>
      </c>
      <c r="AD577" s="54">
        <f>IF(AQ577="7",BH577,0)</f>
        <v>0</v>
      </c>
      <c r="AE577" s="54">
        <f>IF(AQ577="7",BI577,0)</f>
        <v>0</v>
      </c>
      <c r="AF577" s="54">
        <f>IF(AQ577="2",BH577,0)</f>
        <v>0</v>
      </c>
      <c r="AG577" s="54">
        <f>IF(AQ577="2",BI577,0)</f>
        <v>0</v>
      </c>
      <c r="AH577" s="54">
        <f>IF(AQ577="0",BJ577,0)</f>
        <v>0</v>
      </c>
      <c r="AI577" s="34" t="s">
        <v>103</v>
      </c>
      <c r="AJ577" s="54">
        <f>IF(AN577=0,I577,0)</f>
        <v>0</v>
      </c>
      <c r="AK577" s="54">
        <f>IF(AN577=12,I577,0)</f>
        <v>0</v>
      </c>
      <c r="AL577" s="54">
        <f>IF(AN577=21,I577,0)</f>
        <v>0</v>
      </c>
      <c r="AN577" s="54">
        <v>21</v>
      </c>
      <c r="AO577" s="54">
        <f>H577*0.002320675</f>
        <v>0</v>
      </c>
      <c r="AP577" s="54">
        <f>H577*(1-0.002320675)</f>
        <v>0</v>
      </c>
      <c r="AQ577" s="56" t="s">
        <v>168</v>
      </c>
      <c r="AV577" s="54">
        <f>AW577+AX577</f>
        <v>0</v>
      </c>
      <c r="AW577" s="54">
        <f>G577*AO577</f>
        <v>0</v>
      </c>
      <c r="AX577" s="54">
        <f>G577*AP577</f>
        <v>0</v>
      </c>
      <c r="AY577" s="56" t="s">
        <v>1265</v>
      </c>
      <c r="AZ577" s="56" t="s">
        <v>1168</v>
      </c>
      <c r="BA577" s="34" t="s">
        <v>114</v>
      </c>
      <c r="BC577" s="54">
        <f>AW577+AX577</f>
        <v>0</v>
      </c>
      <c r="BD577" s="54">
        <f>H577/(100-BE577)*100</f>
        <v>0</v>
      </c>
      <c r="BE577" s="54">
        <v>0</v>
      </c>
      <c r="BF577" s="54">
        <f>L577</f>
        <v>1.4969231999999999</v>
      </c>
      <c r="BH577" s="54">
        <f>G577*AO577</f>
        <v>0</v>
      </c>
      <c r="BI577" s="54">
        <f>G577*AP577</f>
        <v>0</v>
      </c>
      <c r="BJ577" s="54">
        <f>G577*H577</f>
        <v>0</v>
      </c>
      <c r="BK577" s="54"/>
      <c r="BL577" s="54">
        <v>784</v>
      </c>
      <c r="BW577" s="54">
        <v>21</v>
      </c>
      <c r="BX577" s="3" t="s">
        <v>1264</v>
      </c>
    </row>
    <row r="578" spans="1:76" ht="14.5" x14ac:dyDescent="0.35">
      <c r="A578" s="57"/>
      <c r="D578" s="58" t="s">
        <v>208</v>
      </c>
      <c r="E578" s="59" t="s">
        <v>1266</v>
      </c>
      <c r="G578" s="60">
        <v>0</v>
      </c>
      <c r="M578" s="61"/>
    </row>
    <row r="579" spans="1:76" ht="14.5" x14ac:dyDescent="0.35">
      <c r="A579" s="57"/>
      <c r="D579" s="58" t="s">
        <v>1267</v>
      </c>
      <c r="E579" s="59" t="s">
        <v>1268</v>
      </c>
      <c r="G579" s="60">
        <v>246.36</v>
      </c>
      <c r="M579" s="61"/>
    </row>
    <row r="580" spans="1:76" ht="14.5" x14ac:dyDescent="0.35">
      <c r="A580" s="57"/>
      <c r="D580" s="58" t="s">
        <v>1269</v>
      </c>
      <c r="E580" s="59" t="s">
        <v>1270</v>
      </c>
      <c r="G580" s="60">
        <v>837.40300000000002</v>
      </c>
      <c r="M580" s="61"/>
    </row>
    <row r="581" spans="1:76" ht="14.5" x14ac:dyDescent="0.35">
      <c r="A581" s="57"/>
      <c r="D581" s="58" t="s">
        <v>1271</v>
      </c>
      <c r="E581" s="59" t="s">
        <v>1272</v>
      </c>
      <c r="G581" s="60">
        <v>19.224</v>
      </c>
      <c r="M581" s="61"/>
    </row>
    <row r="582" spans="1:76" ht="14.5" x14ac:dyDescent="0.35">
      <c r="A582" s="57"/>
      <c r="D582" s="58" t="s">
        <v>208</v>
      </c>
      <c r="E582" s="59" t="s">
        <v>1273</v>
      </c>
      <c r="G582" s="60">
        <v>0</v>
      </c>
      <c r="M582" s="61"/>
    </row>
    <row r="583" spans="1:76" ht="14.5" x14ac:dyDescent="0.35">
      <c r="A583" s="57"/>
      <c r="D583" s="58" t="s">
        <v>1274</v>
      </c>
      <c r="E583" s="59" t="s">
        <v>1275</v>
      </c>
      <c r="G583" s="60">
        <v>346.27699999999999</v>
      </c>
      <c r="M583" s="61"/>
    </row>
    <row r="584" spans="1:76" ht="14.5" x14ac:dyDescent="0.35">
      <c r="A584" s="57"/>
      <c r="D584" s="58" t="s">
        <v>1276</v>
      </c>
      <c r="E584" s="59" t="s">
        <v>1277</v>
      </c>
      <c r="G584" s="60">
        <v>162.905</v>
      </c>
      <c r="M584" s="61"/>
    </row>
    <row r="585" spans="1:76" ht="14.5" x14ac:dyDescent="0.35">
      <c r="A585" s="57"/>
      <c r="D585" s="58" t="s">
        <v>1278</v>
      </c>
      <c r="E585" s="59" t="s">
        <v>1279</v>
      </c>
      <c r="G585" s="60">
        <v>50.277999999999999</v>
      </c>
      <c r="M585" s="61"/>
    </row>
    <row r="586" spans="1:76" ht="14.5" x14ac:dyDescent="0.35">
      <c r="A586" s="57"/>
      <c r="D586" s="58" t="s">
        <v>1280</v>
      </c>
      <c r="E586" s="59" t="s">
        <v>1281</v>
      </c>
      <c r="G586" s="60">
        <v>0.80100000000000005</v>
      </c>
      <c r="M586" s="61"/>
    </row>
    <row r="587" spans="1:76" ht="14.5" x14ac:dyDescent="0.35">
      <c r="A587" s="1" t="s">
        <v>1283</v>
      </c>
      <c r="B587" s="2" t="s">
        <v>103</v>
      </c>
      <c r="C587" s="2" t="s">
        <v>1284</v>
      </c>
      <c r="D587" s="155" t="s">
        <v>1285</v>
      </c>
      <c r="E587" s="153"/>
      <c r="F587" s="2" t="s">
        <v>110</v>
      </c>
      <c r="G587" s="54">
        <v>2063.828</v>
      </c>
      <c r="H587" s="84">
        <v>0</v>
      </c>
      <c r="I587" s="54">
        <f>G587*H587</f>
        <v>0</v>
      </c>
      <c r="J587" s="54">
        <v>6.3000000000000003E-4</v>
      </c>
      <c r="K587" s="54">
        <v>0</v>
      </c>
      <c r="L587" s="54">
        <f>G587*J587</f>
        <v>1.3002116400000001</v>
      </c>
      <c r="M587" s="55" t="s">
        <v>111</v>
      </c>
      <c r="Z587" s="54">
        <f>IF(AQ587="5",BJ587,0)</f>
        <v>0</v>
      </c>
      <c r="AB587" s="54">
        <f>IF(AQ587="1",BH587,0)</f>
        <v>0</v>
      </c>
      <c r="AC587" s="54">
        <f>IF(AQ587="1",BI587,0)</f>
        <v>0</v>
      </c>
      <c r="AD587" s="54">
        <f>IF(AQ587="7",BH587,0)</f>
        <v>0</v>
      </c>
      <c r="AE587" s="54">
        <f>IF(AQ587="7",BI587,0)</f>
        <v>0</v>
      </c>
      <c r="AF587" s="54">
        <f>IF(AQ587="2",BH587,0)</f>
        <v>0</v>
      </c>
      <c r="AG587" s="54">
        <f>IF(AQ587="2",BI587,0)</f>
        <v>0</v>
      </c>
      <c r="AH587" s="54">
        <f>IF(AQ587="0",BJ587,0)</f>
        <v>0</v>
      </c>
      <c r="AI587" s="34" t="s">
        <v>103</v>
      </c>
      <c r="AJ587" s="54">
        <f>IF(AN587=0,I587,0)</f>
        <v>0</v>
      </c>
      <c r="AK587" s="54">
        <f>IF(AN587=12,I587,0)</f>
        <v>0</v>
      </c>
      <c r="AL587" s="54">
        <f>IF(AN587=21,I587,0)</f>
        <v>0</v>
      </c>
      <c r="AN587" s="54">
        <v>21</v>
      </c>
      <c r="AO587" s="54">
        <f>H587*0.230403589</f>
        <v>0</v>
      </c>
      <c r="AP587" s="54">
        <f>H587*(1-0.230403589)</f>
        <v>0</v>
      </c>
      <c r="AQ587" s="56" t="s">
        <v>168</v>
      </c>
      <c r="AV587" s="54">
        <f>AW587+AX587</f>
        <v>0</v>
      </c>
      <c r="AW587" s="54">
        <f>G587*AO587</f>
        <v>0</v>
      </c>
      <c r="AX587" s="54">
        <f>G587*AP587</f>
        <v>0</v>
      </c>
      <c r="AY587" s="56" t="s">
        <v>1265</v>
      </c>
      <c r="AZ587" s="56" t="s">
        <v>1168</v>
      </c>
      <c r="BA587" s="34" t="s">
        <v>114</v>
      </c>
      <c r="BC587" s="54">
        <f>AW587+AX587</f>
        <v>0</v>
      </c>
      <c r="BD587" s="54">
        <f>H587/(100-BE587)*100</f>
        <v>0</v>
      </c>
      <c r="BE587" s="54">
        <v>0</v>
      </c>
      <c r="BF587" s="54">
        <f>L587</f>
        <v>1.3002116400000001</v>
      </c>
      <c r="BH587" s="54">
        <f>G587*AO587</f>
        <v>0</v>
      </c>
      <c r="BI587" s="54">
        <f>G587*AP587</f>
        <v>0</v>
      </c>
      <c r="BJ587" s="54">
        <f>G587*H587</f>
        <v>0</v>
      </c>
      <c r="BK587" s="54"/>
      <c r="BL587" s="54">
        <v>784</v>
      </c>
      <c r="BW587" s="54">
        <v>21</v>
      </c>
      <c r="BX587" s="3" t="s">
        <v>1285</v>
      </c>
    </row>
    <row r="588" spans="1:76" ht="14.5" x14ac:dyDescent="0.35">
      <c r="A588" s="57"/>
      <c r="D588" s="58" t="s">
        <v>10</v>
      </c>
      <c r="E588" s="59" t="s">
        <v>1286</v>
      </c>
      <c r="G588" s="60">
        <v>0</v>
      </c>
      <c r="M588" s="61"/>
    </row>
    <row r="589" spans="1:76" ht="14.5" x14ac:dyDescent="0.35">
      <c r="A589" s="57"/>
      <c r="D589" s="58" t="s">
        <v>10</v>
      </c>
      <c r="E589" s="59" t="s">
        <v>1287</v>
      </c>
      <c r="G589" s="60">
        <v>0</v>
      </c>
      <c r="M589" s="61"/>
    </row>
    <row r="590" spans="1:76" ht="14.5" x14ac:dyDescent="0.35">
      <c r="A590" s="57"/>
      <c r="D590" s="58" t="s">
        <v>1267</v>
      </c>
      <c r="E590" s="59" t="s">
        <v>1268</v>
      </c>
      <c r="G590" s="60">
        <v>246.36</v>
      </c>
      <c r="M590" s="61"/>
    </row>
    <row r="591" spans="1:76" ht="14.5" x14ac:dyDescent="0.35">
      <c r="A591" s="57"/>
      <c r="D591" s="58" t="s">
        <v>1269</v>
      </c>
      <c r="E591" s="59" t="s">
        <v>1270</v>
      </c>
      <c r="G591" s="60">
        <v>837.40300000000002</v>
      </c>
      <c r="M591" s="61"/>
    </row>
    <row r="592" spans="1:76" ht="14.5" x14ac:dyDescent="0.35">
      <c r="A592" s="57"/>
      <c r="D592" s="58" t="s">
        <v>1271</v>
      </c>
      <c r="E592" s="59" t="s">
        <v>1272</v>
      </c>
      <c r="G592" s="60">
        <v>19.224</v>
      </c>
      <c r="M592" s="61"/>
    </row>
    <row r="593" spans="1:76" ht="14.5" x14ac:dyDescent="0.35">
      <c r="A593" s="57"/>
      <c r="D593" s="58" t="s">
        <v>10</v>
      </c>
      <c r="E593" s="59" t="s">
        <v>1288</v>
      </c>
      <c r="G593" s="60">
        <v>0</v>
      </c>
      <c r="M593" s="61"/>
    </row>
    <row r="594" spans="1:76" ht="14.5" x14ac:dyDescent="0.35">
      <c r="A594" s="57"/>
      <c r="D594" s="58" t="s">
        <v>1289</v>
      </c>
      <c r="E594" s="59" t="s">
        <v>1290</v>
      </c>
      <c r="G594" s="60">
        <v>51.393999999999998</v>
      </c>
      <c r="M594" s="61"/>
    </row>
    <row r="595" spans="1:76" ht="14.5" x14ac:dyDescent="0.35">
      <c r="A595" s="57"/>
      <c r="D595" s="58" t="s">
        <v>1291</v>
      </c>
      <c r="E595" s="59" t="s">
        <v>1292</v>
      </c>
      <c r="G595" s="60">
        <v>67.2</v>
      </c>
      <c r="M595" s="61"/>
    </row>
    <row r="596" spans="1:76" ht="14.5" x14ac:dyDescent="0.35">
      <c r="A596" s="57"/>
      <c r="D596" s="58" t="s">
        <v>1274</v>
      </c>
      <c r="E596" s="59" t="s">
        <v>1275</v>
      </c>
      <c r="G596" s="60">
        <v>346.27699999999999</v>
      </c>
      <c r="M596" s="61"/>
    </row>
    <row r="597" spans="1:76" ht="14.5" x14ac:dyDescent="0.35">
      <c r="A597" s="57"/>
      <c r="D597" s="58" t="s">
        <v>1276</v>
      </c>
      <c r="E597" s="59" t="s">
        <v>1293</v>
      </c>
      <c r="G597" s="60">
        <v>162.905</v>
      </c>
      <c r="M597" s="61"/>
    </row>
    <row r="598" spans="1:76" ht="14.5" x14ac:dyDescent="0.35">
      <c r="A598" s="57"/>
      <c r="D598" s="58" t="s">
        <v>1294</v>
      </c>
      <c r="E598" s="59" t="s">
        <v>1295</v>
      </c>
      <c r="G598" s="60">
        <v>85.8</v>
      </c>
      <c r="M598" s="61"/>
    </row>
    <row r="599" spans="1:76" ht="14.5" x14ac:dyDescent="0.35">
      <c r="A599" s="57"/>
      <c r="D599" s="58" t="s">
        <v>1296</v>
      </c>
      <c r="E599" s="59" t="s">
        <v>1297</v>
      </c>
      <c r="G599" s="60">
        <v>-11.505000000000001</v>
      </c>
      <c r="M599" s="61"/>
    </row>
    <row r="600" spans="1:76" ht="14.5" x14ac:dyDescent="0.35">
      <c r="A600" s="57"/>
      <c r="D600" s="58" t="s">
        <v>1298</v>
      </c>
      <c r="E600" s="59" t="s">
        <v>1299</v>
      </c>
      <c r="G600" s="60">
        <v>66.117999999999995</v>
      </c>
      <c r="M600" s="61"/>
    </row>
    <row r="601" spans="1:76" ht="14.5" x14ac:dyDescent="0.35">
      <c r="A601" s="57"/>
      <c r="D601" s="58" t="s">
        <v>1300</v>
      </c>
      <c r="E601" s="59" t="s">
        <v>1301</v>
      </c>
      <c r="G601" s="60">
        <v>-4.7770000000000001</v>
      </c>
      <c r="M601" s="61"/>
    </row>
    <row r="602" spans="1:76" ht="14.5" x14ac:dyDescent="0.35">
      <c r="A602" s="57"/>
      <c r="D602" s="58" t="s">
        <v>1302</v>
      </c>
      <c r="E602" s="59" t="s">
        <v>1303</v>
      </c>
      <c r="G602" s="60">
        <v>86.652000000000001</v>
      </c>
      <c r="M602" s="61"/>
    </row>
    <row r="603" spans="1:76" ht="14.5" x14ac:dyDescent="0.35">
      <c r="A603" s="57"/>
      <c r="D603" s="58" t="s">
        <v>1304</v>
      </c>
      <c r="E603" s="59" t="s">
        <v>1305</v>
      </c>
      <c r="G603" s="60">
        <v>1.6020000000000001</v>
      </c>
      <c r="M603" s="61"/>
    </row>
    <row r="604" spans="1:76" ht="14.5" x14ac:dyDescent="0.35">
      <c r="A604" s="57"/>
      <c r="D604" s="58" t="s">
        <v>1083</v>
      </c>
      <c r="E604" s="59" t="s">
        <v>1306</v>
      </c>
      <c r="G604" s="60">
        <v>40.68</v>
      </c>
      <c r="M604" s="61"/>
    </row>
    <row r="605" spans="1:76" ht="14.5" x14ac:dyDescent="0.35">
      <c r="A605" s="57"/>
      <c r="D605" s="58" t="s">
        <v>1307</v>
      </c>
      <c r="E605" s="59" t="s">
        <v>1308</v>
      </c>
      <c r="G605" s="60">
        <v>47.694000000000003</v>
      </c>
      <c r="M605" s="61"/>
    </row>
    <row r="606" spans="1:76" ht="14.5" x14ac:dyDescent="0.35">
      <c r="A606" s="57"/>
      <c r="D606" s="58" t="s">
        <v>1280</v>
      </c>
      <c r="E606" s="59" t="s">
        <v>1281</v>
      </c>
      <c r="G606" s="60">
        <v>0.80100000000000005</v>
      </c>
      <c r="M606" s="61"/>
    </row>
    <row r="607" spans="1:76" ht="14.5" x14ac:dyDescent="0.35">
      <c r="A607" s="57"/>
      <c r="D607" s="58" t="s">
        <v>1129</v>
      </c>
      <c r="E607" s="59" t="s">
        <v>1309</v>
      </c>
      <c r="G607" s="60">
        <v>20</v>
      </c>
      <c r="M607" s="61"/>
    </row>
    <row r="608" spans="1:76" ht="14.5" x14ac:dyDescent="0.35">
      <c r="A608" s="1" t="s">
        <v>1310</v>
      </c>
      <c r="B608" s="2" t="s">
        <v>103</v>
      </c>
      <c r="C608" s="2" t="s">
        <v>1311</v>
      </c>
      <c r="D608" s="155" t="s">
        <v>1312</v>
      </c>
      <c r="E608" s="153"/>
      <c r="F608" s="2" t="s">
        <v>481</v>
      </c>
      <c r="G608" s="54">
        <v>104</v>
      </c>
      <c r="H608" s="84">
        <v>0</v>
      </c>
      <c r="I608" s="54">
        <f>G608*H608</f>
        <v>0</v>
      </c>
      <c r="J608" s="54">
        <v>0</v>
      </c>
      <c r="K608" s="54">
        <v>0</v>
      </c>
      <c r="L608" s="54">
        <f>G608*J608</f>
        <v>0</v>
      </c>
      <c r="M608" s="55" t="s">
        <v>10</v>
      </c>
      <c r="Z608" s="54">
        <f>IF(AQ608="5",BJ608,0)</f>
        <v>0</v>
      </c>
      <c r="AB608" s="54">
        <f>IF(AQ608="1",BH608,0)</f>
        <v>0</v>
      </c>
      <c r="AC608" s="54">
        <f>IF(AQ608="1",BI608,0)</f>
        <v>0</v>
      </c>
      <c r="AD608" s="54">
        <f>IF(AQ608="7",BH608,0)</f>
        <v>0</v>
      </c>
      <c r="AE608" s="54">
        <f>IF(AQ608="7",BI608,0)</f>
        <v>0</v>
      </c>
      <c r="AF608" s="54">
        <f>IF(AQ608="2",BH608,0)</f>
        <v>0</v>
      </c>
      <c r="AG608" s="54">
        <f>IF(AQ608="2",BI608,0)</f>
        <v>0</v>
      </c>
      <c r="AH608" s="54">
        <f>IF(AQ608="0",BJ608,0)</f>
        <v>0</v>
      </c>
      <c r="AI608" s="34" t="s">
        <v>103</v>
      </c>
      <c r="AJ608" s="54">
        <f>IF(AN608=0,I608,0)</f>
        <v>0</v>
      </c>
      <c r="AK608" s="54">
        <f>IF(AN608=12,I608,0)</f>
        <v>0</v>
      </c>
      <c r="AL608" s="54">
        <f>IF(AN608=21,I608,0)</f>
        <v>0</v>
      </c>
      <c r="AN608" s="54">
        <v>21</v>
      </c>
      <c r="AO608" s="54">
        <f>H608*0</f>
        <v>0</v>
      </c>
      <c r="AP608" s="54">
        <f>H608*(1-0)</f>
        <v>0</v>
      </c>
      <c r="AQ608" s="56" t="s">
        <v>168</v>
      </c>
      <c r="AV608" s="54">
        <f>AW608+AX608</f>
        <v>0</v>
      </c>
      <c r="AW608" s="54">
        <f>G608*AO608</f>
        <v>0</v>
      </c>
      <c r="AX608" s="54">
        <f>G608*AP608</f>
        <v>0</v>
      </c>
      <c r="AY608" s="56" t="s">
        <v>1265</v>
      </c>
      <c r="AZ608" s="56" t="s">
        <v>1168</v>
      </c>
      <c r="BA608" s="34" t="s">
        <v>114</v>
      </c>
      <c r="BC608" s="54">
        <f>AW608+AX608</f>
        <v>0</v>
      </c>
      <c r="BD608" s="54">
        <f>H608/(100-BE608)*100</f>
        <v>0</v>
      </c>
      <c r="BE608" s="54">
        <v>0</v>
      </c>
      <c r="BF608" s="54">
        <f>L608</f>
        <v>0</v>
      </c>
      <c r="BH608" s="54">
        <f>G608*AO608</f>
        <v>0</v>
      </c>
      <c r="BI608" s="54">
        <f>G608*AP608</f>
        <v>0</v>
      </c>
      <c r="BJ608" s="54">
        <f>G608*H608</f>
        <v>0</v>
      </c>
      <c r="BK608" s="54"/>
      <c r="BL608" s="54">
        <v>784</v>
      </c>
      <c r="BW608" s="54">
        <v>21</v>
      </c>
      <c r="BX608" s="3" t="s">
        <v>1312</v>
      </c>
    </row>
    <row r="609" spans="1:76" ht="14.5" x14ac:dyDescent="0.35">
      <c r="A609" s="57"/>
      <c r="D609" s="58" t="s">
        <v>521</v>
      </c>
      <c r="E609" s="59" t="s">
        <v>1313</v>
      </c>
      <c r="G609" s="60">
        <v>96</v>
      </c>
      <c r="M609" s="61"/>
    </row>
    <row r="610" spans="1:76" ht="14.5" x14ac:dyDescent="0.35">
      <c r="A610" s="57"/>
      <c r="D610" s="58" t="s">
        <v>779</v>
      </c>
      <c r="E610" s="59" t="s">
        <v>1314</v>
      </c>
      <c r="G610" s="60">
        <v>8</v>
      </c>
      <c r="M610" s="61"/>
    </row>
    <row r="611" spans="1:76" ht="14.5" x14ac:dyDescent="0.35">
      <c r="A611" s="50" t="s">
        <v>10</v>
      </c>
      <c r="B611" s="51" t="s">
        <v>103</v>
      </c>
      <c r="C611" s="51" t="s">
        <v>1315</v>
      </c>
      <c r="D611" s="206" t="s">
        <v>1316</v>
      </c>
      <c r="E611" s="207"/>
      <c r="F611" s="52" t="s">
        <v>84</v>
      </c>
      <c r="G611" s="52" t="s">
        <v>84</v>
      </c>
      <c r="H611" s="83" t="s">
        <v>84</v>
      </c>
      <c r="I611" s="27">
        <f>SUM(I612:I619)</f>
        <v>0</v>
      </c>
      <c r="J611" s="34" t="s">
        <v>10</v>
      </c>
      <c r="K611" s="34" t="s">
        <v>10</v>
      </c>
      <c r="L611" s="27">
        <f>SUM(L612:L619)</f>
        <v>7.1606000000000003E-2</v>
      </c>
      <c r="M611" s="53" t="s">
        <v>10</v>
      </c>
      <c r="AI611" s="34" t="s">
        <v>103</v>
      </c>
      <c r="AS611" s="27">
        <f>SUM(AJ612:AJ619)</f>
        <v>0</v>
      </c>
      <c r="AT611" s="27">
        <f>SUM(AK612:AK619)</f>
        <v>0</v>
      </c>
      <c r="AU611" s="27">
        <f>SUM(AL612:AL619)</f>
        <v>0</v>
      </c>
    </row>
    <row r="612" spans="1:76" ht="14.5" x14ac:dyDescent="0.35">
      <c r="A612" s="1" t="s">
        <v>1317</v>
      </c>
      <c r="B612" s="2" t="s">
        <v>103</v>
      </c>
      <c r="C612" s="2" t="s">
        <v>1318</v>
      </c>
      <c r="D612" s="155" t="s">
        <v>1319</v>
      </c>
      <c r="E612" s="153"/>
      <c r="F612" s="2" t="s">
        <v>110</v>
      </c>
      <c r="G612" s="54">
        <v>169.6</v>
      </c>
      <c r="H612" s="84">
        <v>0</v>
      </c>
      <c r="I612" s="54">
        <f>G612*H612</f>
        <v>0</v>
      </c>
      <c r="J612" s="54">
        <v>1.7000000000000001E-4</v>
      </c>
      <c r="K612" s="54">
        <v>0</v>
      </c>
      <c r="L612" s="54">
        <f>G612*J612</f>
        <v>2.8832E-2</v>
      </c>
      <c r="M612" s="55" t="s">
        <v>111</v>
      </c>
      <c r="Z612" s="54">
        <f>IF(AQ612="5",BJ612,0)</f>
        <v>0</v>
      </c>
      <c r="AB612" s="54">
        <f>IF(AQ612="1",BH612,0)</f>
        <v>0</v>
      </c>
      <c r="AC612" s="54">
        <f>IF(AQ612="1",BI612,0)</f>
        <v>0</v>
      </c>
      <c r="AD612" s="54">
        <f>IF(AQ612="7",BH612,0)</f>
        <v>0</v>
      </c>
      <c r="AE612" s="54">
        <f>IF(AQ612="7",BI612,0)</f>
        <v>0</v>
      </c>
      <c r="AF612" s="54">
        <f>IF(AQ612="2",BH612,0)</f>
        <v>0</v>
      </c>
      <c r="AG612" s="54">
        <f>IF(AQ612="2",BI612,0)</f>
        <v>0</v>
      </c>
      <c r="AH612" s="54">
        <f>IF(AQ612="0",BJ612,0)</f>
        <v>0</v>
      </c>
      <c r="AI612" s="34" t="s">
        <v>103</v>
      </c>
      <c r="AJ612" s="54">
        <f>IF(AN612=0,I612,0)</f>
        <v>0</v>
      </c>
      <c r="AK612" s="54">
        <f>IF(AN612=12,I612,0)</f>
        <v>0</v>
      </c>
      <c r="AL612" s="54">
        <f>IF(AN612=21,I612,0)</f>
        <v>0</v>
      </c>
      <c r="AN612" s="54">
        <v>21</v>
      </c>
      <c r="AO612" s="54">
        <f>H612*0.13239726</f>
        <v>0</v>
      </c>
      <c r="AP612" s="54">
        <f>H612*(1-0.13239726)</f>
        <v>0</v>
      </c>
      <c r="AQ612" s="56" t="s">
        <v>168</v>
      </c>
      <c r="AV612" s="54">
        <f>AW612+AX612</f>
        <v>0</v>
      </c>
      <c r="AW612" s="54">
        <f>G612*AO612</f>
        <v>0</v>
      </c>
      <c r="AX612" s="54">
        <f>G612*AP612</f>
        <v>0</v>
      </c>
      <c r="AY612" s="56" t="s">
        <v>1320</v>
      </c>
      <c r="AZ612" s="56" t="s">
        <v>1168</v>
      </c>
      <c r="BA612" s="34" t="s">
        <v>114</v>
      </c>
      <c r="BC612" s="54">
        <f>AW612+AX612</f>
        <v>0</v>
      </c>
      <c r="BD612" s="54">
        <f>H612/(100-BE612)*100</f>
        <v>0</v>
      </c>
      <c r="BE612" s="54">
        <v>0</v>
      </c>
      <c r="BF612" s="54">
        <f>L612</f>
        <v>2.8832E-2</v>
      </c>
      <c r="BH612" s="54">
        <f>G612*AO612</f>
        <v>0</v>
      </c>
      <c r="BI612" s="54">
        <f>G612*AP612</f>
        <v>0</v>
      </c>
      <c r="BJ612" s="54">
        <f>G612*H612</f>
        <v>0</v>
      </c>
      <c r="BK612" s="54"/>
      <c r="BL612" s="54">
        <v>785</v>
      </c>
      <c r="BW612" s="54">
        <v>21</v>
      </c>
      <c r="BX612" s="3" t="s">
        <v>1319</v>
      </c>
    </row>
    <row r="613" spans="1:76" ht="14.5" x14ac:dyDescent="0.35">
      <c r="A613" s="57"/>
      <c r="D613" s="58" t="s">
        <v>10</v>
      </c>
      <c r="E613" s="59" t="s">
        <v>1321</v>
      </c>
      <c r="G613" s="60">
        <v>0</v>
      </c>
      <c r="M613" s="61"/>
    </row>
    <row r="614" spans="1:76" ht="14.5" x14ac:dyDescent="0.35">
      <c r="A614" s="57"/>
      <c r="D614" s="58" t="s">
        <v>1322</v>
      </c>
      <c r="E614" s="59" t="s">
        <v>1323</v>
      </c>
      <c r="G614" s="60">
        <v>70</v>
      </c>
      <c r="M614" s="61"/>
    </row>
    <row r="615" spans="1:76" ht="14.5" x14ac:dyDescent="0.35">
      <c r="A615" s="57"/>
      <c r="D615" s="58" t="s">
        <v>1324</v>
      </c>
      <c r="E615" s="59" t="s">
        <v>1325</v>
      </c>
      <c r="G615" s="60">
        <v>99.6</v>
      </c>
      <c r="M615" s="61"/>
    </row>
    <row r="616" spans="1:76" ht="14.5" x14ac:dyDescent="0.35">
      <c r="A616" s="64" t="s">
        <v>1326</v>
      </c>
      <c r="B616" s="65" t="s">
        <v>103</v>
      </c>
      <c r="C616" s="65" t="s">
        <v>1327</v>
      </c>
      <c r="D616" s="217" t="s">
        <v>1328</v>
      </c>
      <c r="E616" s="218"/>
      <c r="F616" s="65" t="s">
        <v>110</v>
      </c>
      <c r="G616" s="67">
        <v>207.87</v>
      </c>
      <c r="H616" s="85">
        <v>0</v>
      </c>
      <c r="I616" s="67">
        <f>G616*H616</f>
        <v>0</v>
      </c>
      <c r="J616" s="67">
        <v>2.0000000000000001E-4</v>
      </c>
      <c r="K616" s="67">
        <v>0</v>
      </c>
      <c r="L616" s="67">
        <f>G616*J616</f>
        <v>4.1574E-2</v>
      </c>
      <c r="M616" s="68" t="s">
        <v>111</v>
      </c>
      <c r="Z616" s="54">
        <f>IF(AQ616="5",BJ616,0)</f>
        <v>0</v>
      </c>
      <c r="AB616" s="54">
        <f>IF(AQ616="1",BH616,0)</f>
        <v>0</v>
      </c>
      <c r="AC616" s="54">
        <f>IF(AQ616="1",BI616,0)</f>
        <v>0</v>
      </c>
      <c r="AD616" s="54">
        <f>IF(AQ616="7",BH616,0)</f>
        <v>0</v>
      </c>
      <c r="AE616" s="54">
        <f>IF(AQ616="7",BI616,0)</f>
        <v>0</v>
      </c>
      <c r="AF616" s="54">
        <f>IF(AQ616="2",BH616,0)</f>
        <v>0</v>
      </c>
      <c r="AG616" s="54">
        <f>IF(AQ616="2",BI616,0)</f>
        <v>0</v>
      </c>
      <c r="AH616" s="54">
        <f>IF(AQ616="0",BJ616,0)</f>
        <v>0</v>
      </c>
      <c r="AI616" s="34" t="s">
        <v>103</v>
      </c>
      <c r="AJ616" s="67">
        <f>IF(AN616=0,I616,0)</f>
        <v>0</v>
      </c>
      <c r="AK616" s="67">
        <f>IF(AN616=12,I616,0)</f>
        <v>0</v>
      </c>
      <c r="AL616" s="67">
        <f>IF(AN616=21,I616,0)</f>
        <v>0</v>
      </c>
      <c r="AN616" s="54">
        <v>21</v>
      </c>
      <c r="AO616" s="54">
        <f>H616*1</f>
        <v>0</v>
      </c>
      <c r="AP616" s="54">
        <f>H616*(1-1)</f>
        <v>0</v>
      </c>
      <c r="AQ616" s="69" t="s">
        <v>168</v>
      </c>
      <c r="AV616" s="54">
        <f>AW616+AX616</f>
        <v>0</v>
      </c>
      <c r="AW616" s="54">
        <f>G616*AO616</f>
        <v>0</v>
      </c>
      <c r="AX616" s="54">
        <f>G616*AP616</f>
        <v>0</v>
      </c>
      <c r="AY616" s="56" t="s">
        <v>1320</v>
      </c>
      <c r="AZ616" s="56" t="s">
        <v>1168</v>
      </c>
      <c r="BA616" s="34" t="s">
        <v>114</v>
      </c>
      <c r="BC616" s="54">
        <f>AW616+AX616</f>
        <v>0</v>
      </c>
      <c r="BD616" s="54">
        <f>H616/(100-BE616)*100</f>
        <v>0</v>
      </c>
      <c r="BE616" s="54">
        <v>0</v>
      </c>
      <c r="BF616" s="54">
        <f>L616</f>
        <v>4.1574E-2</v>
      </c>
      <c r="BH616" s="67">
        <f>G616*AO616</f>
        <v>0</v>
      </c>
      <c r="BI616" s="67">
        <f>G616*AP616</f>
        <v>0</v>
      </c>
      <c r="BJ616" s="67">
        <f>G616*H616</f>
        <v>0</v>
      </c>
      <c r="BK616" s="67"/>
      <c r="BL616" s="54">
        <v>785</v>
      </c>
      <c r="BW616" s="54">
        <v>21</v>
      </c>
      <c r="BX616" s="66" t="s">
        <v>1328</v>
      </c>
    </row>
    <row r="617" spans="1:76" ht="14.5" x14ac:dyDescent="0.35">
      <c r="A617" s="57"/>
      <c r="D617" s="58" t="s">
        <v>1329</v>
      </c>
      <c r="E617" s="59" t="s">
        <v>10</v>
      </c>
      <c r="G617" s="60">
        <v>169.6</v>
      </c>
      <c r="M617" s="61"/>
    </row>
    <row r="618" spans="1:76" ht="14.5" x14ac:dyDescent="0.35">
      <c r="A618" s="57"/>
      <c r="D618" s="58" t="s">
        <v>1330</v>
      </c>
      <c r="E618" s="59" t="s">
        <v>1331</v>
      </c>
      <c r="G618" s="60">
        <v>38.270000000000003</v>
      </c>
      <c r="M618" s="61"/>
    </row>
    <row r="619" spans="1:76" ht="14.5" x14ac:dyDescent="0.35">
      <c r="A619" s="1" t="s">
        <v>1333</v>
      </c>
      <c r="B619" s="2" t="s">
        <v>103</v>
      </c>
      <c r="C619" s="2" t="s">
        <v>1334</v>
      </c>
      <c r="D619" s="155" t="s">
        <v>1335</v>
      </c>
      <c r="E619" s="153"/>
      <c r="F619" s="2" t="s">
        <v>153</v>
      </c>
      <c r="G619" s="54">
        <v>60</v>
      </c>
      <c r="H619" s="84">
        <v>0</v>
      </c>
      <c r="I619" s="54">
        <f>G619*H619</f>
        <v>0</v>
      </c>
      <c r="J619" s="54">
        <v>2.0000000000000002E-5</v>
      </c>
      <c r="K619" s="54">
        <v>0</v>
      </c>
      <c r="L619" s="54">
        <f>G619*J619</f>
        <v>1.2000000000000001E-3</v>
      </c>
      <c r="M619" s="55" t="s">
        <v>111</v>
      </c>
      <c r="Z619" s="54">
        <f>IF(AQ619="5",BJ619,0)</f>
        <v>0</v>
      </c>
      <c r="AB619" s="54">
        <f>IF(AQ619="1",BH619,0)</f>
        <v>0</v>
      </c>
      <c r="AC619" s="54">
        <f>IF(AQ619="1",BI619,0)</f>
        <v>0</v>
      </c>
      <c r="AD619" s="54">
        <f>IF(AQ619="7",BH619,0)</f>
        <v>0</v>
      </c>
      <c r="AE619" s="54">
        <f>IF(AQ619="7",BI619,0)</f>
        <v>0</v>
      </c>
      <c r="AF619" s="54">
        <f>IF(AQ619="2",BH619,0)</f>
        <v>0</v>
      </c>
      <c r="AG619" s="54">
        <f>IF(AQ619="2",BI619,0)</f>
        <v>0</v>
      </c>
      <c r="AH619" s="54">
        <f>IF(AQ619="0",BJ619,0)</f>
        <v>0</v>
      </c>
      <c r="AI619" s="34" t="s">
        <v>103</v>
      </c>
      <c r="AJ619" s="54">
        <f>IF(AN619=0,I619,0)</f>
        <v>0</v>
      </c>
      <c r="AK619" s="54">
        <f>IF(AN619=12,I619,0)</f>
        <v>0</v>
      </c>
      <c r="AL619" s="54">
        <f>IF(AN619=21,I619,0)</f>
        <v>0</v>
      </c>
      <c r="AN619" s="54">
        <v>21</v>
      </c>
      <c r="AO619" s="54">
        <f>H619*0.267307692</f>
        <v>0</v>
      </c>
      <c r="AP619" s="54">
        <f>H619*(1-0.267307692)</f>
        <v>0</v>
      </c>
      <c r="AQ619" s="56" t="s">
        <v>168</v>
      </c>
      <c r="AV619" s="54">
        <f>AW619+AX619</f>
        <v>0</v>
      </c>
      <c r="AW619" s="54">
        <f>G619*AO619</f>
        <v>0</v>
      </c>
      <c r="AX619" s="54">
        <f>G619*AP619</f>
        <v>0</v>
      </c>
      <c r="AY619" s="56" t="s">
        <v>1320</v>
      </c>
      <c r="AZ619" s="56" t="s">
        <v>1168</v>
      </c>
      <c r="BA619" s="34" t="s">
        <v>114</v>
      </c>
      <c r="BC619" s="54">
        <f>AW619+AX619</f>
        <v>0</v>
      </c>
      <c r="BD619" s="54">
        <f>H619/(100-BE619)*100</f>
        <v>0</v>
      </c>
      <c r="BE619" s="54">
        <v>0</v>
      </c>
      <c r="BF619" s="54">
        <f>L619</f>
        <v>1.2000000000000001E-3</v>
      </c>
      <c r="BH619" s="54">
        <f>G619*AO619</f>
        <v>0</v>
      </c>
      <c r="BI619" s="54">
        <f>G619*AP619</f>
        <v>0</v>
      </c>
      <c r="BJ619" s="54">
        <f>G619*H619</f>
        <v>0</v>
      </c>
      <c r="BK619" s="54"/>
      <c r="BL619" s="54">
        <v>785</v>
      </c>
      <c r="BW619" s="54">
        <v>21</v>
      </c>
      <c r="BX619" s="3" t="s">
        <v>1335</v>
      </c>
    </row>
    <row r="620" spans="1:76" ht="14.5" x14ac:dyDescent="0.35">
      <c r="A620" s="57"/>
      <c r="D620" s="58" t="s">
        <v>1336</v>
      </c>
      <c r="E620" s="59" t="s">
        <v>1337</v>
      </c>
      <c r="G620" s="60">
        <v>60</v>
      </c>
      <c r="M620" s="61"/>
    </row>
    <row r="621" spans="1:76" ht="14.5" x14ac:dyDescent="0.35">
      <c r="A621" s="50" t="s">
        <v>10</v>
      </c>
      <c r="B621" s="51" t="s">
        <v>103</v>
      </c>
      <c r="C621" s="51" t="s">
        <v>689</v>
      </c>
      <c r="D621" s="206" t="s">
        <v>1338</v>
      </c>
      <c r="E621" s="207"/>
      <c r="F621" s="52" t="s">
        <v>84</v>
      </c>
      <c r="G621" s="52" t="s">
        <v>84</v>
      </c>
      <c r="H621" s="83" t="s">
        <v>84</v>
      </c>
      <c r="I621" s="27">
        <f>SUM(I622:I622)</f>
        <v>0</v>
      </c>
      <c r="J621" s="34" t="s">
        <v>10</v>
      </c>
      <c r="K621" s="34" t="s">
        <v>10</v>
      </c>
      <c r="L621" s="27">
        <f>SUM(L622:L622)</f>
        <v>2.7710000000000002E-2</v>
      </c>
      <c r="M621" s="53" t="s">
        <v>10</v>
      </c>
      <c r="AI621" s="34" t="s">
        <v>103</v>
      </c>
      <c r="AS621" s="27">
        <f>SUM(AJ622:AJ622)</f>
        <v>0</v>
      </c>
      <c r="AT621" s="27">
        <f>SUM(AK622:AK622)</f>
        <v>0</v>
      </c>
      <c r="AU621" s="27">
        <f>SUM(AL622:AL622)</f>
        <v>0</v>
      </c>
    </row>
    <row r="622" spans="1:76" ht="14.5" x14ac:dyDescent="0.35">
      <c r="A622" s="1" t="s">
        <v>1339</v>
      </c>
      <c r="B622" s="2" t="s">
        <v>103</v>
      </c>
      <c r="C622" s="2" t="s">
        <v>1340</v>
      </c>
      <c r="D622" s="155" t="s">
        <v>1341</v>
      </c>
      <c r="E622" s="153"/>
      <c r="F622" s="2" t="s">
        <v>110</v>
      </c>
      <c r="G622" s="54">
        <v>692.75</v>
      </c>
      <c r="H622" s="84">
        <v>0</v>
      </c>
      <c r="I622" s="54">
        <f>G622*H622</f>
        <v>0</v>
      </c>
      <c r="J622" s="54">
        <v>4.0000000000000003E-5</v>
      </c>
      <c r="K622" s="54">
        <v>0</v>
      </c>
      <c r="L622" s="54">
        <f>G622*J622</f>
        <v>2.7710000000000002E-2</v>
      </c>
      <c r="M622" s="55" t="s">
        <v>111</v>
      </c>
      <c r="Z622" s="54">
        <f>IF(AQ622="5",BJ622,0)</f>
        <v>0</v>
      </c>
      <c r="AB622" s="54">
        <f>IF(AQ622="1",BH622,0)</f>
        <v>0</v>
      </c>
      <c r="AC622" s="54">
        <f>IF(AQ622="1",BI622,0)</f>
        <v>0</v>
      </c>
      <c r="AD622" s="54">
        <f>IF(AQ622="7",BH622,0)</f>
        <v>0</v>
      </c>
      <c r="AE622" s="54">
        <f>IF(AQ622="7",BI622,0)</f>
        <v>0</v>
      </c>
      <c r="AF622" s="54">
        <f>IF(AQ622="2",BH622,0)</f>
        <v>0</v>
      </c>
      <c r="AG622" s="54">
        <f>IF(AQ622="2",BI622,0)</f>
        <v>0</v>
      </c>
      <c r="AH622" s="54">
        <f>IF(AQ622="0",BJ622,0)</f>
        <v>0</v>
      </c>
      <c r="AI622" s="34" t="s">
        <v>103</v>
      </c>
      <c r="AJ622" s="54">
        <f>IF(AN622=0,I622,0)</f>
        <v>0</v>
      </c>
      <c r="AK622" s="54">
        <f>IF(AN622=12,I622,0)</f>
        <v>0</v>
      </c>
      <c r="AL622" s="54">
        <f>IF(AN622=21,I622,0)</f>
        <v>0</v>
      </c>
      <c r="AN622" s="54">
        <v>21</v>
      </c>
      <c r="AO622" s="54">
        <f>H622*0.014522293</f>
        <v>0</v>
      </c>
      <c r="AP622" s="54">
        <f>H622*(1-0.014522293)</f>
        <v>0</v>
      </c>
      <c r="AQ622" s="56" t="s">
        <v>107</v>
      </c>
      <c r="AV622" s="54">
        <f>AW622+AX622</f>
        <v>0</v>
      </c>
      <c r="AW622" s="54">
        <f>G622*AO622</f>
        <v>0</v>
      </c>
      <c r="AX622" s="54">
        <f>G622*AP622</f>
        <v>0</v>
      </c>
      <c r="AY622" s="56" t="s">
        <v>1342</v>
      </c>
      <c r="AZ622" s="56" t="s">
        <v>1343</v>
      </c>
      <c r="BA622" s="34" t="s">
        <v>114</v>
      </c>
      <c r="BC622" s="54">
        <f>AW622+AX622</f>
        <v>0</v>
      </c>
      <c r="BD622" s="54">
        <f>H622/(100-BE622)*100</f>
        <v>0</v>
      </c>
      <c r="BE622" s="54">
        <v>0</v>
      </c>
      <c r="BF622" s="54">
        <f>L622</f>
        <v>2.7710000000000002E-2</v>
      </c>
      <c r="BH622" s="54">
        <f>G622*AO622</f>
        <v>0</v>
      </c>
      <c r="BI622" s="54">
        <f>G622*AP622</f>
        <v>0</v>
      </c>
      <c r="BJ622" s="54">
        <f>G622*H622</f>
        <v>0</v>
      </c>
      <c r="BK622" s="54"/>
      <c r="BL622" s="54">
        <v>95</v>
      </c>
      <c r="BW622" s="54">
        <v>21</v>
      </c>
      <c r="BX622" s="3" t="s">
        <v>1341</v>
      </c>
    </row>
    <row r="623" spans="1:76" ht="14.5" x14ac:dyDescent="0.35">
      <c r="A623" s="57"/>
      <c r="D623" s="58" t="s">
        <v>1344</v>
      </c>
      <c r="E623" s="59" t="s">
        <v>1345</v>
      </c>
      <c r="G623" s="60">
        <v>692.75</v>
      </c>
      <c r="M623" s="61"/>
    </row>
    <row r="624" spans="1:76" ht="14.5" x14ac:dyDescent="0.35">
      <c r="A624" s="50" t="s">
        <v>10</v>
      </c>
      <c r="B624" s="51" t="s">
        <v>103</v>
      </c>
      <c r="C624" s="51" t="s">
        <v>693</v>
      </c>
      <c r="D624" s="206" t="s">
        <v>1347</v>
      </c>
      <c r="E624" s="207"/>
      <c r="F624" s="52" t="s">
        <v>84</v>
      </c>
      <c r="G624" s="52" t="s">
        <v>84</v>
      </c>
      <c r="H624" s="83" t="s">
        <v>84</v>
      </c>
      <c r="I624" s="27">
        <f>SUM(I625:I666)</f>
        <v>0</v>
      </c>
      <c r="J624" s="34" t="s">
        <v>10</v>
      </c>
      <c r="K624" s="34" t="s">
        <v>10</v>
      </c>
      <c r="L624" s="27">
        <f>SUM(L625:L666)</f>
        <v>19.20354661</v>
      </c>
      <c r="M624" s="53" t="s">
        <v>10</v>
      </c>
      <c r="AI624" s="34" t="s">
        <v>103</v>
      </c>
      <c r="AS624" s="27">
        <f>SUM(AJ625:AJ666)</f>
        <v>0</v>
      </c>
      <c r="AT624" s="27">
        <f>SUM(AK625:AK666)</f>
        <v>0</v>
      </c>
      <c r="AU624" s="27">
        <f>SUM(AL625:AL666)</f>
        <v>0</v>
      </c>
    </row>
    <row r="625" spans="1:76" ht="14.5" x14ac:dyDescent="0.35">
      <c r="A625" s="1" t="s">
        <v>1348</v>
      </c>
      <c r="B625" s="2" t="s">
        <v>103</v>
      </c>
      <c r="C625" s="2" t="s">
        <v>1349</v>
      </c>
      <c r="D625" s="155" t="s">
        <v>1350</v>
      </c>
      <c r="E625" s="153"/>
      <c r="F625" s="2" t="s">
        <v>196</v>
      </c>
      <c r="G625" s="54">
        <v>29</v>
      </c>
      <c r="H625" s="84">
        <v>0</v>
      </c>
      <c r="I625" s="54">
        <f>G625*H625</f>
        <v>0</v>
      </c>
      <c r="J625" s="54">
        <v>0</v>
      </c>
      <c r="K625" s="54">
        <v>0</v>
      </c>
      <c r="L625" s="54">
        <f>G625*J625</f>
        <v>0</v>
      </c>
      <c r="M625" s="55" t="s">
        <v>111</v>
      </c>
      <c r="Z625" s="54">
        <f>IF(AQ625="5",BJ625,0)</f>
        <v>0</v>
      </c>
      <c r="AB625" s="54">
        <f>IF(AQ625="1",BH625,0)</f>
        <v>0</v>
      </c>
      <c r="AC625" s="54">
        <f>IF(AQ625="1",BI625,0)</f>
        <v>0</v>
      </c>
      <c r="AD625" s="54">
        <f>IF(AQ625="7",BH625,0)</f>
        <v>0</v>
      </c>
      <c r="AE625" s="54">
        <f>IF(AQ625="7",BI625,0)</f>
        <v>0</v>
      </c>
      <c r="AF625" s="54">
        <f>IF(AQ625="2",BH625,0)</f>
        <v>0</v>
      </c>
      <c r="AG625" s="54">
        <f>IF(AQ625="2",BI625,0)</f>
        <v>0</v>
      </c>
      <c r="AH625" s="54">
        <f>IF(AQ625="0",BJ625,0)</f>
        <v>0</v>
      </c>
      <c r="AI625" s="34" t="s">
        <v>103</v>
      </c>
      <c r="AJ625" s="54">
        <f>IF(AN625=0,I625,0)</f>
        <v>0</v>
      </c>
      <c r="AK625" s="54">
        <f>IF(AN625=12,I625,0)</f>
        <v>0</v>
      </c>
      <c r="AL625" s="54">
        <f>IF(AN625=21,I625,0)</f>
        <v>0</v>
      </c>
      <c r="AN625" s="54">
        <v>21</v>
      </c>
      <c r="AO625" s="54">
        <f>H625*0</f>
        <v>0</v>
      </c>
      <c r="AP625" s="54">
        <f>H625*(1-0)</f>
        <v>0</v>
      </c>
      <c r="AQ625" s="56" t="s">
        <v>107</v>
      </c>
      <c r="AV625" s="54">
        <f>AW625+AX625</f>
        <v>0</v>
      </c>
      <c r="AW625" s="54">
        <f>G625*AO625</f>
        <v>0</v>
      </c>
      <c r="AX625" s="54">
        <f>G625*AP625</f>
        <v>0</v>
      </c>
      <c r="AY625" s="56" t="s">
        <v>1351</v>
      </c>
      <c r="AZ625" s="56" t="s">
        <v>1343</v>
      </c>
      <c r="BA625" s="34" t="s">
        <v>114</v>
      </c>
      <c r="BC625" s="54">
        <f>AW625+AX625</f>
        <v>0</v>
      </c>
      <c r="BD625" s="54">
        <f>H625/(100-BE625)*100</f>
        <v>0</v>
      </c>
      <c r="BE625" s="54">
        <v>0</v>
      </c>
      <c r="BF625" s="54">
        <f>L625</f>
        <v>0</v>
      </c>
      <c r="BH625" s="54">
        <f>G625*AO625</f>
        <v>0</v>
      </c>
      <c r="BI625" s="54">
        <f>G625*AP625</f>
        <v>0</v>
      </c>
      <c r="BJ625" s="54">
        <f>G625*H625</f>
        <v>0</v>
      </c>
      <c r="BK625" s="54"/>
      <c r="BL625" s="54">
        <v>96</v>
      </c>
      <c r="BW625" s="54">
        <v>21</v>
      </c>
      <c r="BX625" s="3" t="s">
        <v>1350</v>
      </c>
    </row>
    <row r="626" spans="1:76" ht="14.5" x14ac:dyDescent="0.35">
      <c r="A626" s="57"/>
      <c r="D626" s="58" t="s">
        <v>922</v>
      </c>
      <c r="E626" s="59" t="s">
        <v>943</v>
      </c>
      <c r="G626" s="60">
        <v>29</v>
      </c>
      <c r="M626" s="61"/>
    </row>
    <row r="627" spans="1:76" ht="14.5" x14ac:dyDescent="0.35">
      <c r="A627" s="1" t="s">
        <v>1353</v>
      </c>
      <c r="B627" s="2" t="s">
        <v>103</v>
      </c>
      <c r="C627" s="2" t="s">
        <v>1354</v>
      </c>
      <c r="D627" s="155" t="s">
        <v>1355</v>
      </c>
      <c r="E627" s="153"/>
      <c r="F627" s="2" t="s">
        <v>110</v>
      </c>
      <c r="G627" s="54">
        <v>156.82900000000001</v>
      </c>
      <c r="H627" s="84">
        <v>0</v>
      </c>
      <c r="I627" s="54">
        <f>G627*H627</f>
        <v>0</v>
      </c>
      <c r="J627" s="54">
        <v>1.26E-2</v>
      </c>
      <c r="K627" s="54">
        <v>1.26E-2</v>
      </c>
      <c r="L627" s="54">
        <f>G627*J627</f>
        <v>1.9760454000000001</v>
      </c>
      <c r="M627" s="55" t="s">
        <v>111</v>
      </c>
      <c r="Z627" s="54">
        <f>IF(AQ627="5",BJ627,0)</f>
        <v>0</v>
      </c>
      <c r="AB627" s="54">
        <f>IF(AQ627="1",BH627,0)</f>
        <v>0</v>
      </c>
      <c r="AC627" s="54">
        <f>IF(AQ627="1",BI627,0)</f>
        <v>0</v>
      </c>
      <c r="AD627" s="54">
        <f>IF(AQ627="7",BH627,0)</f>
        <v>0</v>
      </c>
      <c r="AE627" s="54">
        <f>IF(AQ627="7",BI627,0)</f>
        <v>0</v>
      </c>
      <c r="AF627" s="54">
        <f>IF(AQ627="2",BH627,0)</f>
        <v>0</v>
      </c>
      <c r="AG627" s="54">
        <f>IF(AQ627="2",BI627,0)</f>
        <v>0</v>
      </c>
      <c r="AH627" s="54">
        <f>IF(AQ627="0",BJ627,0)</f>
        <v>0</v>
      </c>
      <c r="AI627" s="34" t="s">
        <v>103</v>
      </c>
      <c r="AJ627" s="54">
        <f>IF(AN627=0,I627,0)</f>
        <v>0</v>
      </c>
      <c r="AK627" s="54">
        <f>IF(AN627=12,I627,0)</f>
        <v>0</v>
      </c>
      <c r="AL627" s="54">
        <f>IF(AN627=21,I627,0)</f>
        <v>0</v>
      </c>
      <c r="AN627" s="54">
        <v>21</v>
      </c>
      <c r="AO627" s="54">
        <f>H627*0</f>
        <v>0</v>
      </c>
      <c r="AP627" s="54">
        <f>H627*(1-0)</f>
        <v>0</v>
      </c>
      <c r="AQ627" s="56" t="s">
        <v>107</v>
      </c>
      <c r="AV627" s="54">
        <f>AW627+AX627</f>
        <v>0</v>
      </c>
      <c r="AW627" s="54">
        <f>G627*AO627</f>
        <v>0</v>
      </c>
      <c r="AX627" s="54">
        <f>G627*AP627</f>
        <v>0</v>
      </c>
      <c r="AY627" s="56" t="s">
        <v>1351</v>
      </c>
      <c r="AZ627" s="56" t="s">
        <v>1343</v>
      </c>
      <c r="BA627" s="34" t="s">
        <v>114</v>
      </c>
      <c r="BC627" s="54">
        <f>AW627+AX627</f>
        <v>0</v>
      </c>
      <c r="BD627" s="54">
        <f>H627/(100-BE627)*100</f>
        <v>0</v>
      </c>
      <c r="BE627" s="54">
        <v>0</v>
      </c>
      <c r="BF627" s="54">
        <f>L627</f>
        <v>1.9760454000000001</v>
      </c>
      <c r="BH627" s="54">
        <f>G627*AO627</f>
        <v>0</v>
      </c>
      <c r="BI627" s="54">
        <f>G627*AP627</f>
        <v>0</v>
      </c>
      <c r="BJ627" s="54">
        <f>G627*H627</f>
        <v>0</v>
      </c>
      <c r="BK627" s="54"/>
      <c r="BL627" s="54">
        <v>96</v>
      </c>
      <c r="BW627" s="54">
        <v>21</v>
      </c>
      <c r="BX627" s="3" t="s">
        <v>1355</v>
      </c>
    </row>
    <row r="628" spans="1:76" ht="14.5" x14ac:dyDescent="0.35">
      <c r="A628" s="57"/>
      <c r="D628" s="58" t="s">
        <v>208</v>
      </c>
      <c r="E628" s="59" t="s">
        <v>1356</v>
      </c>
      <c r="G628" s="60">
        <v>0</v>
      </c>
      <c r="M628" s="61"/>
    </row>
    <row r="629" spans="1:76" ht="14.5" x14ac:dyDescent="0.35">
      <c r="A629" s="57"/>
      <c r="D629" s="58" t="s">
        <v>1077</v>
      </c>
      <c r="E629" s="59" t="s">
        <v>1357</v>
      </c>
      <c r="G629" s="60">
        <v>51.12</v>
      </c>
      <c r="M629" s="61"/>
    </row>
    <row r="630" spans="1:76" ht="14.5" x14ac:dyDescent="0.35">
      <c r="A630" s="57"/>
      <c r="D630" s="58" t="s">
        <v>1358</v>
      </c>
      <c r="E630" s="59" t="s">
        <v>1359</v>
      </c>
      <c r="G630" s="60">
        <v>77.304000000000002</v>
      </c>
      <c r="M630" s="61"/>
    </row>
    <row r="631" spans="1:76" ht="14.5" x14ac:dyDescent="0.35">
      <c r="A631" s="57"/>
      <c r="D631" s="58" t="s">
        <v>1360</v>
      </c>
      <c r="E631" s="59" t="s">
        <v>1361</v>
      </c>
      <c r="G631" s="60">
        <v>4</v>
      </c>
      <c r="M631" s="61"/>
    </row>
    <row r="632" spans="1:76" ht="14.5" x14ac:dyDescent="0.35">
      <c r="A632" s="57"/>
      <c r="D632" s="58" t="s">
        <v>208</v>
      </c>
      <c r="E632" s="59" t="s">
        <v>1362</v>
      </c>
      <c r="G632" s="60">
        <v>0</v>
      </c>
      <c r="M632" s="61"/>
    </row>
    <row r="633" spans="1:76" ht="14.5" x14ac:dyDescent="0.35">
      <c r="A633" s="57"/>
      <c r="D633" s="58" t="s">
        <v>1363</v>
      </c>
      <c r="E633" s="59" t="s">
        <v>1364</v>
      </c>
      <c r="G633" s="60">
        <v>4.5199999999999996</v>
      </c>
      <c r="M633" s="61"/>
    </row>
    <row r="634" spans="1:76" ht="14.5" x14ac:dyDescent="0.35">
      <c r="A634" s="57"/>
      <c r="D634" s="58" t="s">
        <v>1365</v>
      </c>
      <c r="E634" s="59" t="s">
        <v>1366</v>
      </c>
      <c r="G634" s="60">
        <v>11.27</v>
      </c>
      <c r="M634" s="61"/>
    </row>
    <row r="635" spans="1:76" ht="14.5" x14ac:dyDescent="0.35">
      <c r="A635" s="57"/>
      <c r="D635" s="58" t="s">
        <v>1367</v>
      </c>
      <c r="E635" s="59" t="s">
        <v>1368</v>
      </c>
      <c r="G635" s="60">
        <v>8.6150000000000002</v>
      </c>
      <c r="M635" s="61"/>
    </row>
    <row r="636" spans="1:76" ht="14.5" x14ac:dyDescent="0.35">
      <c r="A636" s="1" t="s">
        <v>1370</v>
      </c>
      <c r="B636" s="2" t="s">
        <v>103</v>
      </c>
      <c r="C636" s="2" t="s">
        <v>1371</v>
      </c>
      <c r="D636" s="155" t="s">
        <v>1372</v>
      </c>
      <c r="E636" s="153"/>
      <c r="F636" s="2" t="s">
        <v>110</v>
      </c>
      <c r="G636" s="54">
        <v>335.07799999999997</v>
      </c>
      <c r="H636" s="84">
        <v>0</v>
      </c>
      <c r="I636" s="54">
        <f>G636*H636</f>
        <v>0</v>
      </c>
      <c r="J636" s="54">
        <v>2.5200000000000001E-3</v>
      </c>
      <c r="K636" s="54">
        <v>2.5200000000000001E-3</v>
      </c>
      <c r="L636" s="54">
        <f>G636*J636</f>
        <v>0.84439655999999996</v>
      </c>
      <c r="M636" s="55" t="s">
        <v>111</v>
      </c>
      <c r="Z636" s="54">
        <f>IF(AQ636="5",BJ636,0)</f>
        <v>0</v>
      </c>
      <c r="AB636" s="54">
        <f>IF(AQ636="1",BH636,0)</f>
        <v>0</v>
      </c>
      <c r="AC636" s="54">
        <f>IF(AQ636="1",BI636,0)</f>
        <v>0</v>
      </c>
      <c r="AD636" s="54">
        <f>IF(AQ636="7",BH636,0)</f>
        <v>0</v>
      </c>
      <c r="AE636" s="54">
        <f>IF(AQ636="7",BI636,0)</f>
        <v>0</v>
      </c>
      <c r="AF636" s="54">
        <f>IF(AQ636="2",BH636,0)</f>
        <v>0</v>
      </c>
      <c r="AG636" s="54">
        <f>IF(AQ636="2",BI636,0)</f>
        <v>0</v>
      </c>
      <c r="AH636" s="54">
        <f>IF(AQ636="0",BJ636,0)</f>
        <v>0</v>
      </c>
      <c r="AI636" s="34" t="s">
        <v>103</v>
      </c>
      <c r="AJ636" s="54">
        <f>IF(AN636=0,I636,0)</f>
        <v>0</v>
      </c>
      <c r="AK636" s="54">
        <f>IF(AN636=12,I636,0)</f>
        <v>0</v>
      </c>
      <c r="AL636" s="54">
        <f>IF(AN636=21,I636,0)</f>
        <v>0</v>
      </c>
      <c r="AN636" s="54">
        <v>21</v>
      </c>
      <c r="AO636" s="54">
        <f>H636*0</f>
        <v>0</v>
      </c>
      <c r="AP636" s="54">
        <f>H636*(1-0)</f>
        <v>0</v>
      </c>
      <c r="AQ636" s="56" t="s">
        <v>107</v>
      </c>
      <c r="AV636" s="54">
        <f>AW636+AX636</f>
        <v>0</v>
      </c>
      <c r="AW636" s="54">
        <f>G636*AO636</f>
        <v>0</v>
      </c>
      <c r="AX636" s="54">
        <f>G636*AP636</f>
        <v>0</v>
      </c>
      <c r="AY636" s="56" t="s">
        <v>1351</v>
      </c>
      <c r="AZ636" s="56" t="s">
        <v>1343</v>
      </c>
      <c r="BA636" s="34" t="s">
        <v>114</v>
      </c>
      <c r="BC636" s="54">
        <f>AW636+AX636</f>
        <v>0</v>
      </c>
      <c r="BD636" s="54">
        <f>H636/(100-BE636)*100</f>
        <v>0</v>
      </c>
      <c r="BE636" s="54">
        <v>0</v>
      </c>
      <c r="BF636" s="54">
        <f>L636</f>
        <v>0.84439655999999996</v>
      </c>
      <c r="BH636" s="54">
        <f>G636*AO636</f>
        <v>0</v>
      </c>
      <c r="BI636" s="54">
        <f>G636*AP636</f>
        <v>0</v>
      </c>
      <c r="BJ636" s="54">
        <f>G636*H636</f>
        <v>0</v>
      </c>
      <c r="BK636" s="54"/>
      <c r="BL636" s="54">
        <v>96</v>
      </c>
      <c r="BW636" s="54">
        <v>21</v>
      </c>
      <c r="BX636" s="3" t="s">
        <v>1372</v>
      </c>
    </row>
    <row r="637" spans="1:76" ht="14.5" x14ac:dyDescent="0.35">
      <c r="A637" s="57"/>
      <c r="D637" s="58" t="s">
        <v>10</v>
      </c>
      <c r="E637" s="59" t="s">
        <v>1356</v>
      </c>
      <c r="G637" s="60">
        <v>0</v>
      </c>
      <c r="M637" s="61"/>
    </row>
    <row r="638" spans="1:76" ht="14.5" x14ac:dyDescent="0.35">
      <c r="A638" s="57"/>
      <c r="D638" s="58" t="s">
        <v>1374</v>
      </c>
      <c r="E638" s="59" t="s">
        <v>1375</v>
      </c>
      <c r="G638" s="60">
        <v>51.12</v>
      </c>
      <c r="M638" s="61"/>
    </row>
    <row r="639" spans="1:76" ht="14.5" x14ac:dyDescent="0.35">
      <c r="A639" s="57"/>
      <c r="D639" s="58" t="s">
        <v>1376</v>
      </c>
      <c r="E639" s="59" t="s">
        <v>1377</v>
      </c>
      <c r="G639" s="60">
        <v>154.608</v>
      </c>
      <c r="M639" s="61"/>
    </row>
    <row r="640" spans="1:76" ht="14.5" x14ac:dyDescent="0.35">
      <c r="A640" s="57"/>
      <c r="D640" s="58" t="s">
        <v>1378</v>
      </c>
      <c r="E640" s="59" t="s">
        <v>1379</v>
      </c>
      <c r="G640" s="60">
        <v>8</v>
      </c>
      <c r="M640" s="61"/>
    </row>
    <row r="641" spans="1:76" ht="14.5" x14ac:dyDescent="0.35">
      <c r="A641" s="57"/>
      <c r="D641" s="58" t="s">
        <v>10</v>
      </c>
      <c r="E641" s="59" t="s">
        <v>1362</v>
      </c>
      <c r="G641" s="60">
        <v>0</v>
      </c>
      <c r="M641" s="61"/>
    </row>
    <row r="642" spans="1:76" ht="14.5" x14ac:dyDescent="0.35">
      <c r="A642" s="57"/>
      <c r="D642" s="58" t="s">
        <v>1380</v>
      </c>
      <c r="E642" s="59" t="s">
        <v>1381</v>
      </c>
      <c r="G642" s="60">
        <v>22.6</v>
      </c>
      <c r="M642" s="61"/>
    </row>
    <row r="643" spans="1:76" ht="14.5" x14ac:dyDescent="0.35">
      <c r="A643" s="57"/>
      <c r="D643" s="58" t="s">
        <v>1382</v>
      </c>
      <c r="E643" s="59" t="s">
        <v>1383</v>
      </c>
      <c r="G643" s="60">
        <v>56</v>
      </c>
      <c r="M643" s="61"/>
    </row>
    <row r="644" spans="1:76" ht="14.5" x14ac:dyDescent="0.35">
      <c r="A644" s="57"/>
      <c r="D644" s="58" t="s">
        <v>1384</v>
      </c>
      <c r="E644" s="59" t="s">
        <v>1385</v>
      </c>
      <c r="G644" s="60">
        <v>42.75</v>
      </c>
      <c r="M644" s="61"/>
    </row>
    <row r="645" spans="1:76" ht="14.5" x14ac:dyDescent="0.35">
      <c r="A645" s="1" t="s">
        <v>1386</v>
      </c>
      <c r="B645" s="2" t="s">
        <v>103</v>
      </c>
      <c r="C645" s="2" t="s">
        <v>1387</v>
      </c>
      <c r="D645" s="155" t="s">
        <v>1388</v>
      </c>
      <c r="E645" s="153"/>
      <c r="F645" s="2" t="s">
        <v>153</v>
      </c>
      <c r="G645" s="54">
        <v>94.95</v>
      </c>
      <c r="H645" s="84">
        <v>0</v>
      </c>
      <c r="I645" s="54">
        <f>G645*H645</f>
        <v>0</v>
      </c>
      <c r="J645" s="54">
        <v>4.0000000000000002E-4</v>
      </c>
      <c r="K645" s="54">
        <v>4.0000000000000002E-4</v>
      </c>
      <c r="L645" s="54">
        <f>G645*J645</f>
        <v>3.798E-2</v>
      </c>
      <c r="M645" s="55" t="s">
        <v>111</v>
      </c>
      <c r="Z645" s="54">
        <f>IF(AQ645="5",BJ645,0)</f>
        <v>0</v>
      </c>
      <c r="AB645" s="54">
        <f>IF(AQ645="1",BH645,0)</f>
        <v>0</v>
      </c>
      <c r="AC645" s="54">
        <f>IF(AQ645="1",BI645,0)</f>
        <v>0</v>
      </c>
      <c r="AD645" s="54">
        <f>IF(AQ645="7",BH645,0)</f>
        <v>0</v>
      </c>
      <c r="AE645" s="54">
        <f>IF(AQ645="7",BI645,0)</f>
        <v>0</v>
      </c>
      <c r="AF645" s="54">
        <f>IF(AQ645="2",BH645,0)</f>
        <v>0</v>
      </c>
      <c r="AG645" s="54">
        <f>IF(AQ645="2",BI645,0)</f>
        <v>0</v>
      </c>
      <c r="AH645" s="54">
        <f>IF(AQ645="0",BJ645,0)</f>
        <v>0</v>
      </c>
      <c r="AI645" s="34" t="s">
        <v>103</v>
      </c>
      <c r="AJ645" s="54">
        <f>IF(AN645=0,I645,0)</f>
        <v>0</v>
      </c>
      <c r="AK645" s="54">
        <f>IF(AN645=12,I645,0)</f>
        <v>0</v>
      </c>
      <c r="AL645" s="54">
        <f>IF(AN645=21,I645,0)</f>
        <v>0</v>
      </c>
      <c r="AN645" s="54">
        <v>21</v>
      </c>
      <c r="AO645" s="54">
        <f>H645*0</f>
        <v>0</v>
      </c>
      <c r="AP645" s="54">
        <f>H645*(1-0)</f>
        <v>0</v>
      </c>
      <c r="AQ645" s="56" t="s">
        <v>107</v>
      </c>
      <c r="AV645" s="54">
        <f>AW645+AX645</f>
        <v>0</v>
      </c>
      <c r="AW645" s="54">
        <f>G645*AO645</f>
        <v>0</v>
      </c>
      <c r="AX645" s="54">
        <f>G645*AP645</f>
        <v>0</v>
      </c>
      <c r="AY645" s="56" t="s">
        <v>1351</v>
      </c>
      <c r="AZ645" s="56" t="s">
        <v>1343</v>
      </c>
      <c r="BA645" s="34" t="s">
        <v>114</v>
      </c>
      <c r="BC645" s="54">
        <f>AW645+AX645</f>
        <v>0</v>
      </c>
      <c r="BD645" s="54">
        <f>H645/(100-BE645)*100</f>
        <v>0</v>
      </c>
      <c r="BE645" s="54">
        <v>0</v>
      </c>
      <c r="BF645" s="54">
        <f>L645</f>
        <v>3.798E-2</v>
      </c>
      <c r="BH645" s="54">
        <f>G645*AO645</f>
        <v>0</v>
      </c>
      <c r="BI645" s="54">
        <f>G645*AP645</f>
        <v>0</v>
      </c>
      <c r="BJ645" s="54">
        <f>G645*H645</f>
        <v>0</v>
      </c>
      <c r="BK645" s="54"/>
      <c r="BL645" s="54">
        <v>96</v>
      </c>
      <c r="BW645" s="54">
        <v>21</v>
      </c>
      <c r="BX645" s="3" t="s">
        <v>1388</v>
      </c>
    </row>
    <row r="646" spans="1:76" ht="14.5" x14ac:dyDescent="0.35">
      <c r="A646" s="57"/>
      <c r="D646" s="58" t="s">
        <v>208</v>
      </c>
      <c r="E646" s="59" t="s">
        <v>1389</v>
      </c>
      <c r="G646" s="60">
        <v>0</v>
      </c>
      <c r="M646" s="61"/>
    </row>
    <row r="647" spans="1:76" ht="14.5" x14ac:dyDescent="0.35">
      <c r="A647" s="57"/>
      <c r="D647" s="58" t="s">
        <v>1004</v>
      </c>
      <c r="E647" s="59" t="s">
        <v>1390</v>
      </c>
      <c r="G647" s="60">
        <v>60.86</v>
      </c>
      <c r="M647" s="61"/>
    </row>
    <row r="648" spans="1:76" ht="14.5" x14ac:dyDescent="0.35">
      <c r="A648" s="57"/>
      <c r="D648" s="58" t="s">
        <v>1006</v>
      </c>
      <c r="E648" s="59" t="s">
        <v>1007</v>
      </c>
      <c r="G648" s="60">
        <v>20.190000000000001</v>
      </c>
      <c r="M648" s="61"/>
    </row>
    <row r="649" spans="1:76" ht="14.5" x14ac:dyDescent="0.35">
      <c r="A649" s="57"/>
      <c r="D649" s="58" t="s">
        <v>1008</v>
      </c>
      <c r="E649" s="59" t="s">
        <v>1009</v>
      </c>
      <c r="G649" s="60">
        <v>13.9</v>
      </c>
      <c r="M649" s="61"/>
    </row>
    <row r="650" spans="1:76" ht="14.5" x14ac:dyDescent="0.35">
      <c r="A650" s="1" t="s">
        <v>1392</v>
      </c>
      <c r="B650" s="2" t="s">
        <v>103</v>
      </c>
      <c r="C650" s="2" t="s">
        <v>1393</v>
      </c>
      <c r="D650" s="155" t="s">
        <v>1394</v>
      </c>
      <c r="E650" s="153"/>
      <c r="F650" s="2" t="s">
        <v>110</v>
      </c>
      <c r="G650" s="54">
        <v>129.86000000000001</v>
      </c>
      <c r="H650" s="84">
        <v>0</v>
      </c>
      <c r="I650" s="54">
        <f>G650*H650</f>
        <v>0</v>
      </c>
      <c r="J650" s="54">
        <v>0.02</v>
      </c>
      <c r="K650" s="54">
        <v>0.02</v>
      </c>
      <c r="L650" s="54">
        <f>G650*J650</f>
        <v>2.5972000000000004</v>
      </c>
      <c r="M650" s="55" t="s">
        <v>111</v>
      </c>
      <c r="Z650" s="54">
        <f>IF(AQ650="5",BJ650,0)</f>
        <v>0</v>
      </c>
      <c r="AB650" s="54">
        <f>IF(AQ650="1",BH650,0)</f>
        <v>0</v>
      </c>
      <c r="AC650" s="54">
        <f>IF(AQ650="1",BI650,0)</f>
        <v>0</v>
      </c>
      <c r="AD650" s="54">
        <f>IF(AQ650="7",BH650,0)</f>
        <v>0</v>
      </c>
      <c r="AE650" s="54">
        <f>IF(AQ650="7",BI650,0)</f>
        <v>0</v>
      </c>
      <c r="AF650" s="54">
        <f>IF(AQ650="2",BH650,0)</f>
        <v>0</v>
      </c>
      <c r="AG650" s="54">
        <f>IF(AQ650="2",BI650,0)</f>
        <v>0</v>
      </c>
      <c r="AH650" s="54">
        <f>IF(AQ650="0",BJ650,0)</f>
        <v>0</v>
      </c>
      <c r="AI650" s="34" t="s">
        <v>103</v>
      </c>
      <c r="AJ650" s="54">
        <f>IF(AN650=0,I650,0)</f>
        <v>0</v>
      </c>
      <c r="AK650" s="54">
        <f>IF(AN650=12,I650,0)</f>
        <v>0</v>
      </c>
      <c r="AL650" s="54">
        <f>IF(AN650=21,I650,0)</f>
        <v>0</v>
      </c>
      <c r="AN650" s="54">
        <v>21</v>
      </c>
      <c r="AO650" s="54">
        <f>H650*0</f>
        <v>0</v>
      </c>
      <c r="AP650" s="54">
        <f>H650*(1-0)</f>
        <v>0</v>
      </c>
      <c r="AQ650" s="56" t="s">
        <v>107</v>
      </c>
      <c r="AV650" s="54">
        <f>AW650+AX650</f>
        <v>0</v>
      </c>
      <c r="AW650" s="54">
        <f>G650*AO650</f>
        <v>0</v>
      </c>
      <c r="AX650" s="54">
        <f>G650*AP650</f>
        <v>0</v>
      </c>
      <c r="AY650" s="56" t="s">
        <v>1351</v>
      </c>
      <c r="AZ650" s="56" t="s">
        <v>1343</v>
      </c>
      <c r="BA650" s="34" t="s">
        <v>114</v>
      </c>
      <c r="BC650" s="54">
        <f>AW650+AX650</f>
        <v>0</v>
      </c>
      <c r="BD650" s="54">
        <f>H650/(100-BE650)*100</f>
        <v>0</v>
      </c>
      <c r="BE650" s="54">
        <v>0</v>
      </c>
      <c r="BF650" s="54">
        <f>L650</f>
        <v>2.5972000000000004</v>
      </c>
      <c r="BH650" s="54">
        <f>G650*AO650</f>
        <v>0</v>
      </c>
      <c r="BI650" s="54">
        <f>G650*AP650</f>
        <v>0</v>
      </c>
      <c r="BJ650" s="54">
        <f>G650*H650</f>
        <v>0</v>
      </c>
      <c r="BK650" s="54"/>
      <c r="BL650" s="54">
        <v>96</v>
      </c>
      <c r="BW650" s="54">
        <v>21</v>
      </c>
      <c r="BX650" s="3" t="s">
        <v>1394</v>
      </c>
    </row>
    <row r="651" spans="1:76" ht="14.5" x14ac:dyDescent="0.35">
      <c r="A651" s="57"/>
      <c r="D651" s="58" t="s">
        <v>208</v>
      </c>
      <c r="E651" s="59" t="s">
        <v>1389</v>
      </c>
      <c r="G651" s="60">
        <v>0</v>
      </c>
      <c r="M651" s="61"/>
    </row>
    <row r="652" spans="1:76" ht="14.5" x14ac:dyDescent="0.35">
      <c r="A652" s="57"/>
      <c r="D652" s="58" t="s">
        <v>996</v>
      </c>
      <c r="E652" s="59" t="s">
        <v>1396</v>
      </c>
      <c r="G652" s="60">
        <v>88.58</v>
      </c>
      <c r="M652" s="61"/>
    </row>
    <row r="653" spans="1:76" ht="14.5" x14ac:dyDescent="0.35">
      <c r="A653" s="57"/>
      <c r="D653" s="58" t="s">
        <v>336</v>
      </c>
      <c r="E653" s="59" t="s">
        <v>337</v>
      </c>
      <c r="G653" s="60">
        <v>22.54</v>
      </c>
      <c r="M653" s="61"/>
    </row>
    <row r="654" spans="1:76" ht="14.5" x14ac:dyDescent="0.35">
      <c r="A654" s="57"/>
      <c r="D654" s="58" t="s">
        <v>338</v>
      </c>
      <c r="E654" s="59" t="s">
        <v>339</v>
      </c>
      <c r="G654" s="60">
        <v>17.23</v>
      </c>
      <c r="M654" s="61"/>
    </row>
    <row r="655" spans="1:76" ht="14.5" x14ac:dyDescent="0.35">
      <c r="A655" s="57"/>
      <c r="D655" s="58" t="s">
        <v>341</v>
      </c>
      <c r="E655" s="59" t="s">
        <v>342</v>
      </c>
      <c r="G655" s="60">
        <v>1.51</v>
      </c>
      <c r="M655" s="61"/>
    </row>
    <row r="656" spans="1:76" ht="14.5" x14ac:dyDescent="0.35">
      <c r="A656" s="1" t="s">
        <v>1398</v>
      </c>
      <c r="B656" s="2" t="s">
        <v>103</v>
      </c>
      <c r="C656" s="2" t="s">
        <v>1399</v>
      </c>
      <c r="D656" s="155" t="s">
        <v>1400</v>
      </c>
      <c r="E656" s="153"/>
      <c r="F656" s="2" t="s">
        <v>110</v>
      </c>
      <c r="G656" s="54">
        <v>811.08699999999999</v>
      </c>
      <c r="H656" s="84">
        <v>0</v>
      </c>
      <c r="I656" s="54">
        <f>G656*H656</f>
        <v>0</v>
      </c>
      <c r="J656" s="54">
        <v>1.695E-2</v>
      </c>
      <c r="K656" s="54">
        <v>1.695E-2</v>
      </c>
      <c r="L656" s="54">
        <f>G656*J656</f>
        <v>13.74792465</v>
      </c>
      <c r="M656" s="55" t="s">
        <v>111</v>
      </c>
      <c r="Z656" s="54">
        <f>IF(AQ656="5",BJ656,0)</f>
        <v>0</v>
      </c>
      <c r="AB656" s="54">
        <f>IF(AQ656="1",BH656,0)</f>
        <v>0</v>
      </c>
      <c r="AC656" s="54">
        <f>IF(AQ656="1",BI656,0)</f>
        <v>0</v>
      </c>
      <c r="AD656" s="54">
        <f>IF(AQ656="7",BH656,0)</f>
        <v>0</v>
      </c>
      <c r="AE656" s="54">
        <f>IF(AQ656="7",BI656,0)</f>
        <v>0</v>
      </c>
      <c r="AF656" s="54">
        <f>IF(AQ656="2",BH656,0)</f>
        <v>0</v>
      </c>
      <c r="AG656" s="54">
        <f>IF(AQ656="2",BI656,0)</f>
        <v>0</v>
      </c>
      <c r="AH656" s="54">
        <f>IF(AQ656="0",BJ656,0)</f>
        <v>0</v>
      </c>
      <c r="AI656" s="34" t="s">
        <v>103</v>
      </c>
      <c r="AJ656" s="54">
        <f>IF(AN656=0,I656,0)</f>
        <v>0</v>
      </c>
      <c r="AK656" s="54">
        <f>IF(AN656=12,I656,0)</f>
        <v>0</v>
      </c>
      <c r="AL656" s="54">
        <f>IF(AN656=21,I656,0)</f>
        <v>0</v>
      </c>
      <c r="AN656" s="54">
        <v>21</v>
      </c>
      <c r="AO656" s="54">
        <f>H656*0</f>
        <v>0</v>
      </c>
      <c r="AP656" s="54">
        <f>H656*(1-0)</f>
        <v>0</v>
      </c>
      <c r="AQ656" s="56" t="s">
        <v>107</v>
      </c>
      <c r="AV656" s="54">
        <f>AW656+AX656</f>
        <v>0</v>
      </c>
      <c r="AW656" s="54">
        <f>G656*AO656</f>
        <v>0</v>
      </c>
      <c r="AX656" s="54">
        <f>G656*AP656</f>
        <v>0</v>
      </c>
      <c r="AY656" s="56" t="s">
        <v>1351</v>
      </c>
      <c r="AZ656" s="56" t="s">
        <v>1343</v>
      </c>
      <c r="BA656" s="34" t="s">
        <v>114</v>
      </c>
      <c r="BC656" s="54">
        <f>AW656+AX656</f>
        <v>0</v>
      </c>
      <c r="BD656" s="54">
        <f>H656/(100-BE656)*100</f>
        <v>0</v>
      </c>
      <c r="BE656" s="54">
        <v>0</v>
      </c>
      <c r="BF656" s="54">
        <f>L656</f>
        <v>13.74792465</v>
      </c>
      <c r="BH656" s="54">
        <f>G656*AO656</f>
        <v>0</v>
      </c>
      <c r="BI656" s="54">
        <f>G656*AP656</f>
        <v>0</v>
      </c>
      <c r="BJ656" s="54">
        <f>G656*H656</f>
        <v>0</v>
      </c>
      <c r="BK656" s="54"/>
      <c r="BL656" s="54">
        <v>96</v>
      </c>
      <c r="BW656" s="54">
        <v>21</v>
      </c>
      <c r="BX656" s="3" t="s">
        <v>1400</v>
      </c>
    </row>
    <row r="657" spans="1:76" ht="14.5" x14ac:dyDescent="0.35">
      <c r="A657" s="57"/>
      <c r="D657" s="58" t="s">
        <v>1402</v>
      </c>
      <c r="E657" s="59" t="s">
        <v>1403</v>
      </c>
      <c r="G657" s="60">
        <v>9.1</v>
      </c>
      <c r="M657" s="61"/>
    </row>
    <row r="658" spans="1:76" ht="14.5" x14ac:dyDescent="0.35">
      <c r="A658" s="57"/>
      <c r="D658" s="58" t="s">
        <v>1404</v>
      </c>
      <c r="E658" s="59" t="s">
        <v>1405</v>
      </c>
      <c r="G658" s="60">
        <v>7.59</v>
      </c>
      <c r="M658" s="61"/>
    </row>
    <row r="659" spans="1:76" ht="14.5" x14ac:dyDescent="0.35">
      <c r="A659" s="57"/>
      <c r="D659" s="58" t="s">
        <v>1406</v>
      </c>
      <c r="E659" s="59" t="s">
        <v>1407</v>
      </c>
      <c r="G659" s="60">
        <v>9.89</v>
      </c>
      <c r="M659" s="61"/>
    </row>
    <row r="660" spans="1:76" ht="14.5" x14ac:dyDescent="0.35">
      <c r="A660" s="57"/>
      <c r="D660" s="58" t="s">
        <v>1408</v>
      </c>
      <c r="E660" s="59" t="s">
        <v>1409</v>
      </c>
      <c r="G660" s="60">
        <v>4.048</v>
      </c>
      <c r="M660" s="61"/>
    </row>
    <row r="661" spans="1:76" ht="14.5" x14ac:dyDescent="0.35">
      <c r="A661" s="57"/>
      <c r="D661" s="58" t="s">
        <v>1410</v>
      </c>
      <c r="E661" s="59" t="s">
        <v>1411</v>
      </c>
      <c r="G661" s="60">
        <v>2.94</v>
      </c>
      <c r="M661" s="61"/>
    </row>
    <row r="662" spans="1:76" ht="14.5" x14ac:dyDescent="0.35">
      <c r="A662" s="57"/>
      <c r="D662" s="58" t="s">
        <v>1412</v>
      </c>
      <c r="E662" s="59" t="s">
        <v>1413</v>
      </c>
      <c r="G662" s="60">
        <v>33.567999999999998</v>
      </c>
      <c r="M662" s="61"/>
    </row>
    <row r="663" spans="1:76" ht="14.5" x14ac:dyDescent="0.35">
      <c r="A663" s="57"/>
      <c r="D663" s="58" t="s">
        <v>1414</v>
      </c>
      <c r="E663" s="59" t="s">
        <v>1415</v>
      </c>
      <c r="G663" s="60">
        <v>805.62699999999995</v>
      </c>
      <c r="M663" s="61"/>
    </row>
    <row r="664" spans="1:76" ht="14.5" x14ac:dyDescent="0.35">
      <c r="A664" s="57"/>
      <c r="D664" s="58" t="s">
        <v>1417</v>
      </c>
      <c r="E664" s="59" t="s">
        <v>1418</v>
      </c>
      <c r="G664" s="60">
        <v>5.46</v>
      </c>
      <c r="M664" s="61"/>
    </row>
    <row r="665" spans="1:76" ht="14.5" x14ac:dyDescent="0.35">
      <c r="A665" s="1" t="s">
        <v>1419</v>
      </c>
      <c r="B665" s="2" t="s">
        <v>103</v>
      </c>
      <c r="C665" s="2" t="s">
        <v>1420</v>
      </c>
      <c r="D665" s="155" t="s">
        <v>1421</v>
      </c>
      <c r="E665" s="153"/>
      <c r="F665" s="2" t="s">
        <v>412</v>
      </c>
      <c r="G665" s="54">
        <v>15.672000000000001</v>
      </c>
      <c r="H665" s="84">
        <v>0</v>
      </c>
      <c r="I665" s="54">
        <f>G665*H665</f>
        <v>0</v>
      </c>
      <c r="J665" s="54">
        <v>0</v>
      </c>
      <c r="K665" s="54">
        <v>0</v>
      </c>
      <c r="L665" s="54">
        <f>G665*J665</f>
        <v>0</v>
      </c>
      <c r="M665" s="55" t="s">
        <v>111</v>
      </c>
      <c r="Z665" s="54">
        <f>IF(AQ665="5",BJ665,0)</f>
        <v>0</v>
      </c>
      <c r="AB665" s="54">
        <f>IF(AQ665="1",BH665,0)</f>
        <v>0</v>
      </c>
      <c r="AC665" s="54">
        <f>IF(AQ665="1",BI665,0)</f>
        <v>0</v>
      </c>
      <c r="AD665" s="54">
        <f>IF(AQ665="7",BH665,0)</f>
        <v>0</v>
      </c>
      <c r="AE665" s="54">
        <f>IF(AQ665="7",BI665,0)</f>
        <v>0</v>
      </c>
      <c r="AF665" s="54">
        <f>IF(AQ665="2",BH665,0)</f>
        <v>0</v>
      </c>
      <c r="AG665" s="54">
        <f>IF(AQ665="2",BI665,0)</f>
        <v>0</v>
      </c>
      <c r="AH665" s="54">
        <f>IF(AQ665="0",BJ665,0)</f>
        <v>0</v>
      </c>
      <c r="AI665" s="34" t="s">
        <v>103</v>
      </c>
      <c r="AJ665" s="54">
        <f>IF(AN665=0,I665,0)</f>
        <v>0</v>
      </c>
      <c r="AK665" s="54">
        <f>IF(AN665=12,I665,0)</f>
        <v>0</v>
      </c>
      <c r="AL665" s="54">
        <f>IF(AN665=21,I665,0)</f>
        <v>0</v>
      </c>
      <c r="AN665" s="54">
        <v>21</v>
      </c>
      <c r="AO665" s="54">
        <f>H665*0</f>
        <v>0</v>
      </c>
      <c r="AP665" s="54">
        <f>H665*(1-0)</f>
        <v>0</v>
      </c>
      <c r="AQ665" s="56" t="s">
        <v>150</v>
      </c>
      <c r="AV665" s="54">
        <f>AW665+AX665</f>
        <v>0</v>
      </c>
      <c r="AW665" s="54">
        <f>G665*AO665</f>
        <v>0</v>
      </c>
      <c r="AX665" s="54">
        <f>G665*AP665</f>
        <v>0</v>
      </c>
      <c r="AY665" s="56" t="s">
        <v>1351</v>
      </c>
      <c r="AZ665" s="56" t="s">
        <v>1343</v>
      </c>
      <c r="BA665" s="34" t="s">
        <v>114</v>
      </c>
      <c r="BC665" s="54">
        <f>AW665+AX665</f>
        <v>0</v>
      </c>
      <c r="BD665" s="54">
        <f>H665/(100-BE665)*100</f>
        <v>0</v>
      </c>
      <c r="BE665" s="54">
        <v>0</v>
      </c>
      <c r="BF665" s="54">
        <f>L665</f>
        <v>0</v>
      </c>
      <c r="BH665" s="54">
        <f>G665*AO665</f>
        <v>0</v>
      </c>
      <c r="BI665" s="54">
        <f>G665*AP665</f>
        <v>0</v>
      </c>
      <c r="BJ665" s="54">
        <f>G665*H665</f>
        <v>0</v>
      </c>
      <c r="BK665" s="54"/>
      <c r="BL665" s="54">
        <v>96</v>
      </c>
      <c r="BW665" s="54">
        <v>21</v>
      </c>
      <c r="BX665" s="3" t="s">
        <v>1421</v>
      </c>
    </row>
    <row r="666" spans="1:76" ht="14.5" x14ac:dyDescent="0.35">
      <c r="A666" s="1" t="s">
        <v>1422</v>
      </c>
      <c r="B666" s="2" t="s">
        <v>103</v>
      </c>
      <c r="C666" s="2" t="s">
        <v>1423</v>
      </c>
      <c r="D666" s="155" t="s">
        <v>1424</v>
      </c>
      <c r="E666" s="153"/>
      <c r="F666" s="2" t="s">
        <v>412</v>
      </c>
      <c r="G666" s="54">
        <v>31.344000000000001</v>
      </c>
      <c r="H666" s="84">
        <v>0</v>
      </c>
      <c r="I666" s="54">
        <f>G666*H666</f>
        <v>0</v>
      </c>
      <c r="J666" s="54">
        <v>0</v>
      </c>
      <c r="K666" s="54">
        <v>0</v>
      </c>
      <c r="L666" s="54">
        <f>G666*J666</f>
        <v>0</v>
      </c>
      <c r="M666" s="55" t="s">
        <v>111</v>
      </c>
      <c r="Z666" s="54">
        <f>IF(AQ666="5",BJ666,0)</f>
        <v>0</v>
      </c>
      <c r="AB666" s="54">
        <f>IF(AQ666="1",BH666,0)</f>
        <v>0</v>
      </c>
      <c r="AC666" s="54">
        <f>IF(AQ666="1",BI666,0)</f>
        <v>0</v>
      </c>
      <c r="AD666" s="54">
        <f>IF(AQ666="7",BH666,0)</f>
        <v>0</v>
      </c>
      <c r="AE666" s="54">
        <f>IF(AQ666="7",BI666,0)</f>
        <v>0</v>
      </c>
      <c r="AF666" s="54">
        <f>IF(AQ666="2",BH666,0)</f>
        <v>0</v>
      </c>
      <c r="AG666" s="54">
        <f>IF(AQ666="2",BI666,0)</f>
        <v>0</v>
      </c>
      <c r="AH666" s="54">
        <f>IF(AQ666="0",BJ666,0)</f>
        <v>0</v>
      </c>
      <c r="AI666" s="34" t="s">
        <v>103</v>
      </c>
      <c r="AJ666" s="54">
        <f>IF(AN666=0,I666,0)</f>
        <v>0</v>
      </c>
      <c r="AK666" s="54">
        <f>IF(AN666=12,I666,0)</f>
        <v>0</v>
      </c>
      <c r="AL666" s="54">
        <f>IF(AN666=21,I666,0)</f>
        <v>0</v>
      </c>
      <c r="AN666" s="54">
        <v>21</v>
      </c>
      <c r="AO666" s="54">
        <f>H666*0</f>
        <v>0</v>
      </c>
      <c r="AP666" s="54">
        <f>H666*(1-0)</f>
        <v>0</v>
      </c>
      <c r="AQ666" s="56" t="s">
        <v>150</v>
      </c>
      <c r="AV666" s="54">
        <f>AW666+AX666</f>
        <v>0</v>
      </c>
      <c r="AW666" s="54">
        <f>G666*AO666</f>
        <v>0</v>
      </c>
      <c r="AX666" s="54">
        <f>G666*AP666</f>
        <v>0</v>
      </c>
      <c r="AY666" s="56" t="s">
        <v>1351</v>
      </c>
      <c r="AZ666" s="56" t="s">
        <v>1343</v>
      </c>
      <c r="BA666" s="34" t="s">
        <v>114</v>
      </c>
      <c r="BC666" s="54">
        <f>AW666+AX666</f>
        <v>0</v>
      </c>
      <c r="BD666" s="54">
        <f>H666/(100-BE666)*100</f>
        <v>0</v>
      </c>
      <c r="BE666" s="54">
        <v>0</v>
      </c>
      <c r="BF666" s="54">
        <f>L666</f>
        <v>0</v>
      </c>
      <c r="BH666" s="54">
        <f>G666*AO666</f>
        <v>0</v>
      </c>
      <c r="BI666" s="54">
        <f>G666*AP666</f>
        <v>0</v>
      </c>
      <c r="BJ666" s="54">
        <f>G666*H666</f>
        <v>0</v>
      </c>
      <c r="BK666" s="54"/>
      <c r="BL666" s="54">
        <v>96</v>
      </c>
      <c r="BW666" s="54">
        <v>21</v>
      </c>
      <c r="BX666" s="3" t="s">
        <v>1424</v>
      </c>
    </row>
    <row r="667" spans="1:76" ht="14.5" x14ac:dyDescent="0.35">
      <c r="A667" s="57"/>
      <c r="D667" s="58" t="s">
        <v>1425</v>
      </c>
      <c r="E667" s="59" t="s">
        <v>10</v>
      </c>
      <c r="G667" s="60">
        <v>31.344000000000001</v>
      </c>
      <c r="M667" s="61"/>
    </row>
    <row r="668" spans="1:76" ht="14.5" x14ac:dyDescent="0.35">
      <c r="A668" s="50" t="s">
        <v>10</v>
      </c>
      <c r="B668" s="51" t="s">
        <v>103</v>
      </c>
      <c r="C668" s="51" t="s">
        <v>698</v>
      </c>
      <c r="D668" s="206" t="s">
        <v>1426</v>
      </c>
      <c r="E668" s="207"/>
      <c r="F668" s="52" t="s">
        <v>84</v>
      </c>
      <c r="G668" s="52" t="s">
        <v>84</v>
      </c>
      <c r="H668" s="83" t="s">
        <v>84</v>
      </c>
      <c r="I668" s="27">
        <f>SUM(I669:I681)</f>
        <v>0</v>
      </c>
      <c r="J668" s="34" t="s">
        <v>10</v>
      </c>
      <c r="K668" s="34" t="s">
        <v>10</v>
      </c>
      <c r="L668" s="27">
        <f>SUM(L669:L681)</f>
        <v>3.7513214000000001</v>
      </c>
      <c r="M668" s="53" t="s">
        <v>10</v>
      </c>
      <c r="AI668" s="34" t="s">
        <v>103</v>
      </c>
      <c r="AS668" s="27">
        <f>SUM(AJ669:AJ681)</f>
        <v>0</v>
      </c>
      <c r="AT668" s="27">
        <f>SUM(AK669:AK681)</f>
        <v>0</v>
      </c>
      <c r="AU668" s="27">
        <f>SUM(AL669:AL681)</f>
        <v>0</v>
      </c>
    </row>
    <row r="669" spans="1:76" ht="14.5" x14ac:dyDescent="0.35">
      <c r="A669" s="1" t="s">
        <v>1427</v>
      </c>
      <c r="B669" s="2" t="s">
        <v>103</v>
      </c>
      <c r="C669" s="2" t="s">
        <v>1428</v>
      </c>
      <c r="D669" s="155" t="s">
        <v>1429</v>
      </c>
      <c r="E669" s="153"/>
      <c r="F669" s="2" t="s">
        <v>153</v>
      </c>
      <c r="G669" s="54">
        <v>65</v>
      </c>
      <c r="H669" s="84">
        <v>0</v>
      </c>
      <c r="I669" s="54">
        <f>G669*H669</f>
        <v>0</v>
      </c>
      <c r="J669" s="54">
        <v>6.2E-4</v>
      </c>
      <c r="K669" s="54">
        <v>6.2E-4</v>
      </c>
      <c r="L669" s="54">
        <f>G669*J669</f>
        <v>4.0300000000000002E-2</v>
      </c>
      <c r="M669" s="55" t="s">
        <v>111</v>
      </c>
      <c r="Z669" s="54">
        <f>IF(AQ669="5",BJ669,0)</f>
        <v>0</v>
      </c>
      <c r="AB669" s="54">
        <f>IF(AQ669="1",BH669,0)</f>
        <v>0</v>
      </c>
      <c r="AC669" s="54">
        <f>IF(AQ669="1",BI669,0)</f>
        <v>0</v>
      </c>
      <c r="AD669" s="54">
        <f>IF(AQ669="7",BH669,0)</f>
        <v>0</v>
      </c>
      <c r="AE669" s="54">
        <f>IF(AQ669="7",BI669,0)</f>
        <v>0</v>
      </c>
      <c r="AF669" s="54">
        <f>IF(AQ669="2",BH669,0)</f>
        <v>0</v>
      </c>
      <c r="AG669" s="54">
        <f>IF(AQ669="2",BI669,0)</f>
        <v>0</v>
      </c>
      <c r="AH669" s="54">
        <f>IF(AQ669="0",BJ669,0)</f>
        <v>0</v>
      </c>
      <c r="AI669" s="34" t="s">
        <v>103</v>
      </c>
      <c r="AJ669" s="54">
        <f>IF(AN669=0,I669,0)</f>
        <v>0</v>
      </c>
      <c r="AK669" s="54">
        <f>IF(AN669=12,I669,0)</f>
        <v>0</v>
      </c>
      <c r="AL669" s="54">
        <f>IF(AN669=21,I669,0)</f>
        <v>0</v>
      </c>
      <c r="AN669" s="54">
        <v>21</v>
      </c>
      <c r="AO669" s="54">
        <f>H669*0.207022799</f>
        <v>0</v>
      </c>
      <c r="AP669" s="54">
        <f>H669*(1-0.207022799)</f>
        <v>0</v>
      </c>
      <c r="AQ669" s="56" t="s">
        <v>107</v>
      </c>
      <c r="AV669" s="54">
        <f>AW669+AX669</f>
        <v>0</v>
      </c>
      <c r="AW669" s="54">
        <f>G669*AO669</f>
        <v>0</v>
      </c>
      <c r="AX669" s="54">
        <f>G669*AP669</f>
        <v>0</v>
      </c>
      <c r="AY669" s="56" t="s">
        <v>1430</v>
      </c>
      <c r="AZ669" s="56" t="s">
        <v>1343</v>
      </c>
      <c r="BA669" s="34" t="s">
        <v>114</v>
      </c>
      <c r="BC669" s="54">
        <f>AW669+AX669</f>
        <v>0</v>
      </c>
      <c r="BD669" s="54">
        <f>H669/(100-BE669)*100</f>
        <v>0</v>
      </c>
      <c r="BE669" s="54">
        <v>0</v>
      </c>
      <c r="BF669" s="54">
        <f>L669</f>
        <v>4.0300000000000002E-2</v>
      </c>
      <c r="BH669" s="54">
        <f>G669*AO669</f>
        <v>0</v>
      </c>
      <c r="BI669" s="54">
        <f>G669*AP669</f>
        <v>0</v>
      </c>
      <c r="BJ669" s="54">
        <f>G669*H669</f>
        <v>0</v>
      </c>
      <c r="BK669" s="54"/>
      <c r="BL669" s="54">
        <v>97</v>
      </c>
      <c r="BW669" s="54">
        <v>21</v>
      </c>
      <c r="BX669" s="3" t="s">
        <v>1429</v>
      </c>
    </row>
    <row r="670" spans="1:76" ht="14.5" x14ac:dyDescent="0.35">
      <c r="A670" s="57"/>
      <c r="D670" s="58" t="s">
        <v>1431</v>
      </c>
      <c r="E670" s="59" t="s">
        <v>1432</v>
      </c>
      <c r="G670" s="60">
        <v>54.6</v>
      </c>
      <c r="M670" s="61"/>
    </row>
    <row r="671" spans="1:76" ht="14.5" x14ac:dyDescent="0.35">
      <c r="A671" s="57"/>
      <c r="D671" s="58" t="s">
        <v>179</v>
      </c>
      <c r="E671" s="59" t="s">
        <v>1433</v>
      </c>
      <c r="G671" s="60">
        <v>5.2</v>
      </c>
      <c r="M671" s="61"/>
    </row>
    <row r="672" spans="1:76" ht="14.5" x14ac:dyDescent="0.35">
      <c r="A672" s="57"/>
      <c r="D672" s="58" t="s">
        <v>179</v>
      </c>
      <c r="E672" s="59" t="s">
        <v>1435</v>
      </c>
      <c r="G672" s="60">
        <v>5.2</v>
      </c>
      <c r="M672" s="61"/>
    </row>
    <row r="673" spans="1:76" ht="14.5" x14ac:dyDescent="0.35">
      <c r="A673" s="1" t="s">
        <v>1436</v>
      </c>
      <c r="B673" s="2" t="s">
        <v>103</v>
      </c>
      <c r="C673" s="2" t="s">
        <v>1437</v>
      </c>
      <c r="D673" s="155" t="s">
        <v>1438</v>
      </c>
      <c r="E673" s="153"/>
      <c r="F673" s="2" t="s">
        <v>153</v>
      </c>
      <c r="G673" s="54">
        <v>194</v>
      </c>
      <c r="H673" s="84">
        <v>0</v>
      </c>
      <c r="I673" s="54">
        <f>G673*H673</f>
        <v>0</v>
      </c>
      <c r="J673" s="54">
        <v>2.1700000000000001E-3</v>
      </c>
      <c r="K673" s="54">
        <v>2.16E-3</v>
      </c>
      <c r="L673" s="54">
        <f>G673*J673</f>
        <v>0.42098000000000002</v>
      </c>
      <c r="M673" s="55" t="s">
        <v>111</v>
      </c>
      <c r="Z673" s="54">
        <f>IF(AQ673="5",BJ673,0)</f>
        <v>0</v>
      </c>
      <c r="AB673" s="54">
        <f>IF(AQ673="1",BH673,0)</f>
        <v>0</v>
      </c>
      <c r="AC673" s="54">
        <f>IF(AQ673="1",BI673,0)</f>
        <v>0</v>
      </c>
      <c r="AD673" s="54">
        <f>IF(AQ673="7",BH673,0)</f>
        <v>0</v>
      </c>
      <c r="AE673" s="54">
        <f>IF(AQ673="7",BI673,0)</f>
        <v>0</v>
      </c>
      <c r="AF673" s="54">
        <f>IF(AQ673="2",BH673,0)</f>
        <v>0</v>
      </c>
      <c r="AG673" s="54">
        <f>IF(AQ673="2",BI673,0)</f>
        <v>0</v>
      </c>
      <c r="AH673" s="54">
        <f>IF(AQ673="0",BJ673,0)</f>
        <v>0</v>
      </c>
      <c r="AI673" s="34" t="s">
        <v>103</v>
      </c>
      <c r="AJ673" s="54">
        <f>IF(AN673=0,I673,0)</f>
        <v>0</v>
      </c>
      <c r="AK673" s="54">
        <f>IF(AN673=12,I673,0)</f>
        <v>0</v>
      </c>
      <c r="AL673" s="54">
        <f>IF(AN673=21,I673,0)</f>
        <v>0</v>
      </c>
      <c r="AN673" s="54">
        <v>21</v>
      </c>
      <c r="AO673" s="54">
        <f>H673*0.157468354</f>
        <v>0</v>
      </c>
      <c r="AP673" s="54">
        <f>H673*(1-0.157468354)</f>
        <v>0</v>
      </c>
      <c r="AQ673" s="56" t="s">
        <v>107</v>
      </c>
      <c r="AV673" s="54">
        <f>AW673+AX673</f>
        <v>0</v>
      </c>
      <c r="AW673" s="54">
        <f>G673*AO673</f>
        <v>0</v>
      </c>
      <c r="AX673" s="54">
        <f>G673*AP673</f>
        <v>0</v>
      </c>
      <c r="AY673" s="56" t="s">
        <v>1430</v>
      </c>
      <c r="AZ673" s="56" t="s">
        <v>1343</v>
      </c>
      <c r="BA673" s="34" t="s">
        <v>114</v>
      </c>
      <c r="BC673" s="54">
        <f>AW673+AX673</f>
        <v>0</v>
      </c>
      <c r="BD673" s="54">
        <f>H673/(100-BE673)*100</f>
        <v>0</v>
      </c>
      <c r="BE673" s="54">
        <v>0</v>
      </c>
      <c r="BF673" s="54">
        <f>L673</f>
        <v>0.42098000000000002</v>
      </c>
      <c r="BH673" s="54">
        <f>G673*AO673</f>
        <v>0</v>
      </c>
      <c r="BI673" s="54">
        <f>G673*AP673</f>
        <v>0</v>
      </c>
      <c r="BJ673" s="54">
        <f>G673*H673</f>
        <v>0</v>
      </c>
      <c r="BK673" s="54"/>
      <c r="BL673" s="54">
        <v>97</v>
      </c>
      <c r="BW673" s="54">
        <v>21</v>
      </c>
      <c r="BX673" s="3" t="s">
        <v>1438</v>
      </c>
    </row>
    <row r="674" spans="1:76" ht="14.5" x14ac:dyDescent="0.35">
      <c r="A674" s="1" t="s">
        <v>1440</v>
      </c>
      <c r="B674" s="2" t="s">
        <v>103</v>
      </c>
      <c r="C674" s="2" t="s">
        <v>1441</v>
      </c>
      <c r="D674" s="155" t="s">
        <v>1442</v>
      </c>
      <c r="E674" s="153"/>
      <c r="F674" s="2" t="s">
        <v>153</v>
      </c>
      <c r="G674" s="54">
        <v>216</v>
      </c>
      <c r="H674" s="84">
        <v>0</v>
      </c>
      <c r="I674" s="54">
        <f>G674*H674</f>
        <v>0</v>
      </c>
      <c r="J674" s="54">
        <v>6.0099999999999997E-3</v>
      </c>
      <c r="K674" s="54">
        <v>6.0000000000000001E-3</v>
      </c>
      <c r="L674" s="54">
        <f>G674*J674</f>
        <v>1.29816</v>
      </c>
      <c r="M674" s="55" t="s">
        <v>111</v>
      </c>
      <c r="Z674" s="54">
        <f>IF(AQ674="5",BJ674,0)</f>
        <v>0</v>
      </c>
      <c r="AB674" s="54">
        <f>IF(AQ674="1",BH674,0)</f>
        <v>0</v>
      </c>
      <c r="AC674" s="54">
        <f>IF(AQ674="1",BI674,0)</f>
        <v>0</v>
      </c>
      <c r="AD674" s="54">
        <f>IF(AQ674="7",BH674,0)</f>
        <v>0</v>
      </c>
      <c r="AE674" s="54">
        <f>IF(AQ674="7",BI674,0)</f>
        <v>0</v>
      </c>
      <c r="AF674" s="54">
        <f>IF(AQ674="2",BH674,0)</f>
        <v>0</v>
      </c>
      <c r="AG674" s="54">
        <f>IF(AQ674="2",BI674,0)</f>
        <v>0</v>
      </c>
      <c r="AH674" s="54">
        <f>IF(AQ674="0",BJ674,0)</f>
        <v>0</v>
      </c>
      <c r="AI674" s="34" t="s">
        <v>103</v>
      </c>
      <c r="AJ674" s="54">
        <f>IF(AN674=0,I674,0)</f>
        <v>0</v>
      </c>
      <c r="AK674" s="54">
        <f>IF(AN674=12,I674,0)</f>
        <v>0</v>
      </c>
      <c r="AL674" s="54">
        <f>IF(AN674=21,I674,0)</f>
        <v>0</v>
      </c>
      <c r="AN674" s="54">
        <v>21</v>
      </c>
      <c r="AO674" s="54">
        <f>H674*0.130610531</f>
        <v>0</v>
      </c>
      <c r="AP674" s="54">
        <f>H674*(1-0.130610531)</f>
        <v>0</v>
      </c>
      <c r="AQ674" s="56" t="s">
        <v>107</v>
      </c>
      <c r="AV674" s="54">
        <f>AW674+AX674</f>
        <v>0</v>
      </c>
      <c r="AW674" s="54">
        <f>G674*AO674</f>
        <v>0</v>
      </c>
      <c r="AX674" s="54">
        <f>G674*AP674</f>
        <v>0</v>
      </c>
      <c r="AY674" s="56" t="s">
        <v>1430</v>
      </c>
      <c r="AZ674" s="56" t="s">
        <v>1343</v>
      </c>
      <c r="BA674" s="34" t="s">
        <v>114</v>
      </c>
      <c r="BC674" s="54">
        <f>AW674+AX674</f>
        <v>0</v>
      </c>
      <c r="BD674" s="54">
        <f>H674/(100-BE674)*100</f>
        <v>0</v>
      </c>
      <c r="BE674" s="54">
        <v>0</v>
      </c>
      <c r="BF674" s="54">
        <f>L674</f>
        <v>1.29816</v>
      </c>
      <c r="BH674" s="54">
        <f>G674*AO674</f>
        <v>0</v>
      </c>
      <c r="BI674" s="54">
        <f>G674*AP674</f>
        <v>0</v>
      </c>
      <c r="BJ674" s="54">
        <f>G674*H674</f>
        <v>0</v>
      </c>
      <c r="BK674" s="54"/>
      <c r="BL674" s="54">
        <v>97</v>
      </c>
      <c r="BW674" s="54">
        <v>21</v>
      </c>
      <c r="BX674" s="3" t="s">
        <v>1442</v>
      </c>
    </row>
    <row r="675" spans="1:76" ht="14.5" x14ac:dyDescent="0.35">
      <c r="A675" s="1" t="s">
        <v>1444</v>
      </c>
      <c r="B675" s="2" t="s">
        <v>103</v>
      </c>
      <c r="C675" s="2" t="s">
        <v>1445</v>
      </c>
      <c r="D675" s="155" t="s">
        <v>1446</v>
      </c>
      <c r="E675" s="153"/>
      <c r="F675" s="2" t="s">
        <v>153</v>
      </c>
      <c r="G675" s="54">
        <v>312.14</v>
      </c>
      <c r="H675" s="84">
        <v>0</v>
      </c>
      <c r="I675" s="54">
        <f>G675*H675</f>
        <v>0</v>
      </c>
      <c r="J675" s="54">
        <v>6.0099999999999997E-3</v>
      </c>
      <c r="K675" s="54">
        <v>6.0000000000000001E-3</v>
      </c>
      <c r="L675" s="54">
        <f>G675*J675</f>
        <v>1.8759613999999998</v>
      </c>
      <c r="M675" s="55" t="s">
        <v>111</v>
      </c>
      <c r="Z675" s="54">
        <f>IF(AQ675="5",BJ675,0)</f>
        <v>0</v>
      </c>
      <c r="AB675" s="54">
        <f>IF(AQ675="1",BH675,0)</f>
        <v>0</v>
      </c>
      <c r="AC675" s="54">
        <f>IF(AQ675="1",BI675,0)</f>
        <v>0</v>
      </c>
      <c r="AD675" s="54">
        <f>IF(AQ675="7",BH675,0)</f>
        <v>0</v>
      </c>
      <c r="AE675" s="54">
        <f>IF(AQ675="7",BI675,0)</f>
        <v>0</v>
      </c>
      <c r="AF675" s="54">
        <f>IF(AQ675="2",BH675,0)</f>
        <v>0</v>
      </c>
      <c r="AG675" s="54">
        <f>IF(AQ675="2",BI675,0)</f>
        <v>0</v>
      </c>
      <c r="AH675" s="54">
        <f>IF(AQ675="0",BJ675,0)</f>
        <v>0</v>
      </c>
      <c r="AI675" s="34" t="s">
        <v>103</v>
      </c>
      <c r="AJ675" s="54">
        <f>IF(AN675=0,I675,0)</f>
        <v>0</v>
      </c>
      <c r="AK675" s="54">
        <f>IF(AN675=12,I675,0)</f>
        <v>0</v>
      </c>
      <c r="AL675" s="54">
        <f>IF(AN675=21,I675,0)</f>
        <v>0</v>
      </c>
      <c r="AN675" s="54">
        <v>21</v>
      </c>
      <c r="AO675" s="54">
        <f>H675*0.145923754</f>
        <v>0</v>
      </c>
      <c r="AP675" s="54">
        <f>H675*(1-0.145923754)</f>
        <v>0</v>
      </c>
      <c r="AQ675" s="56" t="s">
        <v>107</v>
      </c>
      <c r="AV675" s="54">
        <f>AW675+AX675</f>
        <v>0</v>
      </c>
      <c r="AW675" s="54">
        <f>G675*AO675</f>
        <v>0</v>
      </c>
      <c r="AX675" s="54">
        <f>G675*AP675</f>
        <v>0</v>
      </c>
      <c r="AY675" s="56" t="s">
        <v>1430</v>
      </c>
      <c r="AZ675" s="56" t="s">
        <v>1343</v>
      </c>
      <c r="BA675" s="34" t="s">
        <v>114</v>
      </c>
      <c r="BC675" s="54">
        <f>AW675+AX675</f>
        <v>0</v>
      </c>
      <c r="BD675" s="54">
        <f>H675/(100-BE675)*100</f>
        <v>0</v>
      </c>
      <c r="BE675" s="54">
        <v>0</v>
      </c>
      <c r="BF675" s="54">
        <f>L675</f>
        <v>1.8759613999999998</v>
      </c>
      <c r="BH675" s="54">
        <f>G675*AO675</f>
        <v>0</v>
      </c>
      <c r="BI675" s="54">
        <f>G675*AP675</f>
        <v>0</v>
      </c>
      <c r="BJ675" s="54">
        <f>G675*H675</f>
        <v>0</v>
      </c>
      <c r="BK675" s="54"/>
      <c r="BL675" s="54">
        <v>97</v>
      </c>
      <c r="BW675" s="54">
        <v>21</v>
      </c>
      <c r="BX675" s="3" t="s">
        <v>1446</v>
      </c>
    </row>
    <row r="676" spans="1:76" ht="14.5" x14ac:dyDescent="0.35">
      <c r="A676" s="57"/>
      <c r="D676" s="58" t="s">
        <v>1447</v>
      </c>
      <c r="E676" s="59" t="s">
        <v>1448</v>
      </c>
      <c r="G676" s="60">
        <v>122.64</v>
      </c>
      <c r="M676" s="61"/>
    </row>
    <row r="677" spans="1:76" ht="14.5" x14ac:dyDescent="0.35">
      <c r="A677" s="57"/>
      <c r="D677" s="58" t="s">
        <v>1449</v>
      </c>
      <c r="E677" s="59" t="s">
        <v>1450</v>
      </c>
      <c r="G677" s="60">
        <v>167.6</v>
      </c>
      <c r="M677" s="61"/>
    </row>
    <row r="678" spans="1:76" ht="14.5" x14ac:dyDescent="0.35">
      <c r="A678" s="57"/>
      <c r="D678" s="58" t="s">
        <v>1451</v>
      </c>
      <c r="E678" s="59" t="s">
        <v>1452</v>
      </c>
      <c r="G678" s="60">
        <v>12.5</v>
      </c>
      <c r="M678" s="61"/>
    </row>
    <row r="679" spans="1:76" ht="14.5" x14ac:dyDescent="0.35">
      <c r="A679" s="57"/>
      <c r="D679" s="58" t="s">
        <v>1454</v>
      </c>
      <c r="E679" s="59" t="s">
        <v>1455</v>
      </c>
      <c r="G679" s="60">
        <v>9.4</v>
      </c>
      <c r="M679" s="61"/>
    </row>
    <row r="680" spans="1:76" ht="14.5" x14ac:dyDescent="0.35">
      <c r="A680" s="1" t="s">
        <v>1456</v>
      </c>
      <c r="B680" s="2" t="s">
        <v>103</v>
      </c>
      <c r="C680" s="2" t="s">
        <v>1457</v>
      </c>
      <c r="D680" s="155" t="s">
        <v>1458</v>
      </c>
      <c r="E680" s="153"/>
      <c r="F680" s="2" t="s">
        <v>196</v>
      </c>
      <c r="G680" s="54">
        <v>207</v>
      </c>
      <c r="H680" s="84">
        <v>0</v>
      </c>
      <c r="I680" s="54">
        <f>G680*H680</f>
        <v>0</v>
      </c>
      <c r="J680" s="54">
        <v>5.5999999999999995E-4</v>
      </c>
      <c r="K680" s="54">
        <v>5.5000000000000003E-4</v>
      </c>
      <c r="L680" s="54">
        <f>G680*J680</f>
        <v>0.11592</v>
      </c>
      <c r="M680" s="55" t="s">
        <v>111</v>
      </c>
      <c r="Z680" s="54">
        <f>IF(AQ680="5",BJ680,0)</f>
        <v>0</v>
      </c>
      <c r="AB680" s="54">
        <f>IF(AQ680="1",BH680,0)</f>
        <v>0</v>
      </c>
      <c r="AC680" s="54">
        <f>IF(AQ680="1",BI680,0)</f>
        <v>0</v>
      </c>
      <c r="AD680" s="54">
        <f>IF(AQ680="7",BH680,0)</f>
        <v>0</v>
      </c>
      <c r="AE680" s="54">
        <f>IF(AQ680="7",BI680,0)</f>
        <v>0</v>
      </c>
      <c r="AF680" s="54">
        <f>IF(AQ680="2",BH680,0)</f>
        <v>0</v>
      </c>
      <c r="AG680" s="54">
        <f>IF(AQ680="2",BI680,0)</f>
        <v>0</v>
      </c>
      <c r="AH680" s="54">
        <f>IF(AQ680="0",BJ680,0)</f>
        <v>0</v>
      </c>
      <c r="AI680" s="34" t="s">
        <v>103</v>
      </c>
      <c r="AJ680" s="54">
        <f>IF(AN680=0,I680,0)</f>
        <v>0</v>
      </c>
      <c r="AK680" s="54">
        <f>IF(AN680=12,I680,0)</f>
        <v>0</v>
      </c>
      <c r="AL680" s="54">
        <f>IF(AN680=21,I680,0)</f>
        <v>0</v>
      </c>
      <c r="AN680" s="54">
        <v>21</v>
      </c>
      <c r="AO680" s="54">
        <f>H680*0.129344262</f>
        <v>0</v>
      </c>
      <c r="AP680" s="54">
        <f>H680*(1-0.129344262)</f>
        <v>0</v>
      </c>
      <c r="AQ680" s="56" t="s">
        <v>107</v>
      </c>
      <c r="AV680" s="54">
        <f>AW680+AX680</f>
        <v>0</v>
      </c>
      <c r="AW680" s="54">
        <f>G680*AO680</f>
        <v>0</v>
      </c>
      <c r="AX680" s="54">
        <f>G680*AP680</f>
        <v>0</v>
      </c>
      <c r="AY680" s="56" t="s">
        <v>1430</v>
      </c>
      <c r="AZ680" s="56" t="s">
        <v>1343</v>
      </c>
      <c r="BA680" s="34" t="s">
        <v>114</v>
      </c>
      <c r="BC680" s="54">
        <f>AW680+AX680</f>
        <v>0</v>
      </c>
      <c r="BD680" s="54">
        <f>H680/(100-BE680)*100</f>
        <v>0</v>
      </c>
      <c r="BE680" s="54">
        <v>0</v>
      </c>
      <c r="BF680" s="54">
        <f>L680</f>
        <v>0.11592</v>
      </c>
      <c r="BH680" s="54">
        <f>G680*AO680</f>
        <v>0</v>
      </c>
      <c r="BI680" s="54">
        <f>G680*AP680</f>
        <v>0</v>
      </c>
      <c r="BJ680" s="54">
        <f>G680*H680</f>
        <v>0</v>
      </c>
      <c r="BK680" s="54"/>
      <c r="BL680" s="54">
        <v>97</v>
      </c>
      <c r="BW680" s="54">
        <v>21</v>
      </c>
      <c r="BX680" s="3" t="s">
        <v>1458</v>
      </c>
    </row>
    <row r="681" spans="1:76" ht="14.5" x14ac:dyDescent="0.35">
      <c r="A681" s="1" t="s">
        <v>1460</v>
      </c>
      <c r="B681" s="2" t="s">
        <v>103</v>
      </c>
      <c r="C681" s="2" t="s">
        <v>1461</v>
      </c>
      <c r="D681" s="155" t="s">
        <v>1462</v>
      </c>
      <c r="E681" s="153"/>
      <c r="F681" s="2" t="s">
        <v>412</v>
      </c>
      <c r="G681" s="54">
        <v>9.7240000000000002</v>
      </c>
      <c r="H681" s="84">
        <v>0</v>
      </c>
      <c r="I681" s="54">
        <f>G681*H681</f>
        <v>0</v>
      </c>
      <c r="J681" s="54">
        <v>0</v>
      </c>
      <c r="K681" s="54">
        <v>0</v>
      </c>
      <c r="L681" s="54">
        <f>G681*J681</f>
        <v>0</v>
      </c>
      <c r="M681" s="55" t="s">
        <v>111</v>
      </c>
      <c r="Z681" s="54">
        <f>IF(AQ681="5",BJ681,0)</f>
        <v>0</v>
      </c>
      <c r="AB681" s="54">
        <f>IF(AQ681="1",BH681,0)</f>
        <v>0</v>
      </c>
      <c r="AC681" s="54">
        <f>IF(AQ681="1",BI681,0)</f>
        <v>0</v>
      </c>
      <c r="AD681" s="54">
        <f>IF(AQ681="7",BH681,0)</f>
        <v>0</v>
      </c>
      <c r="AE681" s="54">
        <f>IF(AQ681="7",BI681,0)</f>
        <v>0</v>
      </c>
      <c r="AF681" s="54">
        <f>IF(AQ681="2",BH681,0)</f>
        <v>0</v>
      </c>
      <c r="AG681" s="54">
        <f>IF(AQ681="2",BI681,0)</f>
        <v>0</v>
      </c>
      <c r="AH681" s="54">
        <f>IF(AQ681="0",BJ681,0)</f>
        <v>0</v>
      </c>
      <c r="AI681" s="34" t="s">
        <v>103</v>
      </c>
      <c r="AJ681" s="54">
        <f>IF(AN681=0,I681,0)</f>
        <v>0</v>
      </c>
      <c r="AK681" s="54">
        <f>IF(AN681=12,I681,0)</f>
        <v>0</v>
      </c>
      <c r="AL681" s="54">
        <f>IF(AN681=21,I681,0)</f>
        <v>0</v>
      </c>
      <c r="AN681" s="54">
        <v>21</v>
      </c>
      <c r="AO681" s="54">
        <f>H681*0</f>
        <v>0</v>
      </c>
      <c r="AP681" s="54">
        <f>H681*(1-0)</f>
        <v>0</v>
      </c>
      <c r="AQ681" s="56" t="s">
        <v>150</v>
      </c>
      <c r="AV681" s="54">
        <f>AW681+AX681</f>
        <v>0</v>
      </c>
      <c r="AW681" s="54">
        <f>G681*AO681</f>
        <v>0</v>
      </c>
      <c r="AX681" s="54">
        <f>G681*AP681</f>
        <v>0</v>
      </c>
      <c r="AY681" s="56" t="s">
        <v>1430</v>
      </c>
      <c r="AZ681" s="56" t="s">
        <v>1343</v>
      </c>
      <c r="BA681" s="34" t="s">
        <v>114</v>
      </c>
      <c r="BC681" s="54">
        <f>AW681+AX681</f>
        <v>0</v>
      </c>
      <c r="BD681" s="54">
        <f>H681/(100-BE681)*100</f>
        <v>0</v>
      </c>
      <c r="BE681" s="54">
        <v>0</v>
      </c>
      <c r="BF681" s="54">
        <f>L681</f>
        <v>0</v>
      </c>
      <c r="BH681" s="54">
        <f>G681*AO681</f>
        <v>0</v>
      </c>
      <c r="BI681" s="54">
        <f>G681*AP681</f>
        <v>0</v>
      </c>
      <c r="BJ681" s="54">
        <f>G681*H681</f>
        <v>0</v>
      </c>
      <c r="BK681" s="54"/>
      <c r="BL681" s="54">
        <v>97</v>
      </c>
      <c r="BW681" s="54">
        <v>21</v>
      </c>
      <c r="BX681" s="3" t="s">
        <v>1462</v>
      </c>
    </row>
    <row r="682" spans="1:76" ht="14.5" x14ac:dyDescent="0.35">
      <c r="A682" s="50" t="s">
        <v>10</v>
      </c>
      <c r="B682" s="51" t="s">
        <v>103</v>
      </c>
      <c r="C682" s="51" t="s">
        <v>709</v>
      </c>
      <c r="D682" s="206" t="s">
        <v>1465</v>
      </c>
      <c r="E682" s="207"/>
      <c r="F682" s="52" t="s">
        <v>84</v>
      </c>
      <c r="G682" s="52" t="s">
        <v>84</v>
      </c>
      <c r="H682" s="83" t="s">
        <v>84</v>
      </c>
      <c r="I682" s="27">
        <f>SUM(I683:I683)</f>
        <v>0</v>
      </c>
      <c r="J682" s="34" t="s">
        <v>10</v>
      </c>
      <c r="K682" s="34" t="s">
        <v>10</v>
      </c>
      <c r="L682" s="27">
        <f>SUM(L683:L683)</f>
        <v>0</v>
      </c>
      <c r="M682" s="53" t="s">
        <v>10</v>
      </c>
      <c r="AI682" s="34" t="s">
        <v>103</v>
      </c>
      <c r="AS682" s="27">
        <f>SUM(AJ683:AJ683)</f>
        <v>0</v>
      </c>
      <c r="AT682" s="27">
        <f>SUM(AK683:AK683)</f>
        <v>0</v>
      </c>
      <c r="AU682" s="27">
        <f>SUM(AL683:AL683)</f>
        <v>0</v>
      </c>
    </row>
    <row r="683" spans="1:76" ht="14.5" x14ac:dyDescent="0.35">
      <c r="A683" s="1" t="s">
        <v>1466</v>
      </c>
      <c r="B683" s="2" t="s">
        <v>103</v>
      </c>
      <c r="C683" s="2" t="s">
        <v>1467</v>
      </c>
      <c r="D683" s="155" t="s">
        <v>1468</v>
      </c>
      <c r="E683" s="153"/>
      <c r="F683" s="2" t="s">
        <v>412</v>
      </c>
      <c r="G683" s="54">
        <v>64.001999999999995</v>
      </c>
      <c r="H683" s="84">
        <v>0</v>
      </c>
      <c r="I683" s="54">
        <f>G683*H683</f>
        <v>0</v>
      </c>
      <c r="J683" s="54">
        <v>0</v>
      </c>
      <c r="K683" s="54">
        <v>0</v>
      </c>
      <c r="L683" s="54">
        <f>G683*J683</f>
        <v>0</v>
      </c>
      <c r="M683" s="55" t="s">
        <v>111</v>
      </c>
      <c r="Z683" s="54">
        <f>IF(AQ683="5",BJ683,0)</f>
        <v>0</v>
      </c>
      <c r="AB683" s="54">
        <f>IF(AQ683="1",BH683,0)</f>
        <v>0</v>
      </c>
      <c r="AC683" s="54">
        <f>IF(AQ683="1",BI683,0)</f>
        <v>0</v>
      </c>
      <c r="AD683" s="54">
        <f>IF(AQ683="7",BH683,0)</f>
        <v>0</v>
      </c>
      <c r="AE683" s="54">
        <f>IF(AQ683="7",BI683,0)</f>
        <v>0</v>
      </c>
      <c r="AF683" s="54">
        <f>IF(AQ683="2",BH683,0)</f>
        <v>0</v>
      </c>
      <c r="AG683" s="54">
        <f>IF(AQ683="2",BI683,0)</f>
        <v>0</v>
      </c>
      <c r="AH683" s="54">
        <f>IF(AQ683="0",BJ683,0)</f>
        <v>0</v>
      </c>
      <c r="AI683" s="34" t="s">
        <v>103</v>
      </c>
      <c r="AJ683" s="54">
        <f>IF(AN683=0,I683,0)</f>
        <v>0</v>
      </c>
      <c r="AK683" s="54">
        <f>IF(AN683=12,I683,0)</f>
        <v>0</v>
      </c>
      <c r="AL683" s="54">
        <f>IF(AN683=21,I683,0)</f>
        <v>0</v>
      </c>
      <c r="AN683" s="54">
        <v>21</v>
      </c>
      <c r="AO683" s="54">
        <f>H683*0</f>
        <v>0</v>
      </c>
      <c r="AP683" s="54">
        <f>H683*(1-0)</f>
        <v>0</v>
      </c>
      <c r="AQ683" s="56" t="s">
        <v>150</v>
      </c>
      <c r="AV683" s="54">
        <f>AW683+AX683</f>
        <v>0</v>
      </c>
      <c r="AW683" s="54">
        <f>G683*AO683</f>
        <v>0</v>
      </c>
      <c r="AX683" s="54">
        <f>G683*AP683</f>
        <v>0</v>
      </c>
      <c r="AY683" s="56" t="s">
        <v>1469</v>
      </c>
      <c r="AZ683" s="56" t="s">
        <v>1343</v>
      </c>
      <c r="BA683" s="34" t="s">
        <v>114</v>
      </c>
      <c r="BC683" s="54">
        <f>AW683+AX683</f>
        <v>0</v>
      </c>
      <c r="BD683" s="54">
        <f>H683/(100-BE683)*100</f>
        <v>0</v>
      </c>
      <c r="BE683" s="54">
        <v>0</v>
      </c>
      <c r="BF683" s="54">
        <f>L683</f>
        <v>0</v>
      </c>
      <c r="BH683" s="54">
        <f>G683*AO683</f>
        <v>0</v>
      </c>
      <c r="BI683" s="54">
        <f>G683*AP683</f>
        <v>0</v>
      </c>
      <c r="BJ683" s="54">
        <f>G683*H683</f>
        <v>0</v>
      </c>
      <c r="BK683" s="54"/>
      <c r="BL683" s="54">
        <v>99</v>
      </c>
      <c r="BW683" s="54">
        <v>21</v>
      </c>
      <c r="BX683" s="3" t="s">
        <v>1468</v>
      </c>
    </row>
    <row r="684" spans="1:76" ht="14.5" x14ac:dyDescent="0.35">
      <c r="A684" s="50" t="s">
        <v>10</v>
      </c>
      <c r="B684" s="51" t="s">
        <v>103</v>
      </c>
      <c r="C684" s="51" t="s">
        <v>1470</v>
      </c>
      <c r="D684" s="206" t="s">
        <v>1471</v>
      </c>
      <c r="E684" s="207"/>
      <c r="F684" s="52" t="s">
        <v>84</v>
      </c>
      <c r="G684" s="52" t="s">
        <v>84</v>
      </c>
      <c r="H684" s="83" t="s">
        <v>84</v>
      </c>
      <c r="I684" s="27">
        <f>SUM(I685:I690)</f>
        <v>0</v>
      </c>
      <c r="J684" s="34" t="s">
        <v>10</v>
      </c>
      <c r="K684" s="34" t="s">
        <v>10</v>
      </c>
      <c r="L684" s="27">
        <f>SUM(L685:L690)</f>
        <v>0</v>
      </c>
      <c r="M684" s="53" t="s">
        <v>10</v>
      </c>
      <c r="AI684" s="34" t="s">
        <v>103</v>
      </c>
      <c r="AS684" s="27">
        <f>SUM(AJ685:AJ690)</f>
        <v>0</v>
      </c>
      <c r="AT684" s="27">
        <f>SUM(AK685:AK690)</f>
        <v>0</v>
      </c>
      <c r="AU684" s="27">
        <f>SUM(AL685:AL690)</f>
        <v>0</v>
      </c>
    </row>
    <row r="685" spans="1:76" ht="14.5" x14ac:dyDescent="0.35">
      <c r="A685" s="1" t="s">
        <v>1472</v>
      </c>
      <c r="B685" s="2" t="s">
        <v>103</v>
      </c>
      <c r="C685" s="2" t="s">
        <v>1473</v>
      </c>
      <c r="D685" s="155" t="s">
        <v>1474</v>
      </c>
      <c r="E685" s="153"/>
      <c r="F685" s="2" t="s">
        <v>412</v>
      </c>
      <c r="G685" s="54">
        <v>25.975000000000001</v>
      </c>
      <c r="H685" s="84">
        <v>0</v>
      </c>
      <c r="I685" s="54">
        <f>G685*H685</f>
        <v>0</v>
      </c>
      <c r="J685" s="54">
        <v>0</v>
      </c>
      <c r="K685" s="54">
        <v>0</v>
      </c>
      <c r="L685" s="54">
        <f>G685*J685</f>
        <v>0</v>
      </c>
      <c r="M685" s="55" t="s">
        <v>111</v>
      </c>
      <c r="Z685" s="54">
        <f>IF(AQ685="5",BJ685,0)</f>
        <v>0</v>
      </c>
      <c r="AB685" s="54">
        <f>IF(AQ685="1",BH685,0)</f>
        <v>0</v>
      </c>
      <c r="AC685" s="54">
        <f>IF(AQ685="1",BI685,0)</f>
        <v>0</v>
      </c>
      <c r="AD685" s="54">
        <f>IF(AQ685="7",BH685,0)</f>
        <v>0</v>
      </c>
      <c r="AE685" s="54">
        <f>IF(AQ685="7",BI685,0)</f>
        <v>0</v>
      </c>
      <c r="AF685" s="54">
        <f>IF(AQ685="2",BH685,0)</f>
        <v>0</v>
      </c>
      <c r="AG685" s="54">
        <f>IF(AQ685="2",BI685,0)</f>
        <v>0</v>
      </c>
      <c r="AH685" s="54">
        <f>IF(AQ685="0",BJ685,0)</f>
        <v>0</v>
      </c>
      <c r="AI685" s="34" t="s">
        <v>103</v>
      </c>
      <c r="AJ685" s="54">
        <f>IF(AN685=0,I685,0)</f>
        <v>0</v>
      </c>
      <c r="AK685" s="54">
        <f>IF(AN685=12,I685,0)</f>
        <v>0</v>
      </c>
      <c r="AL685" s="54">
        <f>IF(AN685=21,I685,0)</f>
        <v>0</v>
      </c>
      <c r="AN685" s="54">
        <v>21</v>
      </c>
      <c r="AO685" s="54">
        <f>H685*0</f>
        <v>0</v>
      </c>
      <c r="AP685" s="54">
        <f>H685*(1-0)</f>
        <v>0</v>
      </c>
      <c r="AQ685" s="56" t="s">
        <v>150</v>
      </c>
      <c r="AV685" s="54">
        <f>AW685+AX685</f>
        <v>0</v>
      </c>
      <c r="AW685" s="54">
        <f>G685*AO685</f>
        <v>0</v>
      </c>
      <c r="AX685" s="54">
        <f>G685*AP685</f>
        <v>0</v>
      </c>
      <c r="AY685" s="56" t="s">
        <v>1475</v>
      </c>
      <c r="AZ685" s="56" t="s">
        <v>1343</v>
      </c>
      <c r="BA685" s="34" t="s">
        <v>114</v>
      </c>
      <c r="BC685" s="54">
        <f>AW685+AX685</f>
        <v>0</v>
      </c>
      <c r="BD685" s="54">
        <f>H685/(100-BE685)*100</f>
        <v>0</v>
      </c>
      <c r="BE685" s="54">
        <v>0</v>
      </c>
      <c r="BF685" s="54">
        <f>L685</f>
        <v>0</v>
      </c>
      <c r="BH685" s="54">
        <f>G685*AO685</f>
        <v>0</v>
      </c>
      <c r="BI685" s="54">
        <f>G685*AP685</f>
        <v>0</v>
      </c>
      <c r="BJ685" s="54">
        <f>G685*H685</f>
        <v>0</v>
      </c>
      <c r="BK685" s="54"/>
      <c r="BL685" s="54"/>
      <c r="BW685" s="54">
        <v>21</v>
      </c>
      <c r="BX685" s="3" t="s">
        <v>1474</v>
      </c>
    </row>
    <row r="686" spans="1:76" ht="14.5" x14ac:dyDescent="0.35">
      <c r="A686" s="1" t="s">
        <v>1477</v>
      </c>
      <c r="B686" s="2" t="s">
        <v>103</v>
      </c>
      <c r="C686" s="2" t="s">
        <v>1478</v>
      </c>
      <c r="D686" s="155" t="s">
        <v>1479</v>
      </c>
      <c r="E686" s="153"/>
      <c r="F686" s="2" t="s">
        <v>412</v>
      </c>
      <c r="G686" s="54">
        <v>623.4</v>
      </c>
      <c r="H686" s="84">
        <v>0</v>
      </c>
      <c r="I686" s="54">
        <f>G686*H686</f>
        <v>0</v>
      </c>
      <c r="J686" s="54">
        <v>0</v>
      </c>
      <c r="K686" s="54">
        <v>0</v>
      </c>
      <c r="L686" s="54">
        <f>G686*J686</f>
        <v>0</v>
      </c>
      <c r="M686" s="55" t="s">
        <v>111</v>
      </c>
      <c r="Z686" s="54">
        <f>IF(AQ686="5",BJ686,0)</f>
        <v>0</v>
      </c>
      <c r="AB686" s="54">
        <f>IF(AQ686="1",BH686,0)</f>
        <v>0</v>
      </c>
      <c r="AC686" s="54">
        <f>IF(AQ686="1",BI686,0)</f>
        <v>0</v>
      </c>
      <c r="AD686" s="54">
        <f>IF(AQ686="7",BH686,0)</f>
        <v>0</v>
      </c>
      <c r="AE686" s="54">
        <f>IF(AQ686="7",BI686,0)</f>
        <v>0</v>
      </c>
      <c r="AF686" s="54">
        <f>IF(AQ686="2",BH686,0)</f>
        <v>0</v>
      </c>
      <c r="AG686" s="54">
        <f>IF(AQ686="2",BI686,0)</f>
        <v>0</v>
      </c>
      <c r="AH686" s="54">
        <f>IF(AQ686="0",BJ686,0)</f>
        <v>0</v>
      </c>
      <c r="AI686" s="34" t="s">
        <v>103</v>
      </c>
      <c r="AJ686" s="54">
        <f>IF(AN686=0,I686,0)</f>
        <v>0</v>
      </c>
      <c r="AK686" s="54">
        <f>IF(AN686=12,I686,0)</f>
        <v>0</v>
      </c>
      <c r="AL686" s="54">
        <f>IF(AN686=21,I686,0)</f>
        <v>0</v>
      </c>
      <c r="AN686" s="54">
        <v>21</v>
      </c>
      <c r="AO686" s="54">
        <f>H686*0</f>
        <v>0</v>
      </c>
      <c r="AP686" s="54">
        <f>H686*(1-0)</f>
        <v>0</v>
      </c>
      <c r="AQ686" s="56" t="s">
        <v>150</v>
      </c>
      <c r="AV686" s="54">
        <f>AW686+AX686</f>
        <v>0</v>
      </c>
      <c r="AW686" s="54">
        <f>G686*AO686</f>
        <v>0</v>
      </c>
      <c r="AX686" s="54">
        <f>G686*AP686</f>
        <v>0</v>
      </c>
      <c r="AY686" s="56" t="s">
        <v>1475</v>
      </c>
      <c r="AZ686" s="56" t="s">
        <v>1343</v>
      </c>
      <c r="BA686" s="34" t="s">
        <v>114</v>
      </c>
      <c r="BC686" s="54">
        <f>AW686+AX686</f>
        <v>0</v>
      </c>
      <c r="BD686" s="54">
        <f>H686/(100-BE686)*100</f>
        <v>0</v>
      </c>
      <c r="BE686" s="54">
        <v>0</v>
      </c>
      <c r="BF686" s="54">
        <f>L686</f>
        <v>0</v>
      </c>
      <c r="BH686" s="54">
        <f>G686*AO686</f>
        <v>0</v>
      </c>
      <c r="BI686" s="54">
        <f>G686*AP686</f>
        <v>0</v>
      </c>
      <c r="BJ686" s="54">
        <f>G686*H686</f>
        <v>0</v>
      </c>
      <c r="BK686" s="54"/>
      <c r="BL686" s="54"/>
      <c r="BW686" s="54">
        <v>21</v>
      </c>
      <c r="BX686" s="3" t="s">
        <v>1479</v>
      </c>
    </row>
    <row r="687" spans="1:76" ht="14.5" x14ac:dyDescent="0.35">
      <c r="A687" s="57"/>
      <c r="D687" s="58" t="s">
        <v>1481</v>
      </c>
      <c r="E687" s="59" t="s">
        <v>1482</v>
      </c>
      <c r="G687" s="60">
        <v>623.4</v>
      </c>
      <c r="M687" s="61"/>
    </row>
    <row r="688" spans="1:76" ht="14.5" x14ac:dyDescent="0.35">
      <c r="A688" s="1" t="s">
        <v>1483</v>
      </c>
      <c r="B688" s="2" t="s">
        <v>103</v>
      </c>
      <c r="C688" s="2" t="s">
        <v>1484</v>
      </c>
      <c r="D688" s="155" t="s">
        <v>1485</v>
      </c>
      <c r="E688" s="153"/>
      <c r="F688" s="2" t="s">
        <v>412</v>
      </c>
      <c r="G688" s="54">
        <v>9.7240000000000002</v>
      </c>
      <c r="H688" s="84">
        <v>0</v>
      </c>
      <c r="I688" s="54">
        <f>G688*H688</f>
        <v>0</v>
      </c>
      <c r="J688" s="54">
        <v>0</v>
      </c>
      <c r="K688" s="54">
        <v>0</v>
      </c>
      <c r="L688" s="54">
        <f>G688*J688</f>
        <v>0</v>
      </c>
      <c r="M688" s="55" t="s">
        <v>111</v>
      </c>
      <c r="Z688" s="54">
        <f>IF(AQ688="5",BJ688,0)</f>
        <v>0</v>
      </c>
      <c r="AB688" s="54">
        <f>IF(AQ688="1",BH688,0)</f>
        <v>0</v>
      </c>
      <c r="AC688" s="54">
        <f>IF(AQ688="1",BI688,0)</f>
        <v>0</v>
      </c>
      <c r="AD688" s="54">
        <f>IF(AQ688="7",BH688,0)</f>
        <v>0</v>
      </c>
      <c r="AE688" s="54">
        <f>IF(AQ688="7",BI688,0)</f>
        <v>0</v>
      </c>
      <c r="AF688" s="54">
        <f>IF(AQ688="2",BH688,0)</f>
        <v>0</v>
      </c>
      <c r="AG688" s="54">
        <f>IF(AQ688="2",BI688,0)</f>
        <v>0</v>
      </c>
      <c r="AH688" s="54">
        <f>IF(AQ688="0",BJ688,0)</f>
        <v>0</v>
      </c>
      <c r="AI688" s="34" t="s">
        <v>103</v>
      </c>
      <c r="AJ688" s="54">
        <f>IF(AN688=0,I688,0)</f>
        <v>0</v>
      </c>
      <c r="AK688" s="54">
        <f>IF(AN688=12,I688,0)</f>
        <v>0</v>
      </c>
      <c r="AL688" s="54">
        <f>IF(AN688=21,I688,0)</f>
        <v>0</v>
      </c>
      <c r="AN688" s="54">
        <v>21</v>
      </c>
      <c r="AO688" s="54">
        <f>H688*0</f>
        <v>0</v>
      </c>
      <c r="AP688" s="54">
        <f>H688*(1-0)</f>
        <v>0</v>
      </c>
      <c r="AQ688" s="56" t="s">
        <v>150</v>
      </c>
      <c r="AV688" s="54">
        <f>AW688+AX688</f>
        <v>0</v>
      </c>
      <c r="AW688" s="54">
        <f>G688*AO688</f>
        <v>0</v>
      </c>
      <c r="AX688" s="54">
        <f>G688*AP688</f>
        <v>0</v>
      </c>
      <c r="AY688" s="56" t="s">
        <v>1475</v>
      </c>
      <c r="AZ688" s="56" t="s">
        <v>1343</v>
      </c>
      <c r="BA688" s="34" t="s">
        <v>114</v>
      </c>
      <c r="BC688" s="54">
        <f>AW688+AX688</f>
        <v>0</v>
      </c>
      <c r="BD688" s="54">
        <f>H688/(100-BE688)*100</f>
        <v>0</v>
      </c>
      <c r="BE688" s="54">
        <v>0</v>
      </c>
      <c r="BF688" s="54">
        <f>L688</f>
        <v>0</v>
      </c>
      <c r="BH688" s="54">
        <f>G688*AO688</f>
        <v>0</v>
      </c>
      <c r="BI688" s="54">
        <f>G688*AP688</f>
        <v>0</v>
      </c>
      <c r="BJ688" s="54">
        <f>G688*H688</f>
        <v>0</v>
      </c>
      <c r="BK688" s="54"/>
      <c r="BL688" s="54"/>
      <c r="BW688" s="54">
        <v>21</v>
      </c>
      <c r="BX688" s="3" t="s">
        <v>1485</v>
      </c>
    </row>
    <row r="689" spans="1:76" ht="14.5" x14ac:dyDescent="0.35">
      <c r="A689" s="1" t="s">
        <v>1487</v>
      </c>
      <c r="B689" s="2" t="s">
        <v>103</v>
      </c>
      <c r="C689" s="2" t="s">
        <v>1488</v>
      </c>
      <c r="D689" s="155" t="s">
        <v>1489</v>
      </c>
      <c r="E689" s="153"/>
      <c r="F689" s="2" t="s">
        <v>412</v>
      </c>
      <c r="G689" s="54">
        <v>1.9239999999999999</v>
      </c>
      <c r="H689" s="84">
        <v>0</v>
      </c>
      <c r="I689" s="54">
        <f>G689*H689</f>
        <v>0</v>
      </c>
      <c r="J689" s="54">
        <v>0</v>
      </c>
      <c r="K689" s="54">
        <v>0</v>
      </c>
      <c r="L689" s="54">
        <f>G689*J689</f>
        <v>0</v>
      </c>
      <c r="M689" s="55" t="s">
        <v>111</v>
      </c>
      <c r="Z689" s="54">
        <f>IF(AQ689="5",BJ689,0)</f>
        <v>0</v>
      </c>
      <c r="AB689" s="54">
        <f>IF(AQ689="1",BH689,0)</f>
        <v>0</v>
      </c>
      <c r="AC689" s="54">
        <f>IF(AQ689="1",BI689,0)</f>
        <v>0</v>
      </c>
      <c r="AD689" s="54">
        <f>IF(AQ689="7",BH689,0)</f>
        <v>0</v>
      </c>
      <c r="AE689" s="54">
        <f>IF(AQ689="7",BI689,0)</f>
        <v>0</v>
      </c>
      <c r="AF689" s="54">
        <f>IF(AQ689="2",BH689,0)</f>
        <v>0</v>
      </c>
      <c r="AG689" s="54">
        <f>IF(AQ689="2",BI689,0)</f>
        <v>0</v>
      </c>
      <c r="AH689" s="54">
        <f>IF(AQ689="0",BJ689,0)</f>
        <v>0</v>
      </c>
      <c r="AI689" s="34" t="s">
        <v>103</v>
      </c>
      <c r="AJ689" s="54">
        <f>IF(AN689=0,I689,0)</f>
        <v>0</v>
      </c>
      <c r="AK689" s="54">
        <f>IF(AN689=12,I689,0)</f>
        <v>0</v>
      </c>
      <c r="AL689" s="54">
        <f>IF(AN689=21,I689,0)</f>
        <v>0</v>
      </c>
      <c r="AN689" s="54">
        <v>21</v>
      </c>
      <c r="AO689" s="54">
        <f>H689*0</f>
        <v>0</v>
      </c>
      <c r="AP689" s="54">
        <f>H689*(1-0)</f>
        <v>0</v>
      </c>
      <c r="AQ689" s="56" t="s">
        <v>150</v>
      </c>
      <c r="AV689" s="54">
        <f>AW689+AX689</f>
        <v>0</v>
      </c>
      <c r="AW689" s="54">
        <f>G689*AO689</f>
        <v>0</v>
      </c>
      <c r="AX689" s="54">
        <f>G689*AP689</f>
        <v>0</v>
      </c>
      <c r="AY689" s="56" t="s">
        <v>1475</v>
      </c>
      <c r="AZ689" s="56" t="s">
        <v>1343</v>
      </c>
      <c r="BA689" s="34" t="s">
        <v>114</v>
      </c>
      <c r="BC689" s="54">
        <f>AW689+AX689</f>
        <v>0</v>
      </c>
      <c r="BD689" s="54">
        <f>H689/(100-BE689)*100</f>
        <v>0</v>
      </c>
      <c r="BE689" s="54">
        <v>0</v>
      </c>
      <c r="BF689" s="54">
        <f>L689</f>
        <v>0</v>
      </c>
      <c r="BH689" s="54">
        <f>G689*AO689</f>
        <v>0</v>
      </c>
      <c r="BI689" s="54">
        <f>G689*AP689</f>
        <v>0</v>
      </c>
      <c r="BJ689" s="54">
        <f>G689*H689</f>
        <v>0</v>
      </c>
      <c r="BK689" s="54"/>
      <c r="BL689" s="54"/>
      <c r="BW689" s="54">
        <v>21</v>
      </c>
      <c r="BX689" s="3" t="s">
        <v>1489</v>
      </c>
    </row>
    <row r="690" spans="1:76" ht="14.5" x14ac:dyDescent="0.35">
      <c r="A690" s="1" t="s">
        <v>1490</v>
      </c>
      <c r="B690" s="2" t="s">
        <v>103</v>
      </c>
      <c r="C690" s="2" t="s">
        <v>1491</v>
      </c>
      <c r="D690" s="155" t="s">
        <v>1492</v>
      </c>
      <c r="E690" s="153"/>
      <c r="F690" s="2" t="s">
        <v>412</v>
      </c>
      <c r="G690" s="54">
        <v>14.327</v>
      </c>
      <c r="H690" s="84">
        <v>0</v>
      </c>
      <c r="I690" s="54">
        <f>G690*H690</f>
        <v>0</v>
      </c>
      <c r="J690" s="54">
        <v>0</v>
      </c>
      <c r="K690" s="54">
        <v>0</v>
      </c>
      <c r="L690" s="54">
        <f>G690*J690</f>
        <v>0</v>
      </c>
      <c r="M690" s="55" t="s">
        <v>111</v>
      </c>
      <c r="Z690" s="54">
        <f>IF(AQ690="5",BJ690,0)</f>
        <v>0</v>
      </c>
      <c r="AB690" s="54">
        <f>IF(AQ690="1",BH690,0)</f>
        <v>0</v>
      </c>
      <c r="AC690" s="54">
        <f>IF(AQ690="1",BI690,0)</f>
        <v>0</v>
      </c>
      <c r="AD690" s="54">
        <f>IF(AQ690="7",BH690,0)</f>
        <v>0</v>
      </c>
      <c r="AE690" s="54">
        <f>IF(AQ690="7",BI690,0)</f>
        <v>0</v>
      </c>
      <c r="AF690" s="54">
        <f>IF(AQ690="2",BH690,0)</f>
        <v>0</v>
      </c>
      <c r="AG690" s="54">
        <f>IF(AQ690="2",BI690,0)</f>
        <v>0</v>
      </c>
      <c r="AH690" s="54">
        <f>IF(AQ690="0",BJ690,0)</f>
        <v>0</v>
      </c>
      <c r="AI690" s="34" t="s">
        <v>103</v>
      </c>
      <c r="AJ690" s="54">
        <f>IF(AN690=0,I690,0)</f>
        <v>0</v>
      </c>
      <c r="AK690" s="54">
        <f>IF(AN690=12,I690,0)</f>
        <v>0</v>
      </c>
      <c r="AL690" s="54">
        <f>IF(AN690=21,I690,0)</f>
        <v>0</v>
      </c>
      <c r="AN690" s="54">
        <v>21</v>
      </c>
      <c r="AO690" s="54">
        <f>H690*0</f>
        <v>0</v>
      </c>
      <c r="AP690" s="54">
        <f>H690*(1-0)</f>
        <v>0</v>
      </c>
      <c r="AQ690" s="56" t="s">
        <v>150</v>
      </c>
      <c r="AV690" s="54">
        <f>AW690+AX690</f>
        <v>0</v>
      </c>
      <c r="AW690" s="54">
        <f>G690*AO690</f>
        <v>0</v>
      </c>
      <c r="AX690" s="54">
        <f>G690*AP690</f>
        <v>0</v>
      </c>
      <c r="AY690" s="56" t="s">
        <v>1475</v>
      </c>
      <c r="AZ690" s="56" t="s">
        <v>1343</v>
      </c>
      <c r="BA690" s="34" t="s">
        <v>114</v>
      </c>
      <c r="BC690" s="54">
        <f>AW690+AX690</f>
        <v>0</v>
      </c>
      <c r="BD690" s="54">
        <f>H690/(100-BE690)*100</f>
        <v>0</v>
      </c>
      <c r="BE690" s="54">
        <v>0</v>
      </c>
      <c r="BF690" s="54">
        <f>L690</f>
        <v>0</v>
      </c>
      <c r="BH690" s="54">
        <f>G690*AO690</f>
        <v>0</v>
      </c>
      <c r="BI690" s="54">
        <f>G690*AP690</f>
        <v>0</v>
      </c>
      <c r="BJ690" s="54">
        <f>G690*H690</f>
        <v>0</v>
      </c>
      <c r="BK690" s="54"/>
      <c r="BL690" s="54"/>
      <c r="BW690" s="54">
        <v>21</v>
      </c>
      <c r="BX690" s="3" t="s">
        <v>1492</v>
      </c>
    </row>
    <row r="691" spans="1:76" ht="14.5" x14ac:dyDescent="0.35">
      <c r="A691" s="50" t="s">
        <v>10</v>
      </c>
      <c r="B691" s="51" t="s">
        <v>103</v>
      </c>
      <c r="C691" s="51" t="s">
        <v>10</v>
      </c>
      <c r="D691" s="206" t="s">
        <v>1494</v>
      </c>
      <c r="E691" s="207"/>
      <c r="F691" s="52" t="s">
        <v>84</v>
      </c>
      <c r="G691" s="52" t="s">
        <v>84</v>
      </c>
      <c r="H691" s="83" t="s">
        <v>84</v>
      </c>
      <c r="I691" s="27">
        <f>SUM(I692:I694)</f>
        <v>0</v>
      </c>
      <c r="J691" s="34" t="s">
        <v>10</v>
      </c>
      <c r="K691" s="34" t="s">
        <v>10</v>
      </c>
      <c r="L691" s="27">
        <f>SUM(L692:L694)</f>
        <v>0</v>
      </c>
      <c r="M691" s="53" t="s">
        <v>10</v>
      </c>
      <c r="AI691" s="34" t="s">
        <v>103</v>
      </c>
      <c r="AS691" s="27">
        <f>SUM(AJ692:AJ694)</f>
        <v>0</v>
      </c>
      <c r="AT691" s="27">
        <f>SUM(AK692:AK694)</f>
        <v>0</v>
      </c>
      <c r="AU691" s="27">
        <f>SUM(AL692:AL694)</f>
        <v>0</v>
      </c>
    </row>
    <row r="692" spans="1:76" ht="25" x14ac:dyDescent="0.35">
      <c r="A692" s="1" t="s">
        <v>1495</v>
      </c>
      <c r="B692" s="2" t="s">
        <v>103</v>
      </c>
      <c r="C692" s="2" t="s">
        <v>1496</v>
      </c>
      <c r="D692" s="155" t="s">
        <v>1497</v>
      </c>
      <c r="E692" s="153"/>
      <c r="F692" s="2" t="s">
        <v>581</v>
      </c>
      <c r="G692" s="54">
        <v>24</v>
      </c>
      <c r="H692" s="84">
        <v>0</v>
      </c>
      <c r="I692" s="54">
        <f>G692*H692</f>
        <v>0</v>
      </c>
      <c r="J692" s="54">
        <v>0</v>
      </c>
      <c r="K692" s="54">
        <v>0</v>
      </c>
      <c r="L692" s="54">
        <f>G692*J692</f>
        <v>0</v>
      </c>
      <c r="M692" s="55" t="s">
        <v>10</v>
      </c>
      <c r="Z692" s="54">
        <f>IF(AQ692="5",BJ692,0)</f>
        <v>0</v>
      </c>
      <c r="AB692" s="54">
        <f>IF(AQ692="1",BH692,0)</f>
        <v>0</v>
      </c>
      <c r="AC692" s="54">
        <f>IF(AQ692="1",BI692,0)</f>
        <v>0</v>
      </c>
      <c r="AD692" s="54">
        <f>IF(AQ692="7",BH692,0)</f>
        <v>0</v>
      </c>
      <c r="AE692" s="54">
        <f>IF(AQ692="7",BI692,0)</f>
        <v>0</v>
      </c>
      <c r="AF692" s="54">
        <f>IF(AQ692="2",BH692,0)</f>
        <v>0</v>
      </c>
      <c r="AG692" s="54">
        <f>IF(AQ692="2",BI692,0)</f>
        <v>0</v>
      </c>
      <c r="AH692" s="54">
        <f>IF(AQ692="0",BJ692,0)</f>
        <v>0</v>
      </c>
      <c r="AI692" s="34" t="s">
        <v>103</v>
      </c>
      <c r="AJ692" s="54">
        <f>IF(AN692=0,I692,0)</f>
        <v>0</v>
      </c>
      <c r="AK692" s="54">
        <f>IF(AN692=12,I692,0)</f>
        <v>0</v>
      </c>
      <c r="AL692" s="54">
        <f>IF(AN692=21,I692,0)</f>
        <v>0</v>
      </c>
      <c r="AN692" s="54">
        <v>21</v>
      </c>
      <c r="AO692" s="54">
        <f>H692*0</f>
        <v>0</v>
      </c>
      <c r="AP692" s="54">
        <f>H692*(1-0)</f>
        <v>0</v>
      </c>
      <c r="AQ692" s="56" t="s">
        <v>107</v>
      </c>
      <c r="AV692" s="54">
        <f>AW692+AX692</f>
        <v>0</v>
      </c>
      <c r="AW692" s="54">
        <f>G692*AO692</f>
        <v>0</v>
      </c>
      <c r="AX692" s="54">
        <f>G692*AP692</f>
        <v>0</v>
      </c>
      <c r="AY692" s="56" t="s">
        <v>1498</v>
      </c>
      <c r="AZ692" s="56" t="s">
        <v>1499</v>
      </c>
      <c r="BA692" s="34" t="s">
        <v>114</v>
      </c>
      <c r="BC692" s="54">
        <f>AW692+AX692</f>
        <v>0</v>
      </c>
      <c r="BD692" s="54">
        <f>H692/(100-BE692)*100</f>
        <v>0</v>
      </c>
      <c r="BE692" s="54">
        <v>0</v>
      </c>
      <c r="BF692" s="54">
        <f>L692</f>
        <v>0</v>
      </c>
      <c r="BH692" s="54">
        <f>G692*AO692</f>
        <v>0</v>
      </c>
      <c r="BI692" s="54">
        <f>G692*AP692</f>
        <v>0</v>
      </c>
      <c r="BJ692" s="54">
        <f>G692*H692</f>
        <v>0</v>
      </c>
      <c r="BK692" s="54"/>
      <c r="BL692" s="54"/>
      <c r="BW692" s="54">
        <v>21</v>
      </c>
      <c r="BX692" s="3" t="s">
        <v>1497</v>
      </c>
    </row>
    <row r="693" spans="1:76" ht="25" x14ac:dyDescent="0.35">
      <c r="A693" s="1" t="s">
        <v>1501</v>
      </c>
      <c r="B693" s="2" t="s">
        <v>103</v>
      </c>
      <c r="C693" s="2" t="s">
        <v>1502</v>
      </c>
      <c r="D693" s="155" t="s">
        <v>1503</v>
      </c>
      <c r="E693" s="153"/>
      <c r="F693" s="2" t="s">
        <v>581</v>
      </c>
      <c r="G693" s="54">
        <v>1</v>
      </c>
      <c r="H693" s="84">
        <v>0</v>
      </c>
      <c r="I693" s="54">
        <f>G693*H693</f>
        <v>0</v>
      </c>
      <c r="J693" s="54">
        <v>0</v>
      </c>
      <c r="K693" s="54">
        <v>0</v>
      </c>
      <c r="L693" s="54">
        <f>G693*J693</f>
        <v>0</v>
      </c>
      <c r="M693" s="55" t="s">
        <v>10</v>
      </c>
      <c r="Z693" s="54">
        <f>IF(AQ693="5",BJ693,0)</f>
        <v>0</v>
      </c>
      <c r="AB693" s="54">
        <f>IF(AQ693="1",BH693,0)</f>
        <v>0</v>
      </c>
      <c r="AC693" s="54">
        <f>IF(AQ693="1",BI693,0)</f>
        <v>0</v>
      </c>
      <c r="AD693" s="54">
        <f>IF(AQ693="7",BH693,0)</f>
        <v>0</v>
      </c>
      <c r="AE693" s="54">
        <f>IF(AQ693="7",BI693,0)</f>
        <v>0</v>
      </c>
      <c r="AF693" s="54">
        <f>IF(AQ693="2",BH693,0)</f>
        <v>0</v>
      </c>
      <c r="AG693" s="54">
        <f>IF(AQ693="2",BI693,0)</f>
        <v>0</v>
      </c>
      <c r="AH693" s="54">
        <f>IF(AQ693="0",BJ693,0)</f>
        <v>0</v>
      </c>
      <c r="AI693" s="34" t="s">
        <v>103</v>
      </c>
      <c r="AJ693" s="54">
        <f>IF(AN693=0,I693,0)</f>
        <v>0</v>
      </c>
      <c r="AK693" s="54">
        <f>IF(AN693=12,I693,0)</f>
        <v>0</v>
      </c>
      <c r="AL693" s="54">
        <f>IF(AN693=21,I693,0)</f>
        <v>0</v>
      </c>
      <c r="AN693" s="54">
        <v>21</v>
      </c>
      <c r="AO693" s="54">
        <f>H693*0</f>
        <v>0</v>
      </c>
      <c r="AP693" s="54">
        <f>H693*(1-0)</f>
        <v>0</v>
      </c>
      <c r="AQ693" s="56" t="s">
        <v>107</v>
      </c>
      <c r="AV693" s="54">
        <f>AW693+AX693</f>
        <v>0</v>
      </c>
      <c r="AW693" s="54">
        <f>G693*AO693</f>
        <v>0</v>
      </c>
      <c r="AX693" s="54">
        <f>G693*AP693</f>
        <v>0</v>
      </c>
      <c r="AY693" s="56" t="s">
        <v>1498</v>
      </c>
      <c r="AZ693" s="56" t="s">
        <v>1499</v>
      </c>
      <c r="BA693" s="34" t="s">
        <v>114</v>
      </c>
      <c r="BC693" s="54">
        <f>AW693+AX693</f>
        <v>0</v>
      </c>
      <c r="BD693" s="54">
        <f>H693/(100-BE693)*100</f>
        <v>0</v>
      </c>
      <c r="BE693" s="54">
        <v>0</v>
      </c>
      <c r="BF693" s="54">
        <f>L693</f>
        <v>0</v>
      </c>
      <c r="BH693" s="54">
        <f>G693*AO693</f>
        <v>0</v>
      </c>
      <c r="BI693" s="54">
        <f>G693*AP693</f>
        <v>0</v>
      </c>
      <c r="BJ693" s="54">
        <f>G693*H693</f>
        <v>0</v>
      </c>
      <c r="BK693" s="54"/>
      <c r="BL693" s="54"/>
      <c r="BW693" s="54">
        <v>21</v>
      </c>
      <c r="BX693" s="3" t="s">
        <v>1503</v>
      </c>
    </row>
    <row r="694" spans="1:76" ht="14.5" x14ac:dyDescent="0.35">
      <c r="A694" s="1" t="s">
        <v>1505</v>
      </c>
      <c r="B694" s="2" t="s">
        <v>103</v>
      </c>
      <c r="C694" s="2" t="s">
        <v>1506</v>
      </c>
      <c r="D694" s="155" t="s">
        <v>1507</v>
      </c>
      <c r="E694" s="153"/>
      <c r="F694" s="2" t="s">
        <v>581</v>
      </c>
      <c r="G694" s="54">
        <v>1</v>
      </c>
      <c r="H694" s="84">
        <v>0</v>
      </c>
      <c r="I694" s="54">
        <f>G694*H694</f>
        <v>0</v>
      </c>
      <c r="J694" s="54">
        <v>0</v>
      </c>
      <c r="K694" s="54">
        <v>0</v>
      </c>
      <c r="L694" s="54">
        <f>G694*J694</f>
        <v>0</v>
      </c>
      <c r="M694" s="55" t="s">
        <v>10</v>
      </c>
      <c r="Z694" s="54">
        <f>IF(AQ694="5",BJ694,0)</f>
        <v>0</v>
      </c>
      <c r="AB694" s="54">
        <f>IF(AQ694="1",BH694,0)</f>
        <v>0</v>
      </c>
      <c r="AC694" s="54">
        <f>IF(AQ694="1",BI694,0)</f>
        <v>0</v>
      </c>
      <c r="AD694" s="54">
        <f>IF(AQ694="7",BH694,0)</f>
        <v>0</v>
      </c>
      <c r="AE694" s="54">
        <f>IF(AQ694="7",BI694,0)</f>
        <v>0</v>
      </c>
      <c r="AF694" s="54">
        <f>IF(AQ694="2",BH694,0)</f>
        <v>0</v>
      </c>
      <c r="AG694" s="54">
        <f>IF(AQ694="2",BI694,0)</f>
        <v>0</v>
      </c>
      <c r="AH694" s="54">
        <f>IF(AQ694="0",BJ694,0)</f>
        <v>0</v>
      </c>
      <c r="AI694" s="34" t="s">
        <v>103</v>
      </c>
      <c r="AJ694" s="54">
        <f>IF(AN694=0,I694,0)</f>
        <v>0</v>
      </c>
      <c r="AK694" s="54">
        <f>IF(AN694=12,I694,0)</f>
        <v>0</v>
      </c>
      <c r="AL694" s="54">
        <f>IF(AN694=21,I694,0)</f>
        <v>0</v>
      </c>
      <c r="AN694" s="54">
        <v>21</v>
      </c>
      <c r="AO694" s="54">
        <f>H694*0</f>
        <v>0</v>
      </c>
      <c r="AP694" s="54">
        <f>H694*(1-0)</f>
        <v>0</v>
      </c>
      <c r="AQ694" s="56" t="s">
        <v>107</v>
      </c>
      <c r="AV694" s="54">
        <f>AW694+AX694</f>
        <v>0</v>
      </c>
      <c r="AW694" s="54">
        <f>G694*AO694</f>
        <v>0</v>
      </c>
      <c r="AX694" s="54">
        <f>G694*AP694</f>
        <v>0</v>
      </c>
      <c r="AY694" s="56" t="s">
        <v>1498</v>
      </c>
      <c r="AZ694" s="56" t="s">
        <v>1499</v>
      </c>
      <c r="BA694" s="34" t="s">
        <v>114</v>
      </c>
      <c r="BC694" s="54">
        <f>AW694+AX694</f>
        <v>0</v>
      </c>
      <c r="BD694" s="54">
        <f>H694/(100-BE694)*100</f>
        <v>0</v>
      </c>
      <c r="BE694" s="54">
        <v>0</v>
      </c>
      <c r="BF694" s="54">
        <f>L694</f>
        <v>0</v>
      </c>
      <c r="BH694" s="54">
        <f>G694*AO694</f>
        <v>0</v>
      </c>
      <c r="BI694" s="54">
        <f>G694*AP694</f>
        <v>0</v>
      </c>
      <c r="BJ694" s="54">
        <f>G694*H694</f>
        <v>0</v>
      </c>
      <c r="BK694" s="54"/>
      <c r="BL694" s="54"/>
      <c r="BW694" s="54">
        <v>21</v>
      </c>
      <c r="BX694" s="3" t="s">
        <v>1507</v>
      </c>
    </row>
    <row r="695" spans="1:76" ht="14.5" x14ac:dyDescent="0.35">
      <c r="A695" s="86" t="s">
        <v>10</v>
      </c>
      <c r="B695" s="87" t="s">
        <v>1512</v>
      </c>
      <c r="C695" s="87" t="s">
        <v>10</v>
      </c>
      <c r="D695" s="234" t="s">
        <v>1513</v>
      </c>
      <c r="E695" s="235"/>
      <c r="F695" s="88" t="s">
        <v>84</v>
      </c>
      <c r="G695" s="88" t="s">
        <v>84</v>
      </c>
      <c r="H695" s="89" t="s">
        <v>84</v>
      </c>
      <c r="I695" s="90">
        <f>I696+I698+I712+I790</f>
        <v>0</v>
      </c>
      <c r="J695" s="91" t="s">
        <v>10</v>
      </c>
      <c r="K695" s="91" t="s">
        <v>10</v>
      </c>
      <c r="L695" s="90">
        <f>L696+L698+L712+L790</f>
        <v>1.2071400000000001</v>
      </c>
      <c r="M695" s="92" t="s">
        <v>10</v>
      </c>
    </row>
    <row r="696" spans="1:76" ht="14.5" x14ac:dyDescent="0.35">
      <c r="A696" s="50" t="s">
        <v>10</v>
      </c>
      <c r="B696" s="51" t="s">
        <v>1512</v>
      </c>
      <c r="C696" s="51" t="s">
        <v>1514</v>
      </c>
      <c r="D696" s="206" t="s">
        <v>1515</v>
      </c>
      <c r="E696" s="207"/>
      <c r="F696" s="52" t="s">
        <v>84</v>
      </c>
      <c r="G696" s="52" t="s">
        <v>84</v>
      </c>
      <c r="H696" s="83" t="s">
        <v>84</v>
      </c>
      <c r="I696" s="27">
        <f>SUM(I697:I697)</f>
        <v>0</v>
      </c>
      <c r="J696" s="34" t="s">
        <v>10</v>
      </c>
      <c r="K696" s="34" t="s">
        <v>10</v>
      </c>
      <c r="L696" s="27">
        <f>SUM(L697:L697)</f>
        <v>8.8440000000000005E-2</v>
      </c>
      <c r="M696" s="53" t="s">
        <v>10</v>
      </c>
      <c r="AI696" s="34" t="s">
        <v>1512</v>
      </c>
      <c r="AS696" s="27">
        <f>SUM(AJ697:AJ697)</f>
        <v>0</v>
      </c>
      <c r="AT696" s="27">
        <f>SUM(AK697:AK697)</f>
        <v>0</v>
      </c>
      <c r="AU696" s="27">
        <f>SUM(AL697:AL697)</f>
        <v>0</v>
      </c>
    </row>
    <row r="697" spans="1:76" ht="14.5" x14ac:dyDescent="0.35">
      <c r="A697" s="1" t="s">
        <v>1854</v>
      </c>
      <c r="B697" s="2" t="s">
        <v>1512</v>
      </c>
      <c r="C697" s="2" t="s">
        <v>1516</v>
      </c>
      <c r="D697" s="155" t="s">
        <v>1517</v>
      </c>
      <c r="E697" s="153"/>
      <c r="F697" s="2" t="s">
        <v>196</v>
      </c>
      <c r="G697" s="54">
        <v>44</v>
      </c>
      <c r="H697" s="84">
        <v>0</v>
      </c>
      <c r="I697" s="54">
        <f>G697*H697</f>
        <v>0</v>
      </c>
      <c r="J697" s="54">
        <v>2.0100000000000001E-3</v>
      </c>
      <c r="K697" s="54">
        <v>0</v>
      </c>
      <c r="L697" s="54">
        <f>G697*J697</f>
        <v>8.8440000000000005E-2</v>
      </c>
      <c r="M697" s="55" t="s">
        <v>111</v>
      </c>
      <c r="Z697" s="54">
        <f>IF(AQ697="5",BJ697,0)</f>
        <v>0</v>
      </c>
      <c r="AB697" s="54">
        <f>IF(AQ697="1",BH697,0)</f>
        <v>0</v>
      </c>
      <c r="AC697" s="54">
        <f>IF(AQ697="1",BI697,0)</f>
        <v>0</v>
      </c>
      <c r="AD697" s="54">
        <f>IF(AQ697="7",BH697,0)</f>
        <v>0</v>
      </c>
      <c r="AE697" s="54">
        <f>IF(AQ697="7",BI697,0)</f>
        <v>0</v>
      </c>
      <c r="AF697" s="54">
        <f>IF(AQ697="2",BH697,0)</f>
        <v>0</v>
      </c>
      <c r="AG697" s="54">
        <f>IF(AQ697="2",BI697,0)</f>
        <v>0</v>
      </c>
      <c r="AH697" s="54">
        <f>IF(AQ697="0",BJ697,0)</f>
        <v>0</v>
      </c>
      <c r="AI697" s="34" t="s">
        <v>1512</v>
      </c>
      <c r="AJ697" s="54">
        <f>IF(AN697=0,I697,0)</f>
        <v>0</v>
      </c>
      <c r="AK697" s="54">
        <f>IF(AN697=12,I697,0)</f>
        <v>0</v>
      </c>
      <c r="AL697" s="54">
        <f>IF(AN697=21,I697,0)</f>
        <v>0</v>
      </c>
      <c r="AN697" s="54">
        <v>21</v>
      </c>
      <c r="AO697" s="54">
        <f>H697*0.269721126</f>
        <v>0</v>
      </c>
      <c r="AP697" s="54">
        <f>H697*(1-0.269721126)</f>
        <v>0</v>
      </c>
      <c r="AQ697" s="56" t="s">
        <v>168</v>
      </c>
      <c r="AV697" s="54">
        <f>AW697+AX697</f>
        <v>0</v>
      </c>
      <c r="AW697" s="54">
        <f>G697*AO697</f>
        <v>0</v>
      </c>
      <c r="AX697" s="54">
        <f>G697*AP697</f>
        <v>0</v>
      </c>
      <c r="AY697" s="56" t="s">
        <v>1518</v>
      </c>
      <c r="AZ697" s="56" t="s">
        <v>1519</v>
      </c>
      <c r="BA697" s="34" t="s">
        <v>1520</v>
      </c>
      <c r="BC697" s="54">
        <f>AW697+AX697</f>
        <v>0</v>
      </c>
      <c r="BD697" s="54">
        <f>H697/(100-BE697)*100</f>
        <v>0</v>
      </c>
      <c r="BE697" s="54">
        <v>0</v>
      </c>
      <c r="BF697" s="54">
        <f>L697</f>
        <v>8.8440000000000005E-2</v>
      </c>
      <c r="BH697" s="54">
        <f>G697*AO697</f>
        <v>0</v>
      </c>
      <c r="BI697" s="54">
        <f>G697*AP697</f>
        <v>0</v>
      </c>
      <c r="BJ697" s="54">
        <f>G697*H697</f>
        <v>0</v>
      </c>
      <c r="BK697" s="54"/>
      <c r="BL697" s="54">
        <v>713</v>
      </c>
      <c r="BW697" s="54">
        <v>21</v>
      </c>
      <c r="BX697" s="3" t="s">
        <v>1517</v>
      </c>
    </row>
    <row r="698" spans="1:76" ht="14.5" x14ac:dyDescent="0.35">
      <c r="A698" s="50" t="s">
        <v>10</v>
      </c>
      <c r="B698" s="51" t="s">
        <v>1512</v>
      </c>
      <c r="C698" s="51" t="s">
        <v>1523</v>
      </c>
      <c r="D698" s="206" t="s">
        <v>1524</v>
      </c>
      <c r="E698" s="207"/>
      <c r="F698" s="52" t="s">
        <v>84</v>
      </c>
      <c r="G698" s="52" t="s">
        <v>84</v>
      </c>
      <c r="H698" s="83" t="s">
        <v>84</v>
      </c>
      <c r="I698" s="27">
        <f>SUM(I699:I711)</f>
        <v>0</v>
      </c>
      <c r="J698" s="34" t="s">
        <v>10</v>
      </c>
      <c r="K698" s="34" t="s">
        <v>10</v>
      </c>
      <c r="L698" s="27">
        <f>SUM(L699:L711)</f>
        <v>0</v>
      </c>
      <c r="M698" s="53" t="s">
        <v>10</v>
      </c>
      <c r="AI698" s="34" t="s">
        <v>1512</v>
      </c>
      <c r="AS698" s="27">
        <f>SUM(AJ699:AJ711)</f>
        <v>0</v>
      </c>
      <c r="AT698" s="27">
        <f>SUM(AK699:AK711)</f>
        <v>0</v>
      </c>
      <c r="AU698" s="27">
        <f>SUM(AL699:AL711)</f>
        <v>0</v>
      </c>
    </row>
    <row r="699" spans="1:76" ht="14.5" x14ac:dyDescent="0.35">
      <c r="A699" s="1" t="s">
        <v>1855</v>
      </c>
      <c r="B699" s="2" t="s">
        <v>1512</v>
      </c>
      <c r="C699" s="2" t="s">
        <v>1525</v>
      </c>
      <c r="D699" s="155" t="s">
        <v>1526</v>
      </c>
      <c r="E699" s="153"/>
      <c r="F699" s="2" t="s">
        <v>1527</v>
      </c>
      <c r="G699" s="54">
        <v>24</v>
      </c>
      <c r="H699" s="84">
        <v>0</v>
      </c>
      <c r="I699" s="54">
        <f t="shared" ref="I699:I706" si="0">G699*H699</f>
        <v>0</v>
      </c>
      <c r="J699" s="54">
        <v>0</v>
      </c>
      <c r="K699" s="54">
        <v>0</v>
      </c>
      <c r="L699" s="54">
        <f t="shared" ref="L699:L706" si="1">G699*J699</f>
        <v>0</v>
      </c>
      <c r="M699" s="55" t="s">
        <v>10</v>
      </c>
      <c r="Z699" s="54">
        <f t="shared" ref="Z699:Z706" si="2">IF(AQ699="5",BJ699,0)</f>
        <v>0</v>
      </c>
      <c r="AB699" s="54">
        <f t="shared" ref="AB699:AB706" si="3">IF(AQ699="1",BH699,0)</f>
        <v>0</v>
      </c>
      <c r="AC699" s="54">
        <f t="shared" ref="AC699:AC706" si="4">IF(AQ699="1",BI699,0)</f>
        <v>0</v>
      </c>
      <c r="AD699" s="54">
        <f t="shared" ref="AD699:AD706" si="5">IF(AQ699="7",BH699,0)</f>
        <v>0</v>
      </c>
      <c r="AE699" s="54">
        <f t="shared" ref="AE699:AE706" si="6">IF(AQ699="7",BI699,0)</f>
        <v>0</v>
      </c>
      <c r="AF699" s="54">
        <f t="shared" ref="AF699:AF706" si="7">IF(AQ699="2",BH699,0)</f>
        <v>0</v>
      </c>
      <c r="AG699" s="54">
        <f t="shared" ref="AG699:AG706" si="8">IF(AQ699="2",BI699,0)</f>
        <v>0</v>
      </c>
      <c r="AH699" s="54">
        <f t="shared" ref="AH699:AH706" si="9">IF(AQ699="0",BJ699,0)</f>
        <v>0</v>
      </c>
      <c r="AI699" s="34" t="s">
        <v>1512</v>
      </c>
      <c r="AJ699" s="54">
        <f t="shared" ref="AJ699:AJ706" si="10">IF(AN699=0,I699,0)</f>
        <v>0</v>
      </c>
      <c r="AK699" s="54">
        <f t="shared" ref="AK699:AK706" si="11">IF(AN699=12,I699,0)</f>
        <v>0</v>
      </c>
      <c r="AL699" s="54">
        <f t="shared" ref="AL699:AL706" si="12">IF(AN699=21,I699,0)</f>
        <v>0</v>
      </c>
      <c r="AN699" s="54">
        <v>21</v>
      </c>
      <c r="AO699" s="54">
        <f t="shared" ref="AO699:AO706" si="13">H699*0</f>
        <v>0</v>
      </c>
      <c r="AP699" s="54">
        <f t="shared" ref="AP699:AP706" si="14">H699*(1-0)</f>
        <v>0</v>
      </c>
      <c r="AQ699" s="56" t="s">
        <v>107</v>
      </c>
      <c r="AV699" s="54">
        <f t="shared" ref="AV699:AV706" si="15">AW699+AX699</f>
        <v>0</v>
      </c>
      <c r="AW699" s="54">
        <f t="shared" ref="AW699:AW706" si="16">G699*AO699</f>
        <v>0</v>
      </c>
      <c r="AX699" s="54">
        <f t="shared" ref="AX699:AX706" si="17">G699*AP699</f>
        <v>0</v>
      </c>
      <c r="AY699" s="56" t="s">
        <v>1528</v>
      </c>
      <c r="AZ699" s="56" t="s">
        <v>1529</v>
      </c>
      <c r="BA699" s="34" t="s">
        <v>1520</v>
      </c>
      <c r="BC699" s="54">
        <f t="shared" ref="BC699:BC706" si="18">AW699+AX699</f>
        <v>0</v>
      </c>
      <c r="BD699" s="54">
        <f t="shared" ref="BD699:BD706" si="19">H699/(100-BE699)*100</f>
        <v>0</v>
      </c>
      <c r="BE699" s="54">
        <v>0</v>
      </c>
      <c r="BF699" s="54">
        <f t="shared" ref="BF699:BF706" si="20">L699</f>
        <v>0</v>
      </c>
      <c r="BH699" s="54">
        <f t="shared" ref="BH699:BH706" si="21">G699*AO699</f>
        <v>0</v>
      </c>
      <c r="BI699" s="54">
        <f t="shared" ref="BI699:BI706" si="22">G699*AP699</f>
        <v>0</v>
      </c>
      <c r="BJ699" s="54">
        <f t="shared" ref="BJ699:BJ706" si="23">G699*H699</f>
        <v>0</v>
      </c>
      <c r="BK699" s="54"/>
      <c r="BL699" s="54"/>
      <c r="BW699" s="54">
        <v>21</v>
      </c>
      <c r="BX699" s="3" t="s">
        <v>1526</v>
      </c>
    </row>
    <row r="700" spans="1:76" ht="14.5" x14ac:dyDescent="0.35">
      <c r="A700" s="1" t="s">
        <v>1856</v>
      </c>
      <c r="B700" s="2" t="s">
        <v>1512</v>
      </c>
      <c r="C700" s="2" t="s">
        <v>1530</v>
      </c>
      <c r="D700" s="155" t="s">
        <v>1531</v>
      </c>
      <c r="E700" s="153"/>
      <c r="F700" s="2" t="s">
        <v>196</v>
      </c>
      <c r="G700" s="54">
        <v>1</v>
      </c>
      <c r="H700" s="84">
        <v>0</v>
      </c>
      <c r="I700" s="54">
        <f t="shared" si="0"/>
        <v>0</v>
      </c>
      <c r="J700" s="54">
        <v>0</v>
      </c>
      <c r="K700" s="54">
        <v>0</v>
      </c>
      <c r="L700" s="54">
        <f t="shared" si="1"/>
        <v>0</v>
      </c>
      <c r="M700" s="55" t="s">
        <v>10</v>
      </c>
      <c r="Z700" s="54">
        <f t="shared" si="2"/>
        <v>0</v>
      </c>
      <c r="AB700" s="54">
        <f t="shared" si="3"/>
        <v>0</v>
      </c>
      <c r="AC700" s="54">
        <f t="shared" si="4"/>
        <v>0</v>
      </c>
      <c r="AD700" s="54">
        <f t="shared" si="5"/>
        <v>0</v>
      </c>
      <c r="AE700" s="54">
        <f t="shared" si="6"/>
        <v>0</v>
      </c>
      <c r="AF700" s="54">
        <f t="shared" si="7"/>
        <v>0</v>
      </c>
      <c r="AG700" s="54">
        <f t="shared" si="8"/>
        <v>0</v>
      </c>
      <c r="AH700" s="54">
        <f t="shared" si="9"/>
        <v>0</v>
      </c>
      <c r="AI700" s="34" t="s">
        <v>1512</v>
      </c>
      <c r="AJ700" s="54">
        <f t="shared" si="10"/>
        <v>0</v>
      </c>
      <c r="AK700" s="54">
        <f t="shared" si="11"/>
        <v>0</v>
      </c>
      <c r="AL700" s="54">
        <f t="shared" si="12"/>
        <v>0</v>
      </c>
      <c r="AN700" s="54">
        <v>21</v>
      </c>
      <c r="AO700" s="54">
        <f t="shared" si="13"/>
        <v>0</v>
      </c>
      <c r="AP700" s="54">
        <f t="shared" si="14"/>
        <v>0</v>
      </c>
      <c r="AQ700" s="56" t="s">
        <v>119</v>
      </c>
      <c r="AV700" s="54">
        <f t="shared" si="15"/>
        <v>0</v>
      </c>
      <c r="AW700" s="54">
        <f t="shared" si="16"/>
        <v>0</v>
      </c>
      <c r="AX700" s="54">
        <f t="shared" si="17"/>
        <v>0</v>
      </c>
      <c r="AY700" s="56" t="s">
        <v>1528</v>
      </c>
      <c r="AZ700" s="56" t="s">
        <v>1529</v>
      </c>
      <c r="BA700" s="34" t="s">
        <v>1520</v>
      </c>
      <c r="BC700" s="54">
        <f t="shared" si="18"/>
        <v>0</v>
      </c>
      <c r="BD700" s="54">
        <f t="shared" si="19"/>
        <v>0</v>
      </c>
      <c r="BE700" s="54">
        <v>0</v>
      </c>
      <c r="BF700" s="54">
        <f t="shared" si="20"/>
        <v>0</v>
      </c>
      <c r="BH700" s="54">
        <f t="shared" si="21"/>
        <v>0</v>
      </c>
      <c r="BI700" s="54">
        <f t="shared" si="22"/>
        <v>0</v>
      </c>
      <c r="BJ700" s="54">
        <f t="shared" si="23"/>
        <v>0</v>
      </c>
      <c r="BK700" s="54"/>
      <c r="BL700" s="54"/>
      <c r="BW700" s="54">
        <v>21</v>
      </c>
      <c r="BX700" s="3" t="s">
        <v>1531</v>
      </c>
    </row>
    <row r="701" spans="1:76" ht="14.5" x14ac:dyDescent="0.35">
      <c r="A701" s="1" t="s">
        <v>1857</v>
      </c>
      <c r="B701" s="2" t="s">
        <v>1512</v>
      </c>
      <c r="C701" s="2" t="s">
        <v>1532</v>
      </c>
      <c r="D701" s="155" t="s">
        <v>1533</v>
      </c>
      <c r="E701" s="153"/>
      <c r="F701" s="2" t="s">
        <v>196</v>
      </c>
      <c r="G701" s="54">
        <v>1</v>
      </c>
      <c r="H701" s="84">
        <v>0</v>
      </c>
      <c r="I701" s="54">
        <f t="shared" si="0"/>
        <v>0</v>
      </c>
      <c r="J701" s="54">
        <v>0</v>
      </c>
      <c r="K701" s="54">
        <v>0</v>
      </c>
      <c r="L701" s="54">
        <f t="shared" si="1"/>
        <v>0</v>
      </c>
      <c r="M701" s="55" t="s">
        <v>10</v>
      </c>
      <c r="Z701" s="54">
        <f t="shared" si="2"/>
        <v>0</v>
      </c>
      <c r="AB701" s="54">
        <f t="shared" si="3"/>
        <v>0</v>
      </c>
      <c r="AC701" s="54">
        <f t="shared" si="4"/>
        <v>0</v>
      </c>
      <c r="AD701" s="54">
        <f t="shared" si="5"/>
        <v>0</v>
      </c>
      <c r="AE701" s="54">
        <f t="shared" si="6"/>
        <v>0</v>
      </c>
      <c r="AF701" s="54">
        <f t="shared" si="7"/>
        <v>0</v>
      </c>
      <c r="AG701" s="54">
        <f t="shared" si="8"/>
        <v>0</v>
      </c>
      <c r="AH701" s="54">
        <f t="shared" si="9"/>
        <v>0</v>
      </c>
      <c r="AI701" s="34" t="s">
        <v>1512</v>
      </c>
      <c r="AJ701" s="54">
        <f t="shared" si="10"/>
        <v>0</v>
      </c>
      <c r="AK701" s="54">
        <f t="shared" si="11"/>
        <v>0</v>
      </c>
      <c r="AL701" s="54">
        <f t="shared" si="12"/>
        <v>0</v>
      </c>
      <c r="AN701" s="54">
        <v>21</v>
      </c>
      <c r="AO701" s="54">
        <f t="shared" si="13"/>
        <v>0</v>
      </c>
      <c r="AP701" s="54">
        <f t="shared" si="14"/>
        <v>0</v>
      </c>
      <c r="AQ701" s="56" t="s">
        <v>107</v>
      </c>
      <c r="AV701" s="54">
        <f t="shared" si="15"/>
        <v>0</v>
      </c>
      <c r="AW701" s="54">
        <f t="shared" si="16"/>
        <v>0</v>
      </c>
      <c r="AX701" s="54">
        <f t="shared" si="17"/>
        <v>0</v>
      </c>
      <c r="AY701" s="56" t="s">
        <v>1528</v>
      </c>
      <c r="AZ701" s="56" t="s">
        <v>1529</v>
      </c>
      <c r="BA701" s="34" t="s">
        <v>1520</v>
      </c>
      <c r="BC701" s="54">
        <f t="shared" si="18"/>
        <v>0</v>
      </c>
      <c r="BD701" s="54">
        <f t="shared" si="19"/>
        <v>0</v>
      </c>
      <c r="BE701" s="54">
        <v>0</v>
      </c>
      <c r="BF701" s="54">
        <f t="shared" si="20"/>
        <v>0</v>
      </c>
      <c r="BH701" s="54">
        <f t="shared" si="21"/>
        <v>0</v>
      </c>
      <c r="BI701" s="54">
        <f t="shared" si="22"/>
        <v>0</v>
      </c>
      <c r="BJ701" s="54">
        <f t="shared" si="23"/>
        <v>0</v>
      </c>
      <c r="BK701" s="54"/>
      <c r="BL701" s="54"/>
      <c r="BW701" s="54">
        <v>21</v>
      </c>
      <c r="BX701" s="3" t="s">
        <v>1533</v>
      </c>
    </row>
    <row r="702" spans="1:76" ht="14.5" x14ac:dyDescent="0.35">
      <c r="A702" s="1" t="s">
        <v>1858</v>
      </c>
      <c r="B702" s="2" t="s">
        <v>1512</v>
      </c>
      <c r="C702" s="2" t="s">
        <v>1534</v>
      </c>
      <c r="D702" s="155" t="s">
        <v>1535</v>
      </c>
      <c r="E702" s="153"/>
      <c r="F702" s="2" t="s">
        <v>196</v>
      </c>
      <c r="G702" s="54">
        <v>1</v>
      </c>
      <c r="H702" s="84">
        <v>0</v>
      </c>
      <c r="I702" s="54">
        <f t="shared" si="0"/>
        <v>0</v>
      </c>
      <c r="J702" s="54">
        <v>0</v>
      </c>
      <c r="K702" s="54">
        <v>0</v>
      </c>
      <c r="L702" s="54">
        <f t="shared" si="1"/>
        <v>0</v>
      </c>
      <c r="M702" s="55" t="s">
        <v>10</v>
      </c>
      <c r="Z702" s="54">
        <f t="shared" si="2"/>
        <v>0</v>
      </c>
      <c r="AB702" s="54">
        <f t="shared" si="3"/>
        <v>0</v>
      </c>
      <c r="AC702" s="54">
        <f t="shared" si="4"/>
        <v>0</v>
      </c>
      <c r="AD702" s="54">
        <f t="shared" si="5"/>
        <v>0</v>
      </c>
      <c r="AE702" s="54">
        <f t="shared" si="6"/>
        <v>0</v>
      </c>
      <c r="AF702" s="54">
        <f t="shared" si="7"/>
        <v>0</v>
      </c>
      <c r="AG702" s="54">
        <f t="shared" si="8"/>
        <v>0</v>
      </c>
      <c r="AH702" s="54">
        <f t="shared" si="9"/>
        <v>0</v>
      </c>
      <c r="AI702" s="34" t="s">
        <v>1512</v>
      </c>
      <c r="AJ702" s="54">
        <f t="shared" si="10"/>
        <v>0</v>
      </c>
      <c r="AK702" s="54">
        <f t="shared" si="11"/>
        <v>0</v>
      </c>
      <c r="AL702" s="54">
        <f t="shared" si="12"/>
        <v>0</v>
      </c>
      <c r="AN702" s="54">
        <v>21</v>
      </c>
      <c r="AO702" s="54">
        <f t="shared" si="13"/>
        <v>0</v>
      </c>
      <c r="AP702" s="54">
        <f t="shared" si="14"/>
        <v>0</v>
      </c>
      <c r="AQ702" s="56" t="s">
        <v>107</v>
      </c>
      <c r="AV702" s="54">
        <f t="shared" si="15"/>
        <v>0</v>
      </c>
      <c r="AW702" s="54">
        <f t="shared" si="16"/>
        <v>0</v>
      </c>
      <c r="AX702" s="54">
        <f t="shared" si="17"/>
        <v>0</v>
      </c>
      <c r="AY702" s="56" t="s">
        <v>1528</v>
      </c>
      <c r="AZ702" s="56" t="s">
        <v>1529</v>
      </c>
      <c r="BA702" s="34" t="s">
        <v>1520</v>
      </c>
      <c r="BC702" s="54">
        <f t="shared" si="18"/>
        <v>0</v>
      </c>
      <c r="BD702" s="54">
        <f t="shared" si="19"/>
        <v>0</v>
      </c>
      <c r="BE702" s="54">
        <v>0</v>
      </c>
      <c r="BF702" s="54">
        <f t="shared" si="20"/>
        <v>0</v>
      </c>
      <c r="BH702" s="54">
        <f t="shared" si="21"/>
        <v>0</v>
      </c>
      <c r="BI702" s="54">
        <f t="shared" si="22"/>
        <v>0</v>
      </c>
      <c r="BJ702" s="54">
        <f t="shared" si="23"/>
        <v>0</v>
      </c>
      <c r="BK702" s="54"/>
      <c r="BL702" s="54"/>
      <c r="BW702" s="54">
        <v>21</v>
      </c>
      <c r="BX702" s="3" t="s">
        <v>1535</v>
      </c>
    </row>
    <row r="703" spans="1:76" ht="14.5" x14ac:dyDescent="0.35">
      <c r="A703" s="1" t="s">
        <v>1859</v>
      </c>
      <c r="B703" s="2" t="s">
        <v>1512</v>
      </c>
      <c r="C703" s="2" t="s">
        <v>1536</v>
      </c>
      <c r="D703" s="155" t="s">
        <v>1537</v>
      </c>
      <c r="E703" s="153"/>
      <c r="F703" s="2" t="s">
        <v>581</v>
      </c>
      <c r="G703" s="54">
        <v>2</v>
      </c>
      <c r="H703" s="84">
        <v>0</v>
      </c>
      <c r="I703" s="54">
        <f t="shared" si="0"/>
        <v>0</v>
      </c>
      <c r="J703" s="54">
        <v>0</v>
      </c>
      <c r="K703" s="54">
        <v>0</v>
      </c>
      <c r="L703" s="54">
        <f t="shared" si="1"/>
        <v>0</v>
      </c>
      <c r="M703" s="55" t="s">
        <v>10</v>
      </c>
      <c r="Z703" s="54">
        <f t="shared" si="2"/>
        <v>0</v>
      </c>
      <c r="AB703" s="54">
        <f t="shared" si="3"/>
        <v>0</v>
      </c>
      <c r="AC703" s="54">
        <f t="shared" si="4"/>
        <v>0</v>
      </c>
      <c r="AD703" s="54">
        <f t="shared" si="5"/>
        <v>0</v>
      </c>
      <c r="AE703" s="54">
        <f t="shared" si="6"/>
        <v>0</v>
      </c>
      <c r="AF703" s="54">
        <f t="shared" si="7"/>
        <v>0</v>
      </c>
      <c r="AG703" s="54">
        <f t="shared" si="8"/>
        <v>0</v>
      </c>
      <c r="AH703" s="54">
        <f t="shared" si="9"/>
        <v>0</v>
      </c>
      <c r="AI703" s="34" t="s">
        <v>1512</v>
      </c>
      <c r="AJ703" s="54">
        <f t="shared" si="10"/>
        <v>0</v>
      </c>
      <c r="AK703" s="54">
        <f t="shared" si="11"/>
        <v>0</v>
      </c>
      <c r="AL703" s="54">
        <f t="shared" si="12"/>
        <v>0</v>
      </c>
      <c r="AN703" s="54">
        <v>21</v>
      </c>
      <c r="AO703" s="54">
        <f t="shared" si="13"/>
        <v>0</v>
      </c>
      <c r="AP703" s="54">
        <f t="shared" si="14"/>
        <v>0</v>
      </c>
      <c r="AQ703" s="56" t="s">
        <v>107</v>
      </c>
      <c r="AV703" s="54">
        <f t="shared" si="15"/>
        <v>0</v>
      </c>
      <c r="AW703" s="54">
        <f t="shared" si="16"/>
        <v>0</v>
      </c>
      <c r="AX703" s="54">
        <f t="shared" si="17"/>
        <v>0</v>
      </c>
      <c r="AY703" s="56" t="s">
        <v>1528</v>
      </c>
      <c r="AZ703" s="56" t="s">
        <v>1529</v>
      </c>
      <c r="BA703" s="34" t="s">
        <v>1520</v>
      </c>
      <c r="BC703" s="54">
        <f t="shared" si="18"/>
        <v>0</v>
      </c>
      <c r="BD703" s="54">
        <f t="shared" si="19"/>
        <v>0</v>
      </c>
      <c r="BE703" s="54">
        <v>0</v>
      </c>
      <c r="BF703" s="54">
        <f t="shared" si="20"/>
        <v>0</v>
      </c>
      <c r="BH703" s="54">
        <f t="shared" si="21"/>
        <v>0</v>
      </c>
      <c r="BI703" s="54">
        <f t="shared" si="22"/>
        <v>0</v>
      </c>
      <c r="BJ703" s="54">
        <f t="shared" si="23"/>
        <v>0</v>
      </c>
      <c r="BK703" s="54"/>
      <c r="BL703" s="54"/>
      <c r="BW703" s="54">
        <v>21</v>
      </c>
      <c r="BX703" s="3" t="s">
        <v>1537</v>
      </c>
    </row>
    <row r="704" spans="1:76" ht="14.5" x14ac:dyDescent="0.35">
      <c r="A704" s="1" t="s">
        <v>1860</v>
      </c>
      <c r="B704" s="2" t="s">
        <v>1512</v>
      </c>
      <c r="C704" s="2" t="s">
        <v>1538</v>
      </c>
      <c r="D704" s="155" t="s">
        <v>1539</v>
      </c>
      <c r="E704" s="153"/>
      <c r="F704" s="2" t="s">
        <v>1540</v>
      </c>
      <c r="G704" s="54">
        <v>1</v>
      </c>
      <c r="H704" s="84">
        <v>0</v>
      </c>
      <c r="I704" s="54">
        <f t="shared" si="0"/>
        <v>0</v>
      </c>
      <c r="J704" s="54">
        <v>0</v>
      </c>
      <c r="K704" s="54">
        <v>0</v>
      </c>
      <c r="L704" s="54">
        <f t="shared" si="1"/>
        <v>0</v>
      </c>
      <c r="M704" s="55" t="s">
        <v>10</v>
      </c>
      <c r="Z704" s="54">
        <f t="shared" si="2"/>
        <v>0</v>
      </c>
      <c r="AB704" s="54">
        <f t="shared" si="3"/>
        <v>0</v>
      </c>
      <c r="AC704" s="54">
        <f t="shared" si="4"/>
        <v>0</v>
      </c>
      <c r="AD704" s="54">
        <f t="shared" si="5"/>
        <v>0</v>
      </c>
      <c r="AE704" s="54">
        <f t="shared" si="6"/>
        <v>0</v>
      </c>
      <c r="AF704" s="54">
        <f t="shared" si="7"/>
        <v>0</v>
      </c>
      <c r="AG704" s="54">
        <f t="shared" si="8"/>
        <v>0</v>
      </c>
      <c r="AH704" s="54">
        <f t="shared" si="9"/>
        <v>0</v>
      </c>
      <c r="AI704" s="34" t="s">
        <v>1512</v>
      </c>
      <c r="AJ704" s="54">
        <f t="shared" si="10"/>
        <v>0</v>
      </c>
      <c r="AK704" s="54">
        <f t="shared" si="11"/>
        <v>0</v>
      </c>
      <c r="AL704" s="54">
        <f t="shared" si="12"/>
        <v>0</v>
      </c>
      <c r="AN704" s="54">
        <v>21</v>
      </c>
      <c r="AO704" s="54">
        <f t="shared" si="13"/>
        <v>0</v>
      </c>
      <c r="AP704" s="54">
        <f t="shared" si="14"/>
        <v>0</v>
      </c>
      <c r="AQ704" s="56" t="s">
        <v>107</v>
      </c>
      <c r="AV704" s="54">
        <f t="shared" si="15"/>
        <v>0</v>
      </c>
      <c r="AW704" s="54">
        <f t="shared" si="16"/>
        <v>0</v>
      </c>
      <c r="AX704" s="54">
        <f t="shared" si="17"/>
        <v>0</v>
      </c>
      <c r="AY704" s="56" t="s">
        <v>1528</v>
      </c>
      <c r="AZ704" s="56" t="s">
        <v>1529</v>
      </c>
      <c r="BA704" s="34" t="s">
        <v>1520</v>
      </c>
      <c r="BC704" s="54">
        <f t="shared" si="18"/>
        <v>0</v>
      </c>
      <c r="BD704" s="54">
        <f t="shared" si="19"/>
        <v>0</v>
      </c>
      <c r="BE704" s="54">
        <v>0</v>
      </c>
      <c r="BF704" s="54">
        <f t="shared" si="20"/>
        <v>0</v>
      </c>
      <c r="BH704" s="54">
        <f t="shared" si="21"/>
        <v>0</v>
      </c>
      <c r="BI704" s="54">
        <f t="shared" si="22"/>
        <v>0</v>
      </c>
      <c r="BJ704" s="54">
        <f t="shared" si="23"/>
        <v>0</v>
      </c>
      <c r="BK704" s="54"/>
      <c r="BL704" s="54"/>
      <c r="BW704" s="54">
        <v>21</v>
      </c>
      <c r="BX704" s="3" t="s">
        <v>1539</v>
      </c>
    </row>
    <row r="705" spans="1:76" ht="14.5" x14ac:dyDescent="0.35">
      <c r="A705" s="1" t="s">
        <v>1861</v>
      </c>
      <c r="B705" s="2" t="s">
        <v>1512</v>
      </c>
      <c r="C705" s="2" t="s">
        <v>1541</v>
      </c>
      <c r="D705" s="155" t="s">
        <v>1542</v>
      </c>
      <c r="E705" s="153"/>
      <c r="F705" s="2" t="s">
        <v>1527</v>
      </c>
      <c r="G705" s="54">
        <v>4</v>
      </c>
      <c r="H705" s="84">
        <v>0</v>
      </c>
      <c r="I705" s="54">
        <f t="shared" si="0"/>
        <v>0</v>
      </c>
      <c r="J705" s="54">
        <v>0</v>
      </c>
      <c r="K705" s="54">
        <v>0</v>
      </c>
      <c r="L705" s="54">
        <f t="shared" si="1"/>
        <v>0</v>
      </c>
      <c r="M705" s="55" t="s">
        <v>10</v>
      </c>
      <c r="Z705" s="54">
        <f t="shared" si="2"/>
        <v>0</v>
      </c>
      <c r="AB705" s="54">
        <f t="shared" si="3"/>
        <v>0</v>
      </c>
      <c r="AC705" s="54">
        <f t="shared" si="4"/>
        <v>0</v>
      </c>
      <c r="AD705" s="54">
        <f t="shared" si="5"/>
        <v>0</v>
      </c>
      <c r="AE705" s="54">
        <f t="shared" si="6"/>
        <v>0</v>
      </c>
      <c r="AF705" s="54">
        <f t="shared" si="7"/>
        <v>0</v>
      </c>
      <c r="AG705" s="54">
        <f t="shared" si="8"/>
        <v>0</v>
      </c>
      <c r="AH705" s="54">
        <f t="shared" si="9"/>
        <v>0</v>
      </c>
      <c r="AI705" s="34" t="s">
        <v>1512</v>
      </c>
      <c r="AJ705" s="54">
        <f t="shared" si="10"/>
        <v>0</v>
      </c>
      <c r="AK705" s="54">
        <f t="shared" si="11"/>
        <v>0</v>
      </c>
      <c r="AL705" s="54">
        <f t="shared" si="12"/>
        <v>0</v>
      </c>
      <c r="AN705" s="54">
        <v>21</v>
      </c>
      <c r="AO705" s="54">
        <f t="shared" si="13"/>
        <v>0</v>
      </c>
      <c r="AP705" s="54">
        <f t="shared" si="14"/>
        <v>0</v>
      </c>
      <c r="AQ705" s="56" t="s">
        <v>107</v>
      </c>
      <c r="AV705" s="54">
        <f t="shared" si="15"/>
        <v>0</v>
      </c>
      <c r="AW705" s="54">
        <f t="shared" si="16"/>
        <v>0</v>
      </c>
      <c r="AX705" s="54">
        <f t="shared" si="17"/>
        <v>0</v>
      </c>
      <c r="AY705" s="56" t="s">
        <v>1528</v>
      </c>
      <c r="AZ705" s="56" t="s">
        <v>1529</v>
      </c>
      <c r="BA705" s="34" t="s">
        <v>1520</v>
      </c>
      <c r="BC705" s="54">
        <f t="shared" si="18"/>
        <v>0</v>
      </c>
      <c r="BD705" s="54">
        <f t="shared" si="19"/>
        <v>0</v>
      </c>
      <c r="BE705" s="54">
        <v>0</v>
      </c>
      <c r="BF705" s="54">
        <f t="shared" si="20"/>
        <v>0</v>
      </c>
      <c r="BH705" s="54">
        <f t="shared" si="21"/>
        <v>0</v>
      </c>
      <c r="BI705" s="54">
        <f t="shared" si="22"/>
        <v>0</v>
      </c>
      <c r="BJ705" s="54">
        <f t="shared" si="23"/>
        <v>0</v>
      </c>
      <c r="BK705" s="54"/>
      <c r="BL705" s="54"/>
      <c r="BW705" s="54">
        <v>21</v>
      </c>
      <c r="BX705" s="3" t="s">
        <v>1542</v>
      </c>
    </row>
    <row r="706" spans="1:76" ht="14.5" x14ac:dyDescent="0.35">
      <c r="A706" s="1" t="s">
        <v>1862</v>
      </c>
      <c r="B706" s="2" t="s">
        <v>1512</v>
      </c>
      <c r="C706" s="2" t="s">
        <v>1543</v>
      </c>
      <c r="D706" s="155" t="s">
        <v>1544</v>
      </c>
      <c r="E706" s="153"/>
      <c r="F706" s="2" t="s">
        <v>1527</v>
      </c>
      <c r="G706" s="54">
        <v>40</v>
      </c>
      <c r="H706" s="84">
        <v>0</v>
      </c>
      <c r="I706" s="54">
        <f t="shared" si="0"/>
        <v>0</v>
      </c>
      <c r="J706" s="54">
        <v>0</v>
      </c>
      <c r="K706" s="54">
        <v>0</v>
      </c>
      <c r="L706" s="54">
        <f t="shared" si="1"/>
        <v>0</v>
      </c>
      <c r="M706" s="55" t="s">
        <v>10</v>
      </c>
      <c r="Z706" s="54">
        <f t="shared" si="2"/>
        <v>0</v>
      </c>
      <c r="AB706" s="54">
        <f t="shared" si="3"/>
        <v>0</v>
      </c>
      <c r="AC706" s="54">
        <f t="shared" si="4"/>
        <v>0</v>
      </c>
      <c r="AD706" s="54">
        <f t="shared" si="5"/>
        <v>0</v>
      </c>
      <c r="AE706" s="54">
        <f t="shared" si="6"/>
        <v>0</v>
      </c>
      <c r="AF706" s="54">
        <f t="shared" si="7"/>
        <v>0</v>
      </c>
      <c r="AG706" s="54">
        <f t="shared" si="8"/>
        <v>0</v>
      </c>
      <c r="AH706" s="54">
        <f t="shared" si="9"/>
        <v>0</v>
      </c>
      <c r="AI706" s="34" t="s">
        <v>1512</v>
      </c>
      <c r="AJ706" s="54">
        <f t="shared" si="10"/>
        <v>0</v>
      </c>
      <c r="AK706" s="54">
        <f t="shared" si="11"/>
        <v>0</v>
      </c>
      <c r="AL706" s="54">
        <f t="shared" si="12"/>
        <v>0</v>
      </c>
      <c r="AN706" s="54">
        <v>21</v>
      </c>
      <c r="AO706" s="54">
        <f t="shared" si="13"/>
        <v>0</v>
      </c>
      <c r="AP706" s="54">
        <f t="shared" si="14"/>
        <v>0</v>
      </c>
      <c r="AQ706" s="56" t="s">
        <v>107</v>
      </c>
      <c r="AV706" s="54">
        <f t="shared" si="15"/>
        <v>0</v>
      </c>
      <c r="AW706" s="54">
        <f t="shared" si="16"/>
        <v>0</v>
      </c>
      <c r="AX706" s="54">
        <f t="shared" si="17"/>
        <v>0</v>
      </c>
      <c r="AY706" s="56" t="s">
        <v>1528</v>
      </c>
      <c r="AZ706" s="56" t="s">
        <v>1529</v>
      </c>
      <c r="BA706" s="34" t="s">
        <v>1520</v>
      </c>
      <c r="BC706" s="54">
        <f t="shared" si="18"/>
        <v>0</v>
      </c>
      <c r="BD706" s="54">
        <f t="shared" si="19"/>
        <v>0</v>
      </c>
      <c r="BE706" s="54">
        <v>0</v>
      </c>
      <c r="BF706" s="54">
        <f t="shared" si="20"/>
        <v>0</v>
      </c>
      <c r="BH706" s="54">
        <f t="shared" si="21"/>
        <v>0</v>
      </c>
      <c r="BI706" s="54">
        <f t="shared" si="22"/>
        <v>0</v>
      </c>
      <c r="BJ706" s="54">
        <f t="shared" si="23"/>
        <v>0</v>
      </c>
      <c r="BK706" s="54"/>
      <c r="BL706" s="54"/>
      <c r="BW706" s="54">
        <v>21</v>
      </c>
      <c r="BX706" s="3" t="s">
        <v>1544</v>
      </c>
    </row>
    <row r="707" spans="1:76" ht="14.5" x14ac:dyDescent="0.35">
      <c r="A707" s="57"/>
      <c r="D707" s="58" t="s">
        <v>144</v>
      </c>
      <c r="E707" s="59" t="s">
        <v>1546</v>
      </c>
      <c r="G707" s="60">
        <v>4</v>
      </c>
      <c r="M707" s="61"/>
    </row>
    <row r="708" spans="1:76" ht="14.5" x14ac:dyDescent="0.35">
      <c r="A708" s="57"/>
      <c r="D708" s="58" t="s">
        <v>427</v>
      </c>
      <c r="E708" s="59" t="s">
        <v>1547</v>
      </c>
      <c r="G708" s="60">
        <v>36</v>
      </c>
      <c r="M708" s="61"/>
    </row>
    <row r="709" spans="1:76" ht="14.5" x14ac:dyDescent="0.35">
      <c r="A709" s="1" t="s">
        <v>1863</v>
      </c>
      <c r="B709" s="2" t="s">
        <v>1512</v>
      </c>
      <c r="C709" s="2" t="s">
        <v>1548</v>
      </c>
      <c r="D709" s="155" t="s">
        <v>1549</v>
      </c>
      <c r="E709" s="153"/>
      <c r="F709" s="2" t="s">
        <v>196</v>
      </c>
      <c r="G709" s="54">
        <v>1</v>
      </c>
      <c r="H709" s="84">
        <v>0</v>
      </c>
      <c r="I709" s="54">
        <f>G709*H709</f>
        <v>0</v>
      </c>
      <c r="J709" s="54">
        <v>0</v>
      </c>
      <c r="K709" s="54">
        <v>0</v>
      </c>
      <c r="L709" s="54">
        <f>G709*J709</f>
        <v>0</v>
      </c>
      <c r="M709" s="55" t="s">
        <v>10</v>
      </c>
      <c r="Z709" s="54">
        <f>IF(AQ709="5",BJ709,0)</f>
        <v>0</v>
      </c>
      <c r="AB709" s="54">
        <f>IF(AQ709="1",BH709,0)</f>
        <v>0</v>
      </c>
      <c r="AC709" s="54">
        <f>IF(AQ709="1",BI709,0)</f>
        <v>0</v>
      </c>
      <c r="AD709" s="54">
        <f>IF(AQ709="7",BH709,0)</f>
        <v>0</v>
      </c>
      <c r="AE709" s="54">
        <f>IF(AQ709="7",BI709,0)</f>
        <v>0</v>
      </c>
      <c r="AF709" s="54">
        <f>IF(AQ709="2",BH709,0)</f>
        <v>0</v>
      </c>
      <c r="AG709" s="54">
        <f>IF(AQ709="2",BI709,0)</f>
        <v>0</v>
      </c>
      <c r="AH709" s="54">
        <f>IF(AQ709="0",BJ709,0)</f>
        <v>0</v>
      </c>
      <c r="AI709" s="34" t="s">
        <v>1512</v>
      </c>
      <c r="AJ709" s="54">
        <f>IF(AN709=0,I709,0)</f>
        <v>0</v>
      </c>
      <c r="AK709" s="54">
        <f>IF(AN709=12,I709,0)</f>
        <v>0</v>
      </c>
      <c r="AL709" s="54">
        <f>IF(AN709=21,I709,0)</f>
        <v>0</v>
      </c>
      <c r="AN709" s="54">
        <v>21</v>
      </c>
      <c r="AO709" s="54">
        <f>H709*0</f>
        <v>0</v>
      </c>
      <c r="AP709" s="54">
        <f>H709*(1-0)</f>
        <v>0</v>
      </c>
      <c r="AQ709" s="56" t="s">
        <v>107</v>
      </c>
      <c r="AV709" s="54">
        <f>AW709+AX709</f>
        <v>0</v>
      </c>
      <c r="AW709" s="54">
        <f>G709*AO709</f>
        <v>0</v>
      </c>
      <c r="AX709" s="54">
        <f>G709*AP709</f>
        <v>0</v>
      </c>
      <c r="AY709" s="56" t="s">
        <v>1528</v>
      </c>
      <c r="AZ709" s="56" t="s">
        <v>1529</v>
      </c>
      <c r="BA709" s="34" t="s">
        <v>1520</v>
      </c>
      <c r="BC709" s="54">
        <f>AW709+AX709</f>
        <v>0</v>
      </c>
      <c r="BD709" s="54">
        <f>H709/(100-BE709)*100</f>
        <v>0</v>
      </c>
      <c r="BE709" s="54">
        <v>0</v>
      </c>
      <c r="BF709" s="54">
        <f>L709</f>
        <v>0</v>
      </c>
      <c r="BH709" s="54">
        <f>G709*AO709</f>
        <v>0</v>
      </c>
      <c r="BI709" s="54">
        <f>G709*AP709</f>
        <v>0</v>
      </c>
      <c r="BJ709" s="54">
        <f>G709*H709</f>
        <v>0</v>
      </c>
      <c r="BK709" s="54"/>
      <c r="BL709" s="54"/>
      <c r="BW709" s="54">
        <v>21</v>
      </c>
      <c r="BX709" s="3" t="s">
        <v>1549</v>
      </c>
    </row>
    <row r="710" spans="1:76" ht="14.5" x14ac:dyDescent="0.35">
      <c r="A710" s="1" t="s">
        <v>1864</v>
      </c>
      <c r="B710" s="2" t="s">
        <v>1512</v>
      </c>
      <c r="C710" s="2" t="s">
        <v>1550</v>
      </c>
      <c r="D710" s="155" t="s">
        <v>1551</v>
      </c>
      <c r="E710" s="153"/>
      <c r="F710" s="2" t="s">
        <v>196</v>
      </c>
      <c r="G710" s="54">
        <v>1</v>
      </c>
      <c r="H710" s="84">
        <v>0</v>
      </c>
      <c r="I710" s="54">
        <f>G710*H710</f>
        <v>0</v>
      </c>
      <c r="J710" s="54">
        <v>0</v>
      </c>
      <c r="K710" s="54">
        <v>0</v>
      </c>
      <c r="L710" s="54">
        <f>G710*J710</f>
        <v>0</v>
      </c>
      <c r="M710" s="55" t="s">
        <v>10</v>
      </c>
      <c r="Z710" s="54">
        <f>IF(AQ710="5",BJ710,0)</f>
        <v>0</v>
      </c>
      <c r="AB710" s="54">
        <f>IF(AQ710="1",BH710,0)</f>
        <v>0</v>
      </c>
      <c r="AC710" s="54">
        <f>IF(AQ710="1",BI710,0)</f>
        <v>0</v>
      </c>
      <c r="AD710" s="54">
        <f>IF(AQ710="7",BH710,0)</f>
        <v>0</v>
      </c>
      <c r="AE710" s="54">
        <f>IF(AQ710="7",BI710,0)</f>
        <v>0</v>
      </c>
      <c r="AF710" s="54">
        <f>IF(AQ710="2",BH710,0)</f>
        <v>0</v>
      </c>
      <c r="AG710" s="54">
        <f>IF(AQ710="2",BI710,0)</f>
        <v>0</v>
      </c>
      <c r="AH710" s="54">
        <f>IF(AQ710="0",BJ710,0)</f>
        <v>0</v>
      </c>
      <c r="AI710" s="34" t="s">
        <v>1512</v>
      </c>
      <c r="AJ710" s="54">
        <f>IF(AN710=0,I710,0)</f>
        <v>0</v>
      </c>
      <c r="AK710" s="54">
        <f>IF(AN710=12,I710,0)</f>
        <v>0</v>
      </c>
      <c r="AL710" s="54">
        <f>IF(AN710=21,I710,0)</f>
        <v>0</v>
      </c>
      <c r="AN710" s="54">
        <v>21</v>
      </c>
      <c r="AO710" s="54">
        <f>H710*0</f>
        <v>0</v>
      </c>
      <c r="AP710" s="54">
        <f>H710*(1-0)</f>
        <v>0</v>
      </c>
      <c r="AQ710" s="56" t="s">
        <v>107</v>
      </c>
      <c r="AV710" s="54">
        <f>AW710+AX710</f>
        <v>0</v>
      </c>
      <c r="AW710" s="54">
        <f>G710*AO710</f>
        <v>0</v>
      </c>
      <c r="AX710" s="54">
        <f>G710*AP710</f>
        <v>0</v>
      </c>
      <c r="AY710" s="56" t="s">
        <v>1528</v>
      </c>
      <c r="AZ710" s="56" t="s">
        <v>1529</v>
      </c>
      <c r="BA710" s="34" t="s">
        <v>1520</v>
      </c>
      <c r="BC710" s="54">
        <f>AW710+AX710</f>
        <v>0</v>
      </c>
      <c r="BD710" s="54">
        <f>H710/(100-BE710)*100</f>
        <v>0</v>
      </c>
      <c r="BE710" s="54">
        <v>0</v>
      </c>
      <c r="BF710" s="54">
        <f>L710</f>
        <v>0</v>
      </c>
      <c r="BH710" s="54">
        <f>G710*AO710</f>
        <v>0</v>
      </c>
      <c r="BI710" s="54">
        <f>G710*AP710</f>
        <v>0</v>
      </c>
      <c r="BJ710" s="54">
        <f>G710*H710</f>
        <v>0</v>
      </c>
      <c r="BK710" s="54"/>
      <c r="BL710" s="54"/>
      <c r="BW710" s="54">
        <v>21</v>
      </c>
      <c r="BX710" s="3" t="s">
        <v>1551</v>
      </c>
    </row>
    <row r="711" spans="1:76" ht="14.5" x14ac:dyDescent="0.35">
      <c r="A711" s="1" t="s">
        <v>1865</v>
      </c>
      <c r="B711" s="2" t="s">
        <v>1512</v>
      </c>
      <c r="C711" s="2" t="s">
        <v>1552</v>
      </c>
      <c r="D711" s="155" t="s">
        <v>1553</v>
      </c>
      <c r="E711" s="153"/>
      <c r="F711" s="2" t="s">
        <v>1540</v>
      </c>
      <c r="G711" s="54">
        <v>1</v>
      </c>
      <c r="H711" s="84">
        <v>0</v>
      </c>
      <c r="I711" s="54">
        <f>G711*H711</f>
        <v>0</v>
      </c>
      <c r="J711" s="54">
        <v>0</v>
      </c>
      <c r="K711" s="54">
        <v>0</v>
      </c>
      <c r="L711" s="54">
        <f>G711*J711</f>
        <v>0</v>
      </c>
      <c r="M711" s="55" t="s">
        <v>10</v>
      </c>
      <c r="Z711" s="54">
        <f>IF(AQ711="5",BJ711,0)</f>
        <v>0</v>
      </c>
      <c r="AB711" s="54">
        <f>IF(AQ711="1",BH711,0)</f>
        <v>0</v>
      </c>
      <c r="AC711" s="54">
        <f>IF(AQ711="1",BI711,0)</f>
        <v>0</v>
      </c>
      <c r="AD711" s="54">
        <f>IF(AQ711="7",BH711,0)</f>
        <v>0</v>
      </c>
      <c r="AE711" s="54">
        <f>IF(AQ711="7",BI711,0)</f>
        <v>0</v>
      </c>
      <c r="AF711" s="54">
        <f>IF(AQ711="2",BH711,0)</f>
        <v>0</v>
      </c>
      <c r="AG711" s="54">
        <f>IF(AQ711="2",BI711,0)</f>
        <v>0</v>
      </c>
      <c r="AH711" s="54">
        <f>IF(AQ711="0",BJ711,0)</f>
        <v>0</v>
      </c>
      <c r="AI711" s="34" t="s">
        <v>1512</v>
      </c>
      <c r="AJ711" s="54">
        <f>IF(AN711=0,I711,0)</f>
        <v>0</v>
      </c>
      <c r="AK711" s="54">
        <f>IF(AN711=12,I711,0)</f>
        <v>0</v>
      </c>
      <c r="AL711" s="54">
        <f>IF(AN711=21,I711,0)</f>
        <v>0</v>
      </c>
      <c r="AN711" s="54">
        <v>21</v>
      </c>
      <c r="AO711" s="54">
        <f>H711*0</f>
        <v>0</v>
      </c>
      <c r="AP711" s="54">
        <f>H711*(1-0)</f>
        <v>0</v>
      </c>
      <c r="AQ711" s="56" t="s">
        <v>107</v>
      </c>
      <c r="AV711" s="54">
        <f>AW711+AX711</f>
        <v>0</v>
      </c>
      <c r="AW711" s="54">
        <f>G711*AO711</f>
        <v>0</v>
      </c>
      <c r="AX711" s="54">
        <f>G711*AP711</f>
        <v>0</v>
      </c>
      <c r="AY711" s="56" t="s">
        <v>1528</v>
      </c>
      <c r="AZ711" s="56" t="s">
        <v>1529</v>
      </c>
      <c r="BA711" s="34" t="s">
        <v>1520</v>
      </c>
      <c r="BC711" s="54">
        <f>AW711+AX711</f>
        <v>0</v>
      </c>
      <c r="BD711" s="54">
        <f>H711/(100-BE711)*100</f>
        <v>0</v>
      </c>
      <c r="BE711" s="54">
        <v>0</v>
      </c>
      <c r="BF711" s="54">
        <f>L711</f>
        <v>0</v>
      </c>
      <c r="BH711" s="54">
        <f>G711*AO711</f>
        <v>0</v>
      </c>
      <c r="BI711" s="54">
        <f>G711*AP711</f>
        <v>0</v>
      </c>
      <c r="BJ711" s="54">
        <f>G711*H711</f>
        <v>0</v>
      </c>
      <c r="BK711" s="54"/>
      <c r="BL711" s="54"/>
      <c r="BW711" s="54">
        <v>21</v>
      </c>
      <c r="BX711" s="3" t="s">
        <v>1553</v>
      </c>
    </row>
    <row r="712" spans="1:76" ht="14.5" x14ac:dyDescent="0.35">
      <c r="A712" s="50" t="s">
        <v>10</v>
      </c>
      <c r="B712" s="51" t="s">
        <v>1512</v>
      </c>
      <c r="C712" s="51" t="s">
        <v>1554</v>
      </c>
      <c r="D712" s="206" t="s">
        <v>1555</v>
      </c>
      <c r="E712" s="207"/>
      <c r="F712" s="52" t="s">
        <v>84</v>
      </c>
      <c r="G712" s="52" t="s">
        <v>84</v>
      </c>
      <c r="H712" s="83" t="s">
        <v>84</v>
      </c>
      <c r="I712" s="27">
        <f>SUM(I713:I787)</f>
        <v>0</v>
      </c>
      <c r="J712" s="34" t="s">
        <v>10</v>
      </c>
      <c r="K712" s="34" t="s">
        <v>10</v>
      </c>
      <c r="L712" s="27">
        <f>SUM(L713:L787)</f>
        <v>1.09629</v>
      </c>
      <c r="M712" s="53" t="s">
        <v>10</v>
      </c>
      <c r="AI712" s="34" t="s">
        <v>1512</v>
      </c>
      <c r="AS712" s="27">
        <f>SUM(AJ713:AJ787)</f>
        <v>0</v>
      </c>
      <c r="AT712" s="27">
        <f>SUM(AK713:AK787)</f>
        <v>0</v>
      </c>
      <c r="AU712" s="27">
        <f>SUM(AL713:AL787)</f>
        <v>0</v>
      </c>
    </row>
    <row r="713" spans="1:76" ht="14.5" x14ac:dyDescent="0.35">
      <c r="A713" s="1" t="s">
        <v>1866</v>
      </c>
      <c r="B713" s="2" t="s">
        <v>1512</v>
      </c>
      <c r="C713" s="2" t="s">
        <v>1556</v>
      </c>
      <c r="D713" s="155" t="s">
        <v>1557</v>
      </c>
      <c r="E713" s="153"/>
      <c r="F713" s="2" t="s">
        <v>196</v>
      </c>
      <c r="G713" s="54">
        <v>4</v>
      </c>
      <c r="H713" s="84">
        <v>0</v>
      </c>
      <c r="I713" s="54">
        <f>G713*H713</f>
        <v>0</v>
      </c>
      <c r="J713" s="54">
        <v>0</v>
      </c>
      <c r="K713" s="54">
        <v>0</v>
      </c>
      <c r="L713" s="54">
        <f>G713*J713</f>
        <v>0</v>
      </c>
      <c r="M713" s="55" t="s">
        <v>111</v>
      </c>
      <c r="Z713" s="54">
        <f>IF(AQ713="5",BJ713,0)</f>
        <v>0</v>
      </c>
      <c r="AB713" s="54">
        <f>IF(AQ713="1",BH713,0)</f>
        <v>0</v>
      </c>
      <c r="AC713" s="54">
        <f>IF(AQ713="1",BI713,0)</f>
        <v>0</v>
      </c>
      <c r="AD713" s="54">
        <f>IF(AQ713="7",BH713,0)</f>
        <v>0</v>
      </c>
      <c r="AE713" s="54">
        <f>IF(AQ713="7",BI713,0)</f>
        <v>0</v>
      </c>
      <c r="AF713" s="54">
        <f>IF(AQ713="2",BH713,0)</f>
        <v>0</v>
      </c>
      <c r="AG713" s="54">
        <f>IF(AQ713="2",BI713,0)</f>
        <v>0</v>
      </c>
      <c r="AH713" s="54">
        <f>IF(AQ713="0",BJ713,0)</f>
        <v>0</v>
      </c>
      <c r="AI713" s="34" t="s">
        <v>1512</v>
      </c>
      <c r="AJ713" s="54">
        <f>IF(AN713=0,I713,0)</f>
        <v>0</v>
      </c>
      <c r="AK713" s="54">
        <f>IF(AN713=12,I713,0)</f>
        <v>0</v>
      </c>
      <c r="AL713" s="54">
        <f>IF(AN713=21,I713,0)</f>
        <v>0</v>
      </c>
      <c r="AN713" s="54">
        <v>21</v>
      </c>
      <c r="AO713" s="54">
        <f>H713*0</f>
        <v>0</v>
      </c>
      <c r="AP713" s="54">
        <f>H713*(1-0)</f>
        <v>0</v>
      </c>
      <c r="AQ713" s="56" t="s">
        <v>119</v>
      </c>
      <c r="AV713" s="54">
        <f>AW713+AX713</f>
        <v>0</v>
      </c>
      <c r="AW713" s="54">
        <f>G713*AO713</f>
        <v>0</v>
      </c>
      <c r="AX713" s="54">
        <f>G713*AP713</f>
        <v>0</v>
      </c>
      <c r="AY713" s="56" t="s">
        <v>1558</v>
      </c>
      <c r="AZ713" s="56" t="s">
        <v>1529</v>
      </c>
      <c r="BA713" s="34" t="s">
        <v>1520</v>
      </c>
      <c r="BC713" s="54">
        <f>AW713+AX713</f>
        <v>0</v>
      </c>
      <c r="BD713" s="54">
        <f>H713/(100-BE713)*100</f>
        <v>0</v>
      </c>
      <c r="BE713" s="54">
        <v>0</v>
      </c>
      <c r="BF713" s="54">
        <f>L713</f>
        <v>0</v>
      </c>
      <c r="BH713" s="54">
        <f>G713*AO713</f>
        <v>0</v>
      </c>
      <c r="BI713" s="54">
        <f>G713*AP713</f>
        <v>0</v>
      </c>
      <c r="BJ713" s="54">
        <f>G713*H713</f>
        <v>0</v>
      </c>
      <c r="BK713" s="54"/>
      <c r="BL713" s="54"/>
      <c r="BW713" s="54">
        <v>21</v>
      </c>
      <c r="BX713" s="3" t="s">
        <v>1557</v>
      </c>
    </row>
    <row r="714" spans="1:76" ht="14.5" x14ac:dyDescent="0.35">
      <c r="A714" s="57"/>
      <c r="D714" s="58" t="s">
        <v>10</v>
      </c>
      <c r="E714" s="59" t="s">
        <v>1560</v>
      </c>
      <c r="G714" s="60">
        <v>0</v>
      </c>
      <c r="M714" s="61"/>
    </row>
    <row r="715" spans="1:76" ht="14.5" x14ac:dyDescent="0.35">
      <c r="A715" s="57"/>
      <c r="D715" s="58" t="s">
        <v>801</v>
      </c>
      <c r="E715" s="59" t="s">
        <v>1561</v>
      </c>
      <c r="G715" s="60">
        <v>4</v>
      </c>
      <c r="M715" s="61"/>
    </row>
    <row r="716" spans="1:76" ht="14.5" x14ac:dyDescent="0.35">
      <c r="A716" s="64" t="s">
        <v>1867</v>
      </c>
      <c r="B716" s="65" t="s">
        <v>1512</v>
      </c>
      <c r="C716" s="65" t="s">
        <v>1562</v>
      </c>
      <c r="D716" s="217" t="s">
        <v>1563</v>
      </c>
      <c r="E716" s="218"/>
      <c r="F716" s="65" t="s">
        <v>196</v>
      </c>
      <c r="G716" s="67">
        <v>4</v>
      </c>
      <c r="H716" s="85">
        <v>0</v>
      </c>
      <c r="I716" s="67">
        <f>G716*H716</f>
        <v>0</v>
      </c>
      <c r="J716" s="67">
        <v>0</v>
      </c>
      <c r="K716" s="67">
        <v>0</v>
      </c>
      <c r="L716" s="67">
        <f>G716*J716</f>
        <v>0</v>
      </c>
      <c r="M716" s="68" t="s">
        <v>10</v>
      </c>
      <c r="Z716" s="54">
        <f>IF(AQ716="5",BJ716,0)</f>
        <v>0</v>
      </c>
      <c r="AB716" s="54">
        <f>IF(AQ716="1",BH716,0)</f>
        <v>0</v>
      </c>
      <c r="AC716" s="54">
        <f>IF(AQ716="1",BI716,0)</f>
        <v>0</v>
      </c>
      <c r="AD716" s="54">
        <f>IF(AQ716="7",BH716,0)</f>
        <v>0</v>
      </c>
      <c r="AE716" s="54">
        <f>IF(AQ716="7",BI716,0)</f>
        <v>0</v>
      </c>
      <c r="AF716" s="54">
        <f>IF(AQ716="2",BH716,0)</f>
        <v>0</v>
      </c>
      <c r="AG716" s="54">
        <f>IF(AQ716="2",BI716,0)</f>
        <v>0</v>
      </c>
      <c r="AH716" s="54">
        <f>IF(AQ716="0",BJ716,0)</f>
        <v>0</v>
      </c>
      <c r="AI716" s="34" t="s">
        <v>1512</v>
      </c>
      <c r="AJ716" s="67">
        <f>IF(AN716=0,I716,0)</f>
        <v>0</v>
      </c>
      <c r="AK716" s="67">
        <f>IF(AN716=12,I716,0)</f>
        <v>0</v>
      </c>
      <c r="AL716" s="67">
        <f>IF(AN716=21,I716,0)</f>
        <v>0</v>
      </c>
      <c r="AN716" s="54">
        <v>21</v>
      </c>
      <c r="AO716" s="54">
        <f>H716*1</f>
        <v>0</v>
      </c>
      <c r="AP716" s="54">
        <f>H716*(1-1)</f>
        <v>0</v>
      </c>
      <c r="AQ716" s="69" t="s">
        <v>107</v>
      </c>
      <c r="AV716" s="54">
        <f>AW716+AX716</f>
        <v>0</v>
      </c>
      <c r="AW716" s="54">
        <f>G716*AO716</f>
        <v>0</v>
      </c>
      <c r="AX716" s="54">
        <f>G716*AP716</f>
        <v>0</v>
      </c>
      <c r="AY716" s="56" t="s">
        <v>1558</v>
      </c>
      <c r="AZ716" s="56" t="s">
        <v>1529</v>
      </c>
      <c r="BA716" s="34" t="s">
        <v>1520</v>
      </c>
      <c r="BC716" s="54">
        <f>AW716+AX716</f>
        <v>0</v>
      </c>
      <c r="BD716" s="54">
        <f>H716/(100-BE716)*100</f>
        <v>0</v>
      </c>
      <c r="BE716" s="54">
        <v>0</v>
      </c>
      <c r="BF716" s="54">
        <f>L716</f>
        <v>0</v>
      </c>
      <c r="BH716" s="67">
        <f>G716*AO716</f>
        <v>0</v>
      </c>
      <c r="BI716" s="67">
        <f>G716*AP716</f>
        <v>0</v>
      </c>
      <c r="BJ716" s="67">
        <f>G716*H716</f>
        <v>0</v>
      </c>
      <c r="BK716" s="67"/>
      <c r="BL716" s="54"/>
      <c r="BW716" s="54">
        <v>21</v>
      </c>
      <c r="BX716" s="66" t="s">
        <v>1563</v>
      </c>
    </row>
    <row r="717" spans="1:76" ht="14.5" x14ac:dyDescent="0.35">
      <c r="A717" s="57"/>
      <c r="D717" s="58" t="s">
        <v>801</v>
      </c>
      <c r="E717" s="59" t="s">
        <v>1565</v>
      </c>
      <c r="G717" s="60">
        <v>4</v>
      </c>
      <c r="M717" s="61"/>
    </row>
    <row r="718" spans="1:76" ht="14.5" x14ac:dyDescent="0.35">
      <c r="A718" s="1" t="s">
        <v>1868</v>
      </c>
      <c r="B718" s="2" t="s">
        <v>1512</v>
      </c>
      <c r="C718" s="2" t="s">
        <v>1567</v>
      </c>
      <c r="D718" s="155" t="s">
        <v>1568</v>
      </c>
      <c r="E718" s="153"/>
      <c r="F718" s="2" t="s">
        <v>153</v>
      </c>
      <c r="G718" s="54">
        <v>50</v>
      </c>
      <c r="H718" s="84">
        <v>0</v>
      </c>
      <c r="I718" s="54">
        <f>G718*H718</f>
        <v>0</v>
      </c>
      <c r="J718" s="54">
        <v>0</v>
      </c>
      <c r="K718" s="54">
        <v>0</v>
      </c>
      <c r="L718" s="54">
        <f>G718*J718</f>
        <v>0</v>
      </c>
      <c r="M718" s="55" t="s">
        <v>111</v>
      </c>
      <c r="Z718" s="54">
        <f>IF(AQ718="5",BJ718,0)</f>
        <v>0</v>
      </c>
      <c r="AB718" s="54">
        <f>IF(AQ718="1",BH718,0)</f>
        <v>0</v>
      </c>
      <c r="AC718" s="54">
        <f>IF(AQ718="1",BI718,0)</f>
        <v>0</v>
      </c>
      <c r="AD718" s="54">
        <f>IF(AQ718="7",BH718,0)</f>
        <v>0</v>
      </c>
      <c r="AE718" s="54">
        <f>IF(AQ718="7",BI718,0)</f>
        <v>0</v>
      </c>
      <c r="AF718" s="54">
        <f>IF(AQ718="2",BH718,0)</f>
        <v>0</v>
      </c>
      <c r="AG718" s="54">
        <f>IF(AQ718="2",BI718,0)</f>
        <v>0</v>
      </c>
      <c r="AH718" s="54">
        <f>IF(AQ718="0",BJ718,0)</f>
        <v>0</v>
      </c>
      <c r="AI718" s="34" t="s">
        <v>1512</v>
      </c>
      <c r="AJ718" s="54">
        <f>IF(AN718=0,I718,0)</f>
        <v>0</v>
      </c>
      <c r="AK718" s="54">
        <f>IF(AN718=12,I718,0)</f>
        <v>0</v>
      </c>
      <c r="AL718" s="54">
        <f>IF(AN718=21,I718,0)</f>
        <v>0</v>
      </c>
      <c r="AN718" s="54">
        <v>21</v>
      </c>
      <c r="AO718" s="54">
        <f>H718*0</f>
        <v>0</v>
      </c>
      <c r="AP718" s="54">
        <f>H718*(1-0)</f>
        <v>0</v>
      </c>
      <c r="AQ718" s="56" t="s">
        <v>119</v>
      </c>
      <c r="AV718" s="54">
        <f>AW718+AX718</f>
        <v>0</v>
      </c>
      <c r="AW718" s="54">
        <f>G718*AO718</f>
        <v>0</v>
      </c>
      <c r="AX718" s="54">
        <f>G718*AP718</f>
        <v>0</v>
      </c>
      <c r="AY718" s="56" t="s">
        <v>1558</v>
      </c>
      <c r="AZ718" s="56" t="s">
        <v>1529</v>
      </c>
      <c r="BA718" s="34" t="s">
        <v>1520</v>
      </c>
      <c r="BC718" s="54">
        <f>AW718+AX718</f>
        <v>0</v>
      </c>
      <c r="BD718" s="54">
        <f>H718/(100-BE718)*100</f>
        <v>0</v>
      </c>
      <c r="BE718" s="54">
        <v>0</v>
      </c>
      <c r="BF718" s="54">
        <f>L718</f>
        <v>0</v>
      </c>
      <c r="BH718" s="54">
        <f>G718*AO718</f>
        <v>0</v>
      </c>
      <c r="BI718" s="54">
        <f>G718*AP718</f>
        <v>0</v>
      </c>
      <c r="BJ718" s="54">
        <f>G718*H718</f>
        <v>0</v>
      </c>
      <c r="BK718" s="54"/>
      <c r="BL718" s="54"/>
      <c r="BW718" s="54">
        <v>21</v>
      </c>
      <c r="BX718" s="3" t="s">
        <v>1568</v>
      </c>
    </row>
    <row r="719" spans="1:76" ht="14.5" x14ac:dyDescent="0.35">
      <c r="A719" s="64" t="s">
        <v>1869</v>
      </c>
      <c r="B719" s="65" t="s">
        <v>1512</v>
      </c>
      <c r="C719" s="65" t="s">
        <v>1569</v>
      </c>
      <c r="D719" s="217" t="s">
        <v>1570</v>
      </c>
      <c r="E719" s="218"/>
      <c r="F719" s="65" t="s">
        <v>153</v>
      </c>
      <c r="G719" s="67">
        <v>60</v>
      </c>
      <c r="H719" s="85">
        <v>0</v>
      </c>
      <c r="I719" s="67">
        <f>G719*H719</f>
        <v>0</v>
      </c>
      <c r="J719" s="67">
        <v>5.0000000000000002E-5</v>
      </c>
      <c r="K719" s="67">
        <v>0</v>
      </c>
      <c r="L719" s="67">
        <f>G719*J719</f>
        <v>3.0000000000000001E-3</v>
      </c>
      <c r="M719" s="68" t="s">
        <v>10</v>
      </c>
      <c r="Z719" s="54">
        <f>IF(AQ719="5",BJ719,0)</f>
        <v>0</v>
      </c>
      <c r="AB719" s="54">
        <f>IF(AQ719="1",BH719,0)</f>
        <v>0</v>
      </c>
      <c r="AC719" s="54">
        <f>IF(AQ719="1",BI719,0)</f>
        <v>0</v>
      </c>
      <c r="AD719" s="54">
        <f>IF(AQ719="7",BH719,0)</f>
        <v>0</v>
      </c>
      <c r="AE719" s="54">
        <f>IF(AQ719="7",BI719,0)</f>
        <v>0</v>
      </c>
      <c r="AF719" s="54">
        <f>IF(AQ719="2",BH719,0)</f>
        <v>0</v>
      </c>
      <c r="AG719" s="54">
        <f>IF(AQ719="2",BI719,0)</f>
        <v>0</v>
      </c>
      <c r="AH719" s="54">
        <f>IF(AQ719="0",BJ719,0)</f>
        <v>0</v>
      </c>
      <c r="AI719" s="34" t="s">
        <v>1512</v>
      </c>
      <c r="AJ719" s="67">
        <f>IF(AN719=0,I719,0)</f>
        <v>0</v>
      </c>
      <c r="AK719" s="67">
        <f>IF(AN719=12,I719,0)</f>
        <v>0</v>
      </c>
      <c r="AL719" s="67">
        <f>IF(AN719=21,I719,0)</f>
        <v>0</v>
      </c>
      <c r="AN719" s="54">
        <v>21</v>
      </c>
      <c r="AO719" s="54">
        <f>H719*1</f>
        <v>0</v>
      </c>
      <c r="AP719" s="54">
        <f>H719*(1-1)</f>
        <v>0</v>
      </c>
      <c r="AQ719" s="69" t="s">
        <v>107</v>
      </c>
      <c r="AV719" s="54">
        <f>AW719+AX719</f>
        <v>0</v>
      </c>
      <c r="AW719" s="54">
        <f>G719*AO719</f>
        <v>0</v>
      </c>
      <c r="AX719" s="54">
        <f>G719*AP719</f>
        <v>0</v>
      </c>
      <c r="AY719" s="56" t="s">
        <v>1558</v>
      </c>
      <c r="AZ719" s="56" t="s">
        <v>1529</v>
      </c>
      <c r="BA719" s="34" t="s">
        <v>1520</v>
      </c>
      <c r="BC719" s="54">
        <f>AW719+AX719</f>
        <v>0</v>
      </c>
      <c r="BD719" s="54">
        <f>H719/(100-BE719)*100</f>
        <v>0</v>
      </c>
      <c r="BE719" s="54">
        <v>0</v>
      </c>
      <c r="BF719" s="54">
        <f>L719</f>
        <v>3.0000000000000001E-3</v>
      </c>
      <c r="BH719" s="67">
        <f>G719*AO719</f>
        <v>0</v>
      </c>
      <c r="BI719" s="67">
        <f>G719*AP719</f>
        <v>0</v>
      </c>
      <c r="BJ719" s="67">
        <f>G719*H719</f>
        <v>0</v>
      </c>
      <c r="BK719" s="67"/>
      <c r="BL719" s="54"/>
      <c r="BW719" s="54">
        <v>21</v>
      </c>
      <c r="BX719" s="66" t="s">
        <v>1570</v>
      </c>
    </row>
    <row r="720" spans="1:76" ht="14.5" x14ac:dyDescent="0.35">
      <c r="A720" s="1" t="s">
        <v>1870</v>
      </c>
      <c r="B720" s="2" t="s">
        <v>1512</v>
      </c>
      <c r="C720" s="2" t="s">
        <v>1572</v>
      </c>
      <c r="D720" s="155" t="s">
        <v>1573</v>
      </c>
      <c r="E720" s="153"/>
      <c r="F720" s="2" t="s">
        <v>196</v>
      </c>
      <c r="G720" s="54">
        <v>24</v>
      </c>
      <c r="H720" s="84">
        <v>0</v>
      </c>
      <c r="I720" s="54">
        <f>G720*H720</f>
        <v>0</v>
      </c>
      <c r="J720" s="54">
        <v>0</v>
      </c>
      <c r="K720" s="54">
        <v>0</v>
      </c>
      <c r="L720" s="54">
        <f>G720*J720</f>
        <v>0</v>
      </c>
      <c r="M720" s="55" t="s">
        <v>111</v>
      </c>
      <c r="Z720" s="54">
        <f>IF(AQ720="5",BJ720,0)</f>
        <v>0</v>
      </c>
      <c r="AB720" s="54">
        <f>IF(AQ720="1",BH720,0)</f>
        <v>0</v>
      </c>
      <c r="AC720" s="54">
        <f>IF(AQ720="1",BI720,0)</f>
        <v>0</v>
      </c>
      <c r="AD720" s="54">
        <f>IF(AQ720="7",BH720,0)</f>
        <v>0</v>
      </c>
      <c r="AE720" s="54">
        <f>IF(AQ720="7",BI720,0)</f>
        <v>0</v>
      </c>
      <c r="AF720" s="54">
        <f>IF(AQ720="2",BH720,0)</f>
        <v>0</v>
      </c>
      <c r="AG720" s="54">
        <f>IF(AQ720="2",BI720,0)</f>
        <v>0</v>
      </c>
      <c r="AH720" s="54">
        <f>IF(AQ720="0",BJ720,0)</f>
        <v>0</v>
      </c>
      <c r="AI720" s="34" t="s">
        <v>1512</v>
      </c>
      <c r="AJ720" s="54">
        <f>IF(AN720=0,I720,0)</f>
        <v>0</v>
      </c>
      <c r="AK720" s="54">
        <f>IF(AN720=12,I720,0)</f>
        <v>0</v>
      </c>
      <c r="AL720" s="54">
        <f>IF(AN720=21,I720,0)</f>
        <v>0</v>
      </c>
      <c r="AN720" s="54">
        <v>21</v>
      </c>
      <c r="AO720" s="54">
        <f>H720*0</f>
        <v>0</v>
      </c>
      <c r="AP720" s="54">
        <f>H720*(1-0)</f>
        <v>0</v>
      </c>
      <c r="AQ720" s="56" t="s">
        <v>119</v>
      </c>
      <c r="AV720" s="54">
        <f>AW720+AX720</f>
        <v>0</v>
      </c>
      <c r="AW720" s="54">
        <f>G720*AO720</f>
        <v>0</v>
      </c>
      <c r="AX720" s="54">
        <f>G720*AP720</f>
        <v>0</v>
      </c>
      <c r="AY720" s="56" t="s">
        <v>1558</v>
      </c>
      <c r="AZ720" s="56" t="s">
        <v>1529</v>
      </c>
      <c r="BA720" s="34" t="s">
        <v>1520</v>
      </c>
      <c r="BC720" s="54">
        <f>AW720+AX720</f>
        <v>0</v>
      </c>
      <c r="BD720" s="54">
        <f>H720/(100-BE720)*100</f>
        <v>0</v>
      </c>
      <c r="BE720" s="54">
        <v>0</v>
      </c>
      <c r="BF720" s="54">
        <f>L720</f>
        <v>0</v>
      </c>
      <c r="BH720" s="54">
        <f>G720*AO720</f>
        <v>0</v>
      </c>
      <c r="BI720" s="54">
        <f>G720*AP720</f>
        <v>0</v>
      </c>
      <c r="BJ720" s="54">
        <f>G720*H720</f>
        <v>0</v>
      </c>
      <c r="BK720" s="54"/>
      <c r="BL720" s="54"/>
      <c r="BW720" s="54">
        <v>21</v>
      </c>
      <c r="BX720" s="3" t="s">
        <v>1573</v>
      </c>
    </row>
    <row r="721" spans="1:76" ht="14.5" x14ac:dyDescent="0.35">
      <c r="A721" s="57"/>
      <c r="D721" s="58" t="s">
        <v>406</v>
      </c>
      <c r="E721" s="59" t="s">
        <v>1575</v>
      </c>
      <c r="G721" s="60">
        <v>24</v>
      </c>
      <c r="M721" s="61"/>
    </row>
    <row r="722" spans="1:76" ht="14.5" x14ac:dyDescent="0.35">
      <c r="A722" s="1" t="s">
        <v>1871</v>
      </c>
      <c r="B722" s="2" t="s">
        <v>1512</v>
      </c>
      <c r="C722" s="2" t="s">
        <v>1576</v>
      </c>
      <c r="D722" s="155" t="s">
        <v>1577</v>
      </c>
      <c r="E722" s="153"/>
      <c r="F722" s="2" t="s">
        <v>153</v>
      </c>
      <c r="G722" s="54">
        <v>159</v>
      </c>
      <c r="H722" s="84">
        <v>0</v>
      </c>
      <c r="I722" s="54">
        <f t="shared" ref="I722:I750" si="24">G722*H722</f>
        <v>0</v>
      </c>
      <c r="J722" s="54">
        <v>0</v>
      </c>
      <c r="K722" s="54">
        <v>0</v>
      </c>
      <c r="L722" s="54">
        <f t="shared" ref="L722:L750" si="25">G722*J722</f>
        <v>0</v>
      </c>
      <c r="M722" s="55" t="s">
        <v>111</v>
      </c>
      <c r="Z722" s="54">
        <f t="shared" ref="Z722:Z750" si="26">IF(AQ722="5",BJ722,0)</f>
        <v>0</v>
      </c>
      <c r="AB722" s="54">
        <f t="shared" ref="AB722:AB750" si="27">IF(AQ722="1",BH722,0)</f>
        <v>0</v>
      </c>
      <c r="AC722" s="54">
        <f t="shared" ref="AC722:AC750" si="28">IF(AQ722="1",BI722,0)</f>
        <v>0</v>
      </c>
      <c r="AD722" s="54">
        <f t="shared" ref="AD722:AD750" si="29">IF(AQ722="7",BH722,0)</f>
        <v>0</v>
      </c>
      <c r="AE722" s="54">
        <f t="shared" ref="AE722:AE750" si="30">IF(AQ722="7",BI722,0)</f>
        <v>0</v>
      </c>
      <c r="AF722" s="54">
        <f t="shared" ref="AF722:AF750" si="31">IF(AQ722="2",BH722,0)</f>
        <v>0</v>
      </c>
      <c r="AG722" s="54">
        <f t="shared" ref="AG722:AG750" si="32">IF(AQ722="2",BI722,0)</f>
        <v>0</v>
      </c>
      <c r="AH722" s="54">
        <f t="shared" ref="AH722:AH750" si="33">IF(AQ722="0",BJ722,0)</f>
        <v>0</v>
      </c>
      <c r="AI722" s="34" t="s">
        <v>1512</v>
      </c>
      <c r="AJ722" s="54">
        <f t="shared" ref="AJ722:AJ750" si="34">IF(AN722=0,I722,0)</f>
        <v>0</v>
      </c>
      <c r="AK722" s="54">
        <f t="shared" ref="AK722:AK750" si="35">IF(AN722=12,I722,0)</f>
        <v>0</v>
      </c>
      <c r="AL722" s="54">
        <f t="shared" ref="AL722:AL750" si="36">IF(AN722=21,I722,0)</f>
        <v>0</v>
      </c>
      <c r="AN722" s="54">
        <v>21</v>
      </c>
      <c r="AO722" s="54">
        <f>H722*0</f>
        <v>0</v>
      </c>
      <c r="AP722" s="54">
        <f>H722*(1-0)</f>
        <v>0</v>
      </c>
      <c r="AQ722" s="56" t="s">
        <v>119</v>
      </c>
      <c r="AV722" s="54">
        <f t="shared" ref="AV722:AV750" si="37">AW722+AX722</f>
        <v>0</v>
      </c>
      <c r="AW722" s="54">
        <f t="shared" ref="AW722:AW750" si="38">G722*AO722</f>
        <v>0</v>
      </c>
      <c r="AX722" s="54">
        <f t="shared" ref="AX722:AX750" si="39">G722*AP722</f>
        <v>0</v>
      </c>
      <c r="AY722" s="56" t="s">
        <v>1558</v>
      </c>
      <c r="AZ722" s="56" t="s">
        <v>1529</v>
      </c>
      <c r="BA722" s="34" t="s">
        <v>1520</v>
      </c>
      <c r="BC722" s="54">
        <f t="shared" ref="BC722:BC750" si="40">AW722+AX722</f>
        <v>0</v>
      </c>
      <c r="BD722" s="54">
        <f t="shared" ref="BD722:BD750" si="41">H722/(100-BE722)*100</f>
        <v>0</v>
      </c>
      <c r="BE722" s="54">
        <v>0</v>
      </c>
      <c r="BF722" s="54">
        <f t="shared" ref="BF722:BF750" si="42">L722</f>
        <v>0</v>
      </c>
      <c r="BH722" s="54">
        <f t="shared" ref="BH722:BH750" si="43">G722*AO722</f>
        <v>0</v>
      </c>
      <c r="BI722" s="54">
        <f t="shared" ref="BI722:BI750" si="44">G722*AP722</f>
        <v>0</v>
      </c>
      <c r="BJ722" s="54">
        <f t="shared" ref="BJ722:BJ750" si="45">G722*H722</f>
        <v>0</v>
      </c>
      <c r="BK722" s="54"/>
      <c r="BL722" s="54"/>
      <c r="BW722" s="54">
        <v>21</v>
      </c>
      <c r="BX722" s="3" t="s">
        <v>1577</v>
      </c>
    </row>
    <row r="723" spans="1:76" ht="14.5" x14ac:dyDescent="0.35">
      <c r="A723" s="64" t="s">
        <v>1872</v>
      </c>
      <c r="B723" s="65" t="s">
        <v>1512</v>
      </c>
      <c r="C723" s="65" t="s">
        <v>1579</v>
      </c>
      <c r="D723" s="217" t="s">
        <v>1580</v>
      </c>
      <c r="E723" s="218"/>
      <c r="F723" s="65" t="s">
        <v>153</v>
      </c>
      <c r="G723" s="67">
        <v>92</v>
      </c>
      <c r="H723" s="85">
        <v>0</v>
      </c>
      <c r="I723" s="67">
        <f t="shared" si="24"/>
        <v>0</v>
      </c>
      <c r="J723" s="67">
        <v>1.4999999999999999E-4</v>
      </c>
      <c r="K723" s="67">
        <v>0</v>
      </c>
      <c r="L723" s="67">
        <f t="shared" si="25"/>
        <v>1.3799999999999998E-2</v>
      </c>
      <c r="M723" s="68" t="s">
        <v>111</v>
      </c>
      <c r="Z723" s="54">
        <f t="shared" si="26"/>
        <v>0</v>
      </c>
      <c r="AB723" s="54">
        <f t="shared" si="27"/>
        <v>0</v>
      </c>
      <c r="AC723" s="54">
        <f t="shared" si="28"/>
        <v>0</v>
      </c>
      <c r="AD723" s="54">
        <f t="shared" si="29"/>
        <v>0</v>
      </c>
      <c r="AE723" s="54">
        <f t="shared" si="30"/>
        <v>0</v>
      </c>
      <c r="AF723" s="54">
        <f t="shared" si="31"/>
        <v>0</v>
      </c>
      <c r="AG723" s="54">
        <f t="shared" si="32"/>
        <v>0</v>
      </c>
      <c r="AH723" s="54">
        <f t="shared" si="33"/>
        <v>0</v>
      </c>
      <c r="AI723" s="34" t="s">
        <v>1512</v>
      </c>
      <c r="AJ723" s="67">
        <f t="shared" si="34"/>
        <v>0</v>
      </c>
      <c r="AK723" s="67">
        <f t="shared" si="35"/>
        <v>0</v>
      </c>
      <c r="AL723" s="67">
        <f t="shared" si="36"/>
        <v>0</v>
      </c>
      <c r="AN723" s="54">
        <v>21</v>
      </c>
      <c r="AO723" s="54">
        <f>H723*1</f>
        <v>0</v>
      </c>
      <c r="AP723" s="54">
        <f>H723*(1-1)</f>
        <v>0</v>
      </c>
      <c r="AQ723" s="69" t="s">
        <v>107</v>
      </c>
      <c r="AV723" s="54">
        <f t="shared" si="37"/>
        <v>0</v>
      </c>
      <c r="AW723" s="54">
        <f t="shared" si="38"/>
        <v>0</v>
      </c>
      <c r="AX723" s="54">
        <f t="shared" si="39"/>
        <v>0</v>
      </c>
      <c r="AY723" s="56" t="s">
        <v>1558</v>
      </c>
      <c r="AZ723" s="56" t="s">
        <v>1529</v>
      </c>
      <c r="BA723" s="34" t="s">
        <v>1520</v>
      </c>
      <c r="BC723" s="54">
        <f t="shared" si="40"/>
        <v>0</v>
      </c>
      <c r="BD723" s="54">
        <f t="shared" si="41"/>
        <v>0</v>
      </c>
      <c r="BE723" s="54">
        <v>0</v>
      </c>
      <c r="BF723" s="54">
        <f t="shared" si="42"/>
        <v>1.3799999999999998E-2</v>
      </c>
      <c r="BH723" s="67">
        <f t="shared" si="43"/>
        <v>0</v>
      </c>
      <c r="BI723" s="67">
        <f t="shared" si="44"/>
        <v>0</v>
      </c>
      <c r="BJ723" s="67">
        <f t="shared" si="45"/>
        <v>0</v>
      </c>
      <c r="BK723" s="67"/>
      <c r="BL723" s="54"/>
      <c r="BW723" s="54">
        <v>21</v>
      </c>
      <c r="BX723" s="66" t="s">
        <v>1580</v>
      </c>
    </row>
    <row r="724" spans="1:76" ht="14.5" x14ac:dyDescent="0.35">
      <c r="A724" s="64" t="s">
        <v>1873</v>
      </c>
      <c r="B724" s="65" t="s">
        <v>1512</v>
      </c>
      <c r="C724" s="65" t="s">
        <v>1581</v>
      </c>
      <c r="D724" s="217" t="s">
        <v>1582</v>
      </c>
      <c r="E724" s="218"/>
      <c r="F724" s="65" t="s">
        <v>153</v>
      </c>
      <c r="G724" s="67">
        <v>76</v>
      </c>
      <c r="H724" s="85">
        <v>0</v>
      </c>
      <c r="I724" s="67">
        <f t="shared" si="24"/>
        <v>0</v>
      </c>
      <c r="J724" s="67">
        <v>2.3000000000000001E-4</v>
      </c>
      <c r="K724" s="67">
        <v>0</v>
      </c>
      <c r="L724" s="67">
        <f t="shared" si="25"/>
        <v>1.7479999999999999E-2</v>
      </c>
      <c r="M724" s="68" t="s">
        <v>111</v>
      </c>
      <c r="Z724" s="54">
        <f t="shared" si="26"/>
        <v>0</v>
      </c>
      <c r="AB724" s="54">
        <f t="shared" si="27"/>
        <v>0</v>
      </c>
      <c r="AC724" s="54">
        <f t="shared" si="28"/>
        <v>0</v>
      </c>
      <c r="AD724" s="54">
        <f t="shared" si="29"/>
        <v>0</v>
      </c>
      <c r="AE724" s="54">
        <f t="shared" si="30"/>
        <v>0</v>
      </c>
      <c r="AF724" s="54">
        <f t="shared" si="31"/>
        <v>0</v>
      </c>
      <c r="AG724" s="54">
        <f t="shared" si="32"/>
        <v>0</v>
      </c>
      <c r="AH724" s="54">
        <f t="shared" si="33"/>
        <v>0</v>
      </c>
      <c r="AI724" s="34" t="s">
        <v>1512</v>
      </c>
      <c r="AJ724" s="67">
        <f t="shared" si="34"/>
        <v>0</v>
      </c>
      <c r="AK724" s="67">
        <f t="shared" si="35"/>
        <v>0</v>
      </c>
      <c r="AL724" s="67">
        <f t="shared" si="36"/>
        <v>0</v>
      </c>
      <c r="AN724" s="54">
        <v>21</v>
      </c>
      <c r="AO724" s="54">
        <f>H724*1</f>
        <v>0</v>
      </c>
      <c r="AP724" s="54">
        <f>H724*(1-1)</f>
        <v>0</v>
      </c>
      <c r="AQ724" s="69" t="s">
        <v>107</v>
      </c>
      <c r="AV724" s="54">
        <f t="shared" si="37"/>
        <v>0</v>
      </c>
      <c r="AW724" s="54">
        <f t="shared" si="38"/>
        <v>0</v>
      </c>
      <c r="AX724" s="54">
        <f t="shared" si="39"/>
        <v>0</v>
      </c>
      <c r="AY724" s="56" t="s">
        <v>1558</v>
      </c>
      <c r="AZ724" s="56" t="s">
        <v>1529</v>
      </c>
      <c r="BA724" s="34" t="s">
        <v>1520</v>
      </c>
      <c r="BC724" s="54">
        <f t="shared" si="40"/>
        <v>0</v>
      </c>
      <c r="BD724" s="54">
        <f t="shared" si="41"/>
        <v>0</v>
      </c>
      <c r="BE724" s="54">
        <v>0</v>
      </c>
      <c r="BF724" s="54">
        <f t="shared" si="42"/>
        <v>1.7479999999999999E-2</v>
      </c>
      <c r="BH724" s="67">
        <f t="shared" si="43"/>
        <v>0</v>
      </c>
      <c r="BI724" s="67">
        <f t="shared" si="44"/>
        <v>0</v>
      </c>
      <c r="BJ724" s="67">
        <f t="shared" si="45"/>
        <v>0</v>
      </c>
      <c r="BK724" s="67"/>
      <c r="BL724" s="54"/>
      <c r="BW724" s="54">
        <v>21</v>
      </c>
      <c r="BX724" s="66" t="s">
        <v>1582</v>
      </c>
    </row>
    <row r="725" spans="1:76" ht="14.5" x14ac:dyDescent="0.35">
      <c r="A725" s="1" t="s">
        <v>1874</v>
      </c>
      <c r="B725" s="2" t="s">
        <v>1512</v>
      </c>
      <c r="C725" s="2" t="s">
        <v>1583</v>
      </c>
      <c r="D725" s="155" t="s">
        <v>1584</v>
      </c>
      <c r="E725" s="153"/>
      <c r="F725" s="2" t="s">
        <v>196</v>
      </c>
      <c r="G725" s="54">
        <v>313</v>
      </c>
      <c r="H725" s="84">
        <v>0</v>
      </c>
      <c r="I725" s="54">
        <f t="shared" si="24"/>
        <v>0</v>
      </c>
      <c r="J725" s="54">
        <v>0</v>
      </c>
      <c r="K725" s="54">
        <v>0</v>
      </c>
      <c r="L725" s="54">
        <f t="shared" si="25"/>
        <v>0</v>
      </c>
      <c r="M725" s="55" t="s">
        <v>111</v>
      </c>
      <c r="Z725" s="54">
        <f t="shared" si="26"/>
        <v>0</v>
      </c>
      <c r="AB725" s="54">
        <f t="shared" si="27"/>
        <v>0</v>
      </c>
      <c r="AC725" s="54">
        <f t="shared" si="28"/>
        <v>0</v>
      </c>
      <c r="AD725" s="54">
        <f t="shared" si="29"/>
        <v>0</v>
      </c>
      <c r="AE725" s="54">
        <f t="shared" si="30"/>
        <v>0</v>
      </c>
      <c r="AF725" s="54">
        <f t="shared" si="31"/>
        <v>0</v>
      </c>
      <c r="AG725" s="54">
        <f t="shared" si="32"/>
        <v>0</v>
      </c>
      <c r="AH725" s="54">
        <f t="shared" si="33"/>
        <v>0</v>
      </c>
      <c r="AI725" s="34" t="s">
        <v>1512</v>
      </c>
      <c r="AJ725" s="54">
        <f t="shared" si="34"/>
        <v>0</v>
      </c>
      <c r="AK725" s="54">
        <f t="shared" si="35"/>
        <v>0</v>
      </c>
      <c r="AL725" s="54">
        <f t="shared" si="36"/>
        <v>0</v>
      </c>
      <c r="AN725" s="54">
        <v>21</v>
      </c>
      <c r="AO725" s="54">
        <f>H725*0</f>
        <v>0</v>
      </c>
      <c r="AP725" s="54">
        <f>H725*(1-0)</f>
        <v>0</v>
      </c>
      <c r="AQ725" s="56" t="s">
        <v>119</v>
      </c>
      <c r="AV725" s="54">
        <f t="shared" si="37"/>
        <v>0</v>
      </c>
      <c r="AW725" s="54">
        <f t="shared" si="38"/>
        <v>0</v>
      </c>
      <c r="AX725" s="54">
        <f t="shared" si="39"/>
        <v>0</v>
      </c>
      <c r="AY725" s="56" t="s">
        <v>1558</v>
      </c>
      <c r="AZ725" s="56" t="s">
        <v>1529</v>
      </c>
      <c r="BA725" s="34" t="s">
        <v>1520</v>
      </c>
      <c r="BC725" s="54">
        <f t="shared" si="40"/>
        <v>0</v>
      </c>
      <c r="BD725" s="54">
        <f t="shared" si="41"/>
        <v>0</v>
      </c>
      <c r="BE725" s="54">
        <v>0</v>
      </c>
      <c r="BF725" s="54">
        <f t="shared" si="42"/>
        <v>0</v>
      </c>
      <c r="BH725" s="54">
        <f t="shared" si="43"/>
        <v>0</v>
      </c>
      <c r="BI725" s="54">
        <f t="shared" si="44"/>
        <v>0</v>
      </c>
      <c r="BJ725" s="54">
        <f t="shared" si="45"/>
        <v>0</v>
      </c>
      <c r="BK725" s="54"/>
      <c r="BL725" s="54"/>
      <c r="BW725" s="54">
        <v>21</v>
      </c>
      <c r="BX725" s="3" t="s">
        <v>1584</v>
      </c>
    </row>
    <row r="726" spans="1:76" ht="14.5" x14ac:dyDescent="0.35">
      <c r="A726" s="64" t="s">
        <v>1875</v>
      </c>
      <c r="B726" s="65" t="s">
        <v>1512</v>
      </c>
      <c r="C726" s="65" t="s">
        <v>1586</v>
      </c>
      <c r="D726" s="217" t="s">
        <v>1587</v>
      </c>
      <c r="E726" s="218"/>
      <c r="F726" s="65" t="s">
        <v>196</v>
      </c>
      <c r="G726" s="67">
        <v>313</v>
      </c>
      <c r="H726" s="85">
        <v>0</v>
      </c>
      <c r="I726" s="67">
        <f t="shared" si="24"/>
        <v>0</v>
      </c>
      <c r="J726" s="67">
        <v>4.0000000000000003E-5</v>
      </c>
      <c r="K726" s="67">
        <v>0</v>
      </c>
      <c r="L726" s="67">
        <f t="shared" si="25"/>
        <v>1.2520000000000002E-2</v>
      </c>
      <c r="M726" s="68" t="s">
        <v>111</v>
      </c>
      <c r="Z726" s="54">
        <f t="shared" si="26"/>
        <v>0</v>
      </c>
      <c r="AB726" s="54">
        <f t="shared" si="27"/>
        <v>0</v>
      </c>
      <c r="AC726" s="54">
        <f t="shared" si="28"/>
        <v>0</v>
      </c>
      <c r="AD726" s="54">
        <f t="shared" si="29"/>
        <v>0</v>
      </c>
      <c r="AE726" s="54">
        <f t="shared" si="30"/>
        <v>0</v>
      </c>
      <c r="AF726" s="54">
        <f t="shared" si="31"/>
        <v>0</v>
      </c>
      <c r="AG726" s="54">
        <f t="shared" si="32"/>
        <v>0</v>
      </c>
      <c r="AH726" s="54">
        <f t="shared" si="33"/>
        <v>0</v>
      </c>
      <c r="AI726" s="34" t="s">
        <v>1512</v>
      </c>
      <c r="AJ726" s="67">
        <f t="shared" si="34"/>
        <v>0</v>
      </c>
      <c r="AK726" s="67">
        <f t="shared" si="35"/>
        <v>0</v>
      </c>
      <c r="AL726" s="67">
        <f t="shared" si="36"/>
        <v>0</v>
      </c>
      <c r="AN726" s="54">
        <v>21</v>
      </c>
      <c r="AO726" s="54">
        <f>H726*1</f>
        <v>0</v>
      </c>
      <c r="AP726" s="54">
        <f>H726*(1-1)</f>
        <v>0</v>
      </c>
      <c r="AQ726" s="69" t="s">
        <v>107</v>
      </c>
      <c r="AV726" s="54">
        <f t="shared" si="37"/>
        <v>0</v>
      </c>
      <c r="AW726" s="54">
        <f t="shared" si="38"/>
        <v>0</v>
      </c>
      <c r="AX726" s="54">
        <f t="shared" si="39"/>
        <v>0</v>
      </c>
      <c r="AY726" s="56" t="s">
        <v>1558</v>
      </c>
      <c r="AZ726" s="56" t="s">
        <v>1529</v>
      </c>
      <c r="BA726" s="34" t="s">
        <v>1520</v>
      </c>
      <c r="BC726" s="54">
        <f t="shared" si="40"/>
        <v>0</v>
      </c>
      <c r="BD726" s="54">
        <f t="shared" si="41"/>
        <v>0</v>
      </c>
      <c r="BE726" s="54">
        <v>0</v>
      </c>
      <c r="BF726" s="54">
        <f t="shared" si="42"/>
        <v>1.2520000000000002E-2</v>
      </c>
      <c r="BH726" s="67">
        <f t="shared" si="43"/>
        <v>0</v>
      </c>
      <c r="BI726" s="67">
        <f t="shared" si="44"/>
        <v>0</v>
      </c>
      <c r="BJ726" s="67">
        <f t="shared" si="45"/>
        <v>0</v>
      </c>
      <c r="BK726" s="67"/>
      <c r="BL726" s="54"/>
      <c r="BW726" s="54">
        <v>21</v>
      </c>
      <c r="BX726" s="66" t="s">
        <v>1587</v>
      </c>
    </row>
    <row r="727" spans="1:76" ht="14.5" x14ac:dyDescent="0.35">
      <c r="A727" s="1" t="s">
        <v>1876</v>
      </c>
      <c r="B727" s="2" t="s">
        <v>1512</v>
      </c>
      <c r="C727" s="2" t="s">
        <v>1589</v>
      </c>
      <c r="D727" s="155" t="s">
        <v>1590</v>
      </c>
      <c r="E727" s="153"/>
      <c r="F727" s="2" t="s">
        <v>196</v>
      </c>
      <c r="G727" s="54">
        <v>144</v>
      </c>
      <c r="H727" s="84">
        <v>0</v>
      </c>
      <c r="I727" s="54">
        <f t="shared" si="24"/>
        <v>0</v>
      </c>
      <c r="J727" s="54">
        <v>0</v>
      </c>
      <c r="K727" s="54">
        <v>0</v>
      </c>
      <c r="L727" s="54">
        <f t="shared" si="25"/>
        <v>0</v>
      </c>
      <c r="M727" s="55" t="s">
        <v>111</v>
      </c>
      <c r="Z727" s="54">
        <f t="shared" si="26"/>
        <v>0</v>
      </c>
      <c r="AB727" s="54">
        <f t="shared" si="27"/>
        <v>0</v>
      </c>
      <c r="AC727" s="54">
        <f t="shared" si="28"/>
        <v>0</v>
      </c>
      <c r="AD727" s="54">
        <f t="shared" si="29"/>
        <v>0</v>
      </c>
      <c r="AE727" s="54">
        <f t="shared" si="30"/>
        <v>0</v>
      </c>
      <c r="AF727" s="54">
        <f t="shared" si="31"/>
        <v>0</v>
      </c>
      <c r="AG727" s="54">
        <f t="shared" si="32"/>
        <v>0</v>
      </c>
      <c r="AH727" s="54">
        <f t="shared" si="33"/>
        <v>0</v>
      </c>
      <c r="AI727" s="34" t="s">
        <v>1512</v>
      </c>
      <c r="AJ727" s="54">
        <f t="shared" si="34"/>
        <v>0</v>
      </c>
      <c r="AK727" s="54">
        <f t="shared" si="35"/>
        <v>0</v>
      </c>
      <c r="AL727" s="54">
        <f t="shared" si="36"/>
        <v>0</v>
      </c>
      <c r="AN727" s="54">
        <v>21</v>
      </c>
      <c r="AO727" s="54">
        <f>H727*0</f>
        <v>0</v>
      </c>
      <c r="AP727" s="54">
        <f>H727*(1-0)</f>
        <v>0</v>
      </c>
      <c r="AQ727" s="56" t="s">
        <v>119</v>
      </c>
      <c r="AV727" s="54">
        <f t="shared" si="37"/>
        <v>0</v>
      </c>
      <c r="AW727" s="54">
        <f t="shared" si="38"/>
        <v>0</v>
      </c>
      <c r="AX727" s="54">
        <f t="shared" si="39"/>
        <v>0</v>
      </c>
      <c r="AY727" s="56" t="s">
        <v>1558</v>
      </c>
      <c r="AZ727" s="56" t="s">
        <v>1529</v>
      </c>
      <c r="BA727" s="34" t="s">
        <v>1520</v>
      </c>
      <c r="BC727" s="54">
        <f t="shared" si="40"/>
        <v>0</v>
      </c>
      <c r="BD727" s="54">
        <f t="shared" si="41"/>
        <v>0</v>
      </c>
      <c r="BE727" s="54">
        <v>0</v>
      </c>
      <c r="BF727" s="54">
        <f t="shared" si="42"/>
        <v>0</v>
      </c>
      <c r="BH727" s="54">
        <f t="shared" si="43"/>
        <v>0</v>
      </c>
      <c r="BI727" s="54">
        <f t="shared" si="44"/>
        <v>0</v>
      </c>
      <c r="BJ727" s="54">
        <f t="shared" si="45"/>
        <v>0</v>
      </c>
      <c r="BK727" s="54"/>
      <c r="BL727" s="54"/>
      <c r="BW727" s="54">
        <v>21</v>
      </c>
      <c r="BX727" s="3" t="s">
        <v>1590</v>
      </c>
    </row>
    <row r="728" spans="1:76" ht="14.5" x14ac:dyDescent="0.35">
      <c r="A728" s="64" t="s">
        <v>1877</v>
      </c>
      <c r="B728" s="65" t="s">
        <v>1512</v>
      </c>
      <c r="C728" s="65" t="s">
        <v>1592</v>
      </c>
      <c r="D728" s="217" t="s">
        <v>1593</v>
      </c>
      <c r="E728" s="218"/>
      <c r="F728" s="65" t="s">
        <v>196</v>
      </c>
      <c r="G728" s="67">
        <v>96</v>
      </c>
      <c r="H728" s="85">
        <v>0</v>
      </c>
      <c r="I728" s="67">
        <f t="shared" si="24"/>
        <v>0</v>
      </c>
      <c r="J728" s="67">
        <v>0</v>
      </c>
      <c r="K728" s="67">
        <v>0</v>
      </c>
      <c r="L728" s="67">
        <f t="shared" si="25"/>
        <v>0</v>
      </c>
      <c r="M728" s="68" t="s">
        <v>111</v>
      </c>
      <c r="Z728" s="54">
        <f t="shared" si="26"/>
        <v>0</v>
      </c>
      <c r="AB728" s="54">
        <f t="shared" si="27"/>
        <v>0</v>
      </c>
      <c r="AC728" s="54">
        <f t="shared" si="28"/>
        <v>0</v>
      </c>
      <c r="AD728" s="54">
        <f t="shared" si="29"/>
        <v>0</v>
      </c>
      <c r="AE728" s="54">
        <f t="shared" si="30"/>
        <v>0</v>
      </c>
      <c r="AF728" s="54">
        <f t="shared" si="31"/>
        <v>0</v>
      </c>
      <c r="AG728" s="54">
        <f t="shared" si="32"/>
        <v>0</v>
      </c>
      <c r="AH728" s="54">
        <f t="shared" si="33"/>
        <v>0</v>
      </c>
      <c r="AI728" s="34" t="s">
        <v>1512</v>
      </c>
      <c r="AJ728" s="67">
        <f t="shared" si="34"/>
        <v>0</v>
      </c>
      <c r="AK728" s="67">
        <f t="shared" si="35"/>
        <v>0</v>
      </c>
      <c r="AL728" s="67">
        <f t="shared" si="36"/>
        <v>0</v>
      </c>
      <c r="AN728" s="54">
        <v>21</v>
      </c>
      <c r="AO728" s="54">
        <f>H728*1</f>
        <v>0</v>
      </c>
      <c r="AP728" s="54">
        <f>H728*(1-1)</f>
        <v>0</v>
      </c>
      <c r="AQ728" s="69" t="s">
        <v>107</v>
      </c>
      <c r="AV728" s="54">
        <f t="shared" si="37"/>
        <v>0</v>
      </c>
      <c r="AW728" s="54">
        <f t="shared" si="38"/>
        <v>0</v>
      </c>
      <c r="AX728" s="54">
        <f t="shared" si="39"/>
        <v>0</v>
      </c>
      <c r="AY728" s="56" t="s">
        <v>1558</v>
      </c>
      <c r="AZ728" s="56" t="s">
        <v>1529</v>
      </c>
      <c r="BA728" s="34" t="s">
        <v>1520</v>
      </c>
      <c r="BC728" s="54">
        <f t="shared" si="40"/>
        <v>0</v>
      </c>
      <c r="BD728" s="54">
        <f t="shared" si="41"/>
        <v>0</v>
      </c>
      <c r="BE728" s="54">
        <v>0</v>
      </c>
      <c r="BF728" s="54">
        <f t="shared" si="42"/>
        <v>0</v>
      </c>
      <c r="BH728" s="67">
        <f t="shared" si="43"/>
        <v>0</v>
      </c>
      <c r="BI728" s="67">
        <f t="shared" si="44"/>
        <v>0</v>
      </c>
      <c r="BJ728" s="67">
        <f t="shared" si="45"/>
        <v>0</v>
      </c>
      <c r="BK728" s="67"/>
      <c r="BL728" s="54"/>
      <c r="BW728" s="54">
        <v>21</v>
      </c>
      <c r="BX728" s="66" t="s">
        <v>1593</v>
      </c>
    </row>
    <row r="729" spans="1:76" ht="14.5" x14ac:dyDescent="0.35">
      <c r="A729" s="64" t="s">
        <v>1878</v>
      </c>
      <c r="B729" s="65" t="s">
        <v>1512</v>
      </c>
      <c r="C729" s="65" t="s">
        <v>1595</v>
      </c>
      <c r="D729" s="217" t="s">
        <v>1596</v>
      </c>
      <c r="E729" s="218"/>
      <c r="F729" s="65" t="s">
        <v>196</v>
      </c>
      <c r="G729" s="67">
        <v>48</v>
      </c>
      <c r="H729" s="85">
        <v>0</v>
      </c>
      <c r="I729" s="67">
        <f t="shared" si="24"/>
        <v>0</v>
      </c>
      <c r="J729" s="67">
        <v>3.0000000000000001E-5</v>
      </c>
      <c r="K729" s="67">
        <v>0</v>
      </c>
      <c r="L729" s="67">
        <f t="shared" si="25"/>
        <v>1.4400000000000001E-3</v>
      </c>
      <c r="M729" s="68" t="s">
        <v>111</v>
      </c>
      <c r="Z729" s="54">
        <f t="shared" si="26"/>
        <v>0</v>
      </c>
      <c r="AB729" s="54">
        <f t="shared" si="27"/>
        <v>0</v>
      </c>
      <c r="AC729" s="54">
        <f t="shared" si="28"/>
        <v>0</v>
      </c>
      <c r="AD729" s="54">
        <f t="shared" si="29"/>
        <v>0</v>
      </c>
      <c r="AE729" s="54">
        <f t="shared" si="30"/>
        <v>0</v>
      </c>
      <c r="AF729" s="54">
        <f t="shared" si="31"/>
        <v>0</v>
      </c>
      <c r="AG729" s="54">
        <f t="shared" si="32"/>
        <v>0</v>
      </c>
      <c r="AH729" s="54">
        <f t="shared" si="33"/>
        <v>0</v>
      </c>
      <c r="AI729" s="34" t="s">
        <v>1512</v>
      </c>
      <c r="AJ729" s="67">
        <f t="shared" si="34"/>
        <v>0</v>
      </c>
      <c r="AK729" s="67">
        <f t="shared" si="35"/>
        <v>0</v>
      </c>
      <c r="AL729" s="67">
        <f t="shared" si="36"/>
        <v>0</v>
      </c>
      <c r="AN729" s="54">
        <v>21</v>
      </c>
      <c r="AO729" s="54">
        <f>H729*1</f>
        <v>0</v>
      </c>
      <c r="AP729" s="54">
        <f>H729*(1-1)</f>
        <v>0</v>
      </c>
      <c r="AQ729" s="69" t="s">
        <v>107</v>
      </c>
      <c r="AV729" s="54">
        <f t="shared" si="37"/>
        <v>0</v>
      </c>
      <c r="AW729" s="54">
        <f t="shared" si="38"/>
        <v>0</v>
      </c>
      <c r="AX729" s="54">
        <f t="shared" si="39"/>
        <v>0</v>
      </c>
      <c r="AY729" s="56" t="s">
        <v>1558</v>
      </c>
      <c r="AZ729" s="56" t="s">
        <v>1529</v>
      </c>
      <c r="BA729" s="34" t="s">
        <v>1520</v>
      </c>
      <c r="BC729" s="54">
        <f t="shared" si="40"/>
        <v>0</v>
      </c>
      <c r="BD729" s="54">
        <f t="shared" si="41"/>
        <v>0</v>
      </c>
      <c r="BE729" s="54">
        <v>0</v>
      </c>
      <c r="BF729" s="54">
        <f t="shared" si="42"/>
        <v>1.4400000000000001E-3</v>
      </c>
      <c r="BH729" s="67">
        <f t="shared" si="43"/>
        <v>0</v>
      </c>
      <c r="BI729" s="67">
        <f t="shared" si="44"/>
        <v>0</v>
      </c>
      <c r="BJ729" s="67">
        <f t="shared" si="45"/>
        <v>0</v>
      </c>
      <c r="BK729" s="67"/>
      <c r="BL729" s="54"/>
      <c r="BW729" s="54">
        <v>21</v>
      </c>
      <c r="BX729" s="66" t="s">
        <v>1596</v>
      </c>
    </row>
    <row r="730" spans="1:76" ht="14.5" x14ac:dyDescent="0.35">
      <c r="A730" s="1" t="s">
        <v>1879</v>
      </c>
      <c r="B730" s="2" t="s">
        <v>1512</v>
      </c>
      <c r="C730" s="2" t="s">
        <v>1598</v>
      </c>
      <c r="D730" s="155" t="s">
        <v>1599</v>
      </c>
      <c r="E730" s="153"/>
      <c r="F730" s="2" t="s">
        <v>196</v>
      </c>
      <c r="G730" s="54">
        <v>28</v>
      </c>
      <c r="H730" s="84">
        <v>0</v>
      </c>
      <c r="I730" s="54">
        <f t="shared" si="24"/>
        <v>0</v>
      </c>
      <c r="J730" s="54">
        <v>0</v>
      </c>
      <c r="K730" s="54">
        <v>0</v>
      </c>
      <c r="L730" s="54">
        <f t="shared" si="25"/>
        <v>0</v>
      </c>
      <c r="M730" s="55" t="s">
        <v>111</v>
      </c>
      <c r="Z730" s="54">
        <f t="shared" si="26"/>
        <v>0</v>
      </c>
      <c r="AB730" s="54">
        <f t="shared" si="27"/>
        <v>0</v>
      </c>
      <c r="AC730" s="54">
        <f t="shared" si="28"/>
        <v>0</v>
      </c>
      <c r="AD730" s="54">
        <f t="shared" si="29"/>
        <v>0</v>
      </c>
      <c r="AE730" s="54">
        <f t="shared" si="30"/>
        <v>0</v>
      </c>
      <c r="AF730" s="54">
        <f t="shared" si="31"/>
        <v>0</v>
      </c>
      <c r="AG730" s="54">
        <f t="shared" si="32"/>
        <v>0</v>
      </c>
      <c r="AH730" s="54">
        <f t="shared" si="33"/>
        <v>0</v>
      </c>
      <c r="AI730" s="34" t="s">
        <v>1512</v>
      </c>
      <c r="AJ730" s="54">
        <f t="shared" si="34"/>
        <v>0</v>
      </c>
      <c r="AK730" s="54">
        <f t="shared" si="35"/>
        <v>0</v>
      </c>
      <c r="AL730" s="54">
        <f t="shared" si="36"/>
        <v>0</v>
      </c>
      <c r="AN730" s="54">
        <v>21</v>
      </c>
      <c r="AO730" s="54">
        <f>H730*0</f>
        <v>0</v>
      </c>
      <c r="AP730" s="54">
        <f>H730*(1-0)</f>
        <v>0</v>
      </c>
      <c r="AQ730" s="56" t="s">
        <v>119</v>
      </c>
      <c r="AV730" s="54">
        <f t="shared" si="37"/>
        <v>0</v>
      </c>
      <c r="AW730" s="54">
        <f t="shared" si="38"/>
        <v>0</v>
      </c>
      <c r="AX730" s="54">
        <f t="shared" si="39"/>
        <v>0</v>
      </c>
      <c r="AY730" s="56" t="s">
        <v>1558</v>
      </c>
      <c r="AZ730" s="56" t="s">
        <v>1529</v>
      </c>
      <c r="BA730" s="34" t="s">
        <v>1520</v>
      </c>
      <c r="BC730" s="54">
        <f t="shared" si="40"/>
        <v>0</v>
      </c>
      <c r="BD730" s="54">
        <f t="shared" si="41"/>
        <v>0</v>
      </c>
      <c r="BE730" s="54">
        <v>0</v>
      </c>
      <c r="BF730" s="54">
        <f t="shared" si="42"/>
        <v>0</v>
      </c>
      <c r="BH730" s="54">
        <f t="shared" si="43"/>
        <v>0</v>
      </c>
      <c r="BI730" s="54">
        <f t="shared" si="44"/>
        <v>0</v>
      </c>
      <c r="BJ730" s="54">
        <f t="shared" si="45"/>
        <v>0</v>
      </c>
      <c r="BK730" s="54"/>
      <c r="BL730" s="54"/>
      <c r="BW730" s="54">
        <v>21</v>
      </c>
      <c r="BX730" s="3" t="s">
        <v>1599</v>
      </c>
    </row>
    <row r="731" spans="1:76" ht="14.5" x14ac:dyDescent="0.35">
      <c r="A731" s="64" t="s">
        <v>1880</v>
      </c>
      <c r="B731" s="65" t="s">
        <v>1512</v>
      </c>
      <c r="C731" s="65" t="s">
        <v>1600</v>
      </c>
      <c r="D731" s="217" t="s">
        <v>1601</v>
      </c>
      <c r="E731" s="218"/>
      <c r="F731" s="65" t="s">
        <v>196</v>
      </c>
      <c r="G731" s="67">
        <v>28</v>
      </c>
      <c r="H731" s="85">
        <v>0</v>
      </c>
      <c r="I731" s="67">
        <f t="shared" si="24"/>
        <v>0</v>
      </c>
      <c r="J731" s="67">
        <v>2.0000000000000002E-5</v>
      </c>
      <c r="K731" s="67">
        <v>0</v>
      </c>
      <c r="L731" s="67">
        <f t="shared" si="25"/>
        <v>5.6000000000000006E-4</v>
      </c>
      <c r="M731" s="68" t="s">
        <v>111</v>
      </c>
      <c r="Z731" s="54">
        <f t="shared" si="26"/>
        <v>0</v>
      </c>
      <c r="AB731" s="54">
        <f t="shared" si="27"/>
        <v>0</v>
      </c>
      <c r="AC731" s="54">
        <f t="shared" si="28"/>
        <v>0</v>
      </c>
      <c r="AD731" s="54">
        <f t="shared" si="29"/>
        <v>0</v>
      </c>
      <c r="AE731" s="54">
        <f t="shared" si="30"/>
        <v>0</v>
      </c>
      <c r="AF731" s="54">
        <f t="shared" si="31"/>
        <v>0</v>
      </c>
      <c r="AG731" s="54">
        <f t="shared" si="32"/>
        <v>0</v>
      </c>
      <c r="AH731" s="54">
        <f t="shared" si="33"/>
        <v>0</v>
      </c>
      <c r="AI731" s="34" t="s">
        <v>1512</v>
      </c>
      <c r="AJ731" s="67">
        <f t="shared" si="34"/>
        <v>0</v>
      </c>
      <c r="AK731" s="67">
        <f t="shared" si="35"/>
        <v>0</v>
      </c>
      <c r="AL731" s="67">
        <f t="shared" si="36"/>
        <v>0</v>
      </c>
      <c r="AN731" s="54">
        <v>21</v>
      </c>
      <c r="AO731" s="54">
        <f>H731*1</f>
        <v>0</v>
      </c>
      <c r="AP731" s="54">
        <f>H731*(1-1)</f>
        <v>0</v>
      </c>
      <c r="AQ731" s="69" t="s">
        <v>107</v>
      </c>
      <c r="AV731" s="54">
        <f t="shared" si="37"/>
        <v>0</v>
      </c>
      <c r="AW731" s="54">
        <f t="shared" si="38"/>
        <v>0</v>
      </c>
      <c r="AX731" s="54">
        <f t="shared" si="39"/>
        <v>0</v>
      </c>
      <c r="AY731" s="56" t="s">
        <v>1558</v>
      </c>
      <c r="AZ731" s="56" t="s">
        <v>1529</v>
      </c>
      <c r="BA731" s="34" t="s">
        <v>1520</v>
      </c>
      <c r="BC731" s="54">
        <f t="shared" si="40"/>
        <v>0</v>
      </c>
      <c r="BD731" s="54">
        <f t="shared" si="41"/>
        <v>0</v>
      </c>
      <c r="BE731" s="54">
        <v>0</v>
      </c>
      <c r="BF731" s="54">
        <f t="shared" si="42"/>
        <v>5.6000000000000006E-4</v>
      </c>
      <c r="BH731" s="67">
        <f t="shared" si="43"/>
        <v>0</v>
      </c>
      <c r="BI731" s="67">
        <f t="shared" si="44"/>
        <v>0</v>
      </c>
      <c r="BJ731" s="67">
        <f t="shared" si="45"/>
        <v>0</v>
      </c>
      <c r="BK731" s="67"/>
      <c r="BL731" s="54"/>
      <c r="BW731" s="54">
        <v>21</v>
      </c>
      <c r="BX731" s="66" t="s">
        <v>1601</v>
      </c>
    </row>
    <row r="732" spans="1:76" ht="14.5" x14ac:dyDescent="0.35">
      <c r="A732" s="1" t="s">
        <v>1881</v>
      </c>
      <c r="B732" s="2" t="s">
        <v>1512</v>
      </c>
      <c r="C732" s="2" t="s">
        <v>1603</v>
      </c>
      <c r="D732" s="155" t="s">
        <v>1604</v>
      </c>
      <c r="E732" s="153"/>
      <c r="F732" s="2" t="s">
        <v>196</v>
      </c>
      <c r="G732" s="54">
        <v>24</v>
      </c>
      <c r="H732" s="84">
        <v>0</v>
      </c>
      <c r="I732" s="54">
        <f t="shared" si="24"/>
        <v>0</v>
      </c>
      <c r="J732" s="54">
        <v>0</v>
      </c>
      <c r="K732" s="54">
        <v>0</v>
      </c>
      <c r="L732" s="54">
        <f t="shared" si="25"/>
        <v>0</v>
      </c>
      <c r="M732" s="55" t="s">
        <v>111</v>
      </c>
      <c r="Z732" s="54">
        <f t="shared" si="26"/>
        <v>0</v>
      </c>
      <c r="AB732" s="54">
        <f t="shared" si="27"/>
        <v>0</v>
      </c>
      <c r="AC732" s="54">
        <f t="shared" si="28"/>
        <v>0</v>
      </c>
      <c r="AD732" s="54">
        <f t="shared" si="29"/>
        <v>0</v>
      </c>
      <c r="AE732" s="54">
        <f t="shared" si="30"/>
        <v>0</v>
      </c>
      <c r="AF732" s="54">
        <f t="shared" si="31"/>
        <v>0</v>
      </c>
      <c r="AG732" s="54">
        <f t="shared" si="32"/>
        <v>0</v>
      </c>
      <c r="AH732" s="54">
        <f t="shared" si="33"/>
        <v>0</v>
      </c>
      <c r="AI732" s="34" t="s">
        <v>1512</v>
      </c>
      <c r="AJ732" s="54">
        <f t="shared" si="34"/>
        <v>0</v>
      </c>
      <c r="AK732" s="54">
        <f t="shared" si="35"/>
        <v>0</v>
      </c>
      <c r="AL732" s="54">
        <f t="shared" si="36"/>
        <v>0</v>
      </c>
      <c r="AN732" s="54">
        <v>21</v>
      </c>
      <c r="AO732" s="54">
        <f>H732*0</f>
        <v>0</v>
      </c>
      <c r="AP732" s="54">
        <f>H732*(1-0)</f>
        <v>0</v>
      </c>
      <c r="AQ732" s="56" t="s">
        <v>119</v>
      </c>
      <c r="AV732" s="54">
        <f t="shared" si="37"/>
        <v>0</v>
      </c>
      <c r="AW732" s="54">
        <f t="shared" si="38"/>
        <v>0</v>
      </c>
      <c r="AX732" s="54">
        <f t="shared" si="39"/>
        <v>0</v>
      </c>
      <c r="AY732" s="56" t="s">
        <v>1558</v>
      </c>
      <c r="AZ732" s="56" t="s">
        <v>1529</v>
      </c>
      <c r="BA732" s="34" t="s">
        <v>1520</v>
      </c>
      <c r="BC732" s="54">
        <f t="shared" si="40"/>
        <v>0</v>
      </c>
      <c r="BD732" s="54">
        <f t="shared" si="41"/>
        <v>0</v>
      </c>
      <c r="BE732" s="54">
        <v>0</v>
      </c>
      <c r="BF732" s="54">
        <f t="shared" si="42"/>
        <v>0</v>
      </c>
      <c r="BH732" s="54">
        <f t="shared" si="43"/>
        <v>0</v>
      </c>
      <c r="BI732" s="54">
        <f t="shared" si="44"/>
        <v>0</v>
      </c>
      <c r="BJ732" s="54">
        <f t="shared" si="45"/>
        <v>0</v>
      </c>
      <c r="BK732" s="54"/>
      <c r="BL732" s="54"/>
      <c r="BW732" s="54">
        <v>21</v>
      </c>
      <c r="BX732" s="3" t="s">
        <v>1604</v>
      </c>
    </row>
    <row r="733" spans="1:76" ht="14.5" x14ac:dyDescent="0.35">
      <c r="A733" s="64" t="s">
        <v>1882</v>
      </c>
      <c r="B733" s="65" t="s">
        <v>1512</v>
      </c>
      <c r="C733" s="65" t="s">
        <v>1605</v>
      </c>
      <c r="D733" s="217" t="s">
        <v>1606</v>
      </c>
      <c r="E733" s="218"/>
      <c r="F733" s="65" t="s">
        <v>196</v>
      </c>
      <c r="G733" s="67">
        <v>24</v>
      </c>
      <c r="H733" s="85">
        <v>0</v>
      </c>
      <c r="I733" s="67">
        <f t="shared" si="24"/>
        <v>0</v>
      </c>
      <c r="J733" s="67">
        <v>5.0000000000000002E-5</v>
      </c>
      <c r="K733" s="67">
        <v>0</v>
      </c>
      <c r="L733" s="67">
        <f t="shared" si="25"/>
        <v>1.2000000000000001E-3</v>
      </c>
      <c r="M733" s="68" t="s">
        <v>111</v>
      </c>
      <c r="Z733" s="54">
        <f t="shared" si="26"/>
        <v>0</v>
      </c>
      <c r="AB733" s="54">
        <f t="shared" si="27"/>
        <v>0</v>
      </c>
      <c r="AC733" s="54">
        <f t="shared" si="28"/>
        <v>0</v>
      </c>
      <c r="AD733" s="54">
        <f t="shared" si="29"/>
        <v>0</v>
      </c>
      <c r="AE733" s="54">
        <f t="shared" si="30"/>
        <v>0</v>
      </c>
      <c r="AF733" s="54">
        <f t="shared" si="31"/>
        <v>0</v>
      </c>
      <c r="AG733" s="54">
        <f t="shared" si="32"/>
        <v>0</v>
      </c>
      <c r="AH733" s="54">
        <f t="shared" si="33"/>
        <v>0</v>
      </c>
      <c r="AI733" s="34" t="s">
        <v>1512</v>
      </c>
      <c r="AJ733" s="67">
        <f t="shared" si="34"/>
        <v>0</v>
      </c>
      <c r="AK733" s="67">
        <f t="shared" si="35"/>
        <v>0</v>
      </c>
      <c r="AL733" s="67">
        <f t="shared" si="36"/>
        <v>0</v>
      </c>
      <c r="AN733" s="54">
        <v>21</v>
      </c>
      <c r="AO733" s="54">
        <f>H733*1</f>
        <v>0</v>
      </c>
      <c r="AP733" s="54">
        <f>H733*(1-1)</f>
        <v>0</v>
      </c>
      <c r="AQ733" s="69" t="s">
        <v>107</v>
      </c>
      <c r="AV733" s="54">
        <f t="shared" si="37"/>
        <v>0</v>
      </c>
      <c r="AW733" s="54">
        <f t="shared" si="38"/>
        <v>0</v>
      </c>
      <c r="AX733" s="54">
        <f t="shared" si="39"/>
        <v>0</v>
      </c>
      <c r="AY733" s="56" t="s">
        <v>1558</v>
      </c>
      <c r="AZ733" s="56" t="s">
        <v>1529</v>
      </c>
      <c r="BA733" s="34" t="s">
        <v>1520</v>
      </c>
      <c r="BC733" s="54">
        <f t="shared" si="40"/>
        <v>0</v>
      </c>
      <c r="BD733" s="54">
        <f t="shared" si="41"/>
        <v>0</v>
      </c>
      <c r="BE733" s="54">
        <v>0</v>
      </c>
      <c r="BF733" s="54">
        <f t="shared" si="42"/>
        <v>1.2000000000000001E-3</v>
      </c>
      <c r="BH733" s="67">
        <f t="shared" si="43"/>
        <v>0</v>
      </c>
      <c r="BI733" s="67">
        <f t="shared" si="44"/>
        <v>0</v>
      </c>
      <c r="BJ733" s="67">
        <f t="shared" si="45"/>
        <v>0</v>
      </c>
      <c r="BK733" s="67"/>
      <c r="BL733" s="54"/>
      <c r="BW733" s="54">
        <v>21</v>
      </c>
      <c r="BX733" s="66" t="s">
        <v>1606</v>
      </c>
    </row>
    <row r="734" spans="1:76" ht="14.5" x14ac:dyDescent="0.35">
      <c r="A734" s="1" t="s">
        <v>1883</v>
      </c>
      <c r="B734" s="2" t="s">
        <v>1512</v>
      </c>
      <c r="C734" s="2" t="s">
        <v>1608</v>
      </c>
      <c r="D734" s="155" t="s">
        <v>1609</v>
      </c>
      <c r="E734" s="153"/>
      <c r="F734" s="2" t="s">
        <v>196</v>
      </c>
      <c r="G734" s="54">
        <v>150</v>
      </c>
      <c r="H734" s="84">
        <v>0</v>
      </c>
      <c r="I734" s="54">
        <f t="shared" si="24"/>
        <v>0</v>
      </c>
      <c r="J734" s="54">
        <v>0</v>
      </c>
      <c r="K734" s="54">
        <v>0</v>
      </c>
      <c r="L734" s="54">
        <f t="shared" si="25"/>
        <v>0</v>
      </c>
      <c r="M734" s="55" t="s">
        <v>111</v>
      </c>
      <c r="Z734" s="54">
        <f t="shared" si="26"/>
        <v>0</v>
      </c>
      <c r="AB734" s="54">
        <f t="shared" si="27"/>
        <v>0</v>
      </c>
      <c r="AC734" s="54">
        <f t="shared" si="28"/>
        <v>0</v>
      </c>
      <c r="AD734" s="54">
        <f t="shared" si="29"/>
        <v>0</v>
      </c>
      <c r="AE734" s="54">
        <f t="shared" si="30"/>
        <v>0</v>
      </c>
      <c r="AF734" s="54">
        <f t="shared" si="31"/>
        <v>0</v>
      </c>
      <c r="AG734" s="54">
        <f t="shared" si="32"/>
        <v>0</v>
      </c>
      <c r="AH734" s="54">
        <f t="shared" si="33"/>
        <v>0</v>
      </c>
      <c r="AI734" s="34" t="s">
        <v>1512</v>
      </c>
      <c r="AJ734" s="54">
        <f t="shared" si="34"/>
        <v>0</v>
      </c>
      <c r="AK734" s="54">
        <f t="shared" si="35"/>
        <v>0</v>
      </c>
      <c r="AL734" s="54">
        <f t="shared" si="36"/>
        <v>0</v>
      </c>
      <c r="AN734" s="54">
        <v>21</v>
      </c>
      <c r="AO734" s="54">
        <f>H734*0</f>
        <v>0</v>
      </c>
      <c r="AP734" s="54">
        <f>H734*(1-0)</f>
        <v>0</v>
      </c>
      <c r="AQ734" s="56" t="s">
        <v>119</v>
      </c>
      <c r="AV734" s="54">
        <f t="shared" si="37"/>
        <v>0</v>
      </c>
      <c r="AW734" s="54">
        <f t="shared" si="38"/>
        <v>0</v>
      </c>
      <c r="AX734" s="54">
        <f t="shared" si="39"/>
        <v>0</v>
      </c>
      <c r="AY734" s="56" t="s">
        <v>1558</v>
      </c>
      <c r="AZ734" s="56" t="s">
        <v>1529</v>
      </c>
      <c r="BA734" s="34" t="s">
        <v>1520</v>
      </c>
      <c r="BC734" s="54">
        <f t="shared" si="40"/>
        <v>0</v>
      </c>
      <c r="BD734" s="54">
        <f t="shared" si="41"/>
        <v>0</v>
      </c>
      <c r="BE734" s="54">
        <v>0</v>
      </c>
      <c r="BF734" s="54">
        <f t="shared" si="42"/>
        <v>0</v>
      </c>
      <c r="BH734" s="54">
        <f t="shared" si="43"/>
        <v>0</v>
      </c>
      <c r="BI734" s="54">
        <f t="shared" si="44"/>
        <v>0</v>
      </c>
      <c r="BJ734" s="54">
        <f t="shared" si="45"/>
        <v>0</v>
      </c>
      <c r="BK734" s="54"/>
      <c r="BL734" s="54"/>
      <c r="BW734" s="54">
        <v>21</v>
      </c>
      <c r="BX734" s="3" t="s">
        <v>1609</v>
      </c>
    </row>
    <row r="735" spans="1:76" ht="14.5" x14ac:dyDescent="0.35">
      <c r="A735" s="1" t="s">
        <v>1884</v>
      </c>
      <c r="B735" s="2" t="s">
        <v>1512</v>
      </c>
      <c r="C735" s="2" t="s">
        <v>1610</v>
      </c>
      <c r="D735" s="155" t="s">
        <v>1611</v>
      </c>
      <c r="E735" s="153"/>
      <c r="F735" s="2" t="s">
        <v>196</v>
      </c>
      <c r="G735" s="54">
        <v>50</v>
      </c>
      <c r="H735" s="84">
        <v>0</v>
      </c>
      <c r="I735" s="54">
        <f t="shared" si="24"/>
        <v>0</v>
      </c>
      <c r="J735" s="54">
        <v>0</v>
      </c>
      <c r="K735" s="54">
        <v>0</v>
      </c>
      <c r="L735" s="54">
        <f t="shared" si="25"/>
        <v>0</v>
      </c>
      <c r="M735" s="55" t="s">
        <v>111</v>
      </c>
      <c r="Z735" s="54">
        <f t="shared" si="26"/>
        <v>0</v>
      </c>
      <c r="AB735" s="54">
        <f t="shared" si="27"/>
        <v>0</v>
      </c>
      <c r="AC735" s="54">
        <f t="shared" si="28"/>
        <v>0</v>
      </c>
      <c r="AD735" s="54">
        <f t="shared" si="29"/>
        <v>0</v>
      </c>
      <c r="AE735" s="54">
        <f t="shared" si="30"/>
        <v>0</v>
      </c>
      <c r="AF735" s="54">
        <f t="shared" si="31"/>
        <v>0</v>
      </c>
      <c r="AG735" s="54">
        <f t="shared" si="32"/>
        <v>0</v>
      </c>
      <c r="AH735" s="54">
        <f t="shared" si="33"/>
        <v>0</v>
      </c>
      <c r="AI735" s="34" t="s">
        <v>1512</v>
      </c>
      <c r="AJ735" s="54">
        <f t="shared" si="34"/>
        <v>0</v>
      </c>
      <c r="AK735" s="54">
        <f t="shared" si="35"/>
        <v>0</v>
      </c>
      <c r="AL735" s="54">
        <f t="shared" si="36"/>
        <v>0</v>
      </c>
      <c r="AN735" s="54">
        <v>21</v>
      </c>
      <c r="AO735" s="54">
        <f>H735*0</f>
        <v>0</v>
      </c>
      <c r="AP735" s="54">
        <f>H735*(1-0)</f>
        <v>0</v>
      </c>
      <c r="AQ735" s="56" t="s">
        <v>119</v>
      </c>
      <c r="AV735" s="54">
        <f t="shared" si="37"/>
        <v>0</v>
      </c>
      <c r="AW735" s="54">
        <f t="shared" si="38"/>
        <v>0</v>
      </c>
      <c r="AX735" s="54">
        <f t="shared" si="39"/>
        <v>0</v>
      </c>
      <c r="AY735" s="56" t="s">
        <v>1558</v>
      </c>
      <c r="AZ735" s="56" t="s">
        <v>1529</v>
      </c>
      <c r="BA735" s="34" t="s">
        <v>1520</v>
      </c>
      <c r="BC735" s="54">
        <f t="shared" si="40"/>
        <v>0</v>
      </c>
      <c r="BD735" s="54">
        <f t="shared" si="41"/>
        <v>0</v>
      </c>
      <c r="BE735" s="54">
        <v>0</v>
      </c>
      <c r="BF735" s="54">
        <f t="shared" si="42"/>
        <v>0</v>
      </c>
      <c r="BH735" s="54">
        <f t="shared" si="43"/>
        <v>0</v>
      </c>
      <c r="BI735" s="54">
        <f t="shared" si="44"/>
        <v>0</v>
      </c>
      <c r="BJ735" s="54">
        <f t="shared" si="45"/>
        <v>0</v>
      </c>
      <c r="BK735" s="54"/>
      <c r="BL735" s="54"/>
      <c r="BW735" s="54">
        <v>21</v>
      </c>
      <c r="BX735" s="3" t="s">
        <v>1611</v>
      </c>
    </row>
    <row r="736" spans="1:76" ht="14.5" x14ac:dyDescent="0.35">
      <c r="A736" s="1" t="s">
        <v>1885</v>
      </c>
      <c r="B736" s="2" t="s">
        <v>1512</v>
      </c>
      <c r="C736" s="2" t="s">
        <v>1612</v>
      </c>
      <c r="D736" s="155" t="s">
        <v>1613</v>
      </c>
      <c r="E736" s="153"/>
      <c r="F736" s="2" t="s">
        <v>196</v>
      </c>
      <c r="G736" s="54">
        <v>24</v>
      </c>
      <c r="H736" s="84">
        <v>0</v>
      </c>
      <c r="I736" s="54">
        <f t="shared" si="24"/>
        <v>0</v>
      </c>
      <c r="J736" s="54">
        <v>0</v>
      </c>
      <c r="K736" s="54">
        <v>0</v>
      </c>
      <c r="L736" s="54">
        <f t="shared" si="25"/>
        <v>0</v>
      </c>
      <c r="M736" s="55" t="s">
        <v>111</v>
      </c>
      <c r="Z736" s="54">
        <f t="shared" si="26"/>
        <v>0</v>
      </c>
      <c r="AB736" s="54">
        <f t="shared" si="27"/>
        <v>0</v>
      </c>
      <c r="AC736" s="54">
        <f t="shared" si="28"/>
        <v>0</v>
      </c>
      <c r="AD736" s="54">
        <f t="shared" si="29"/>
        <v>0</v>
      </c>
      <c r="AE736" s="54">
        <f t="shared" si="30"/>
        <v>0</v>
      </c>
      <c r="AF736" s="54">
        <f t="shared" si="31"/>
        <v>0</v>
      </c>
      <c r="AG736" s="54">
        <f t="shared" si="32"/>
        <v>0</v>
      </c>
      <c r="AH736" s="54">
        <f t="shared" si="33"/>
        <v>0</v>
      </c>
      <c r="AI736" s="34" t="s">
        <v>1512</v>
      </c>
      <c r="AJ736" s="54">
        <f t="shared" si="34"/>
        <v>0</v>
      </c>
      <c r="AK736" s="54">
        <f t="shared" si="35"/>
        <v>0</v>
      </c>
      <c r="AL736" s="54">
        <f t="shared" si="36"/>
        <v>0</v>
      </c>
      <c r="AN736" s="54">
        <v>21</v>
      </c>
      <c r="AO736" s="54">
        <f>H736*0</f>
        <v>0</v>
      </c>
      <c r="AP736" s="54">
        <f>H736*(1-0)</f>
        <v>0</v>
      </c>
      <c r="AQ736" s="56" t="s">
        <v>119</v>
      </c>
      <c r="AV736" s="54">
        <f t="shared" si="37"/>
        <v>0</v>
      </c>
      <c r="AW736" s="54">
        <f t="shared" si="38"/>
        <v>0</v>
      </c>
      <c r="AX736" s="54">
        <f t="shared" si="39"/>
        <v>0</v>
      </c>
      <c r="AY736" s="56" t="s">
        <v>1558</v>
      </c>
      <c r="AZ736" s="56" t="s">
        <v>1529</v>
      </c>
      <c r="BA736" s="34" t="s">
        <v>1520</v>
      </c>
      <c r="BC736" s="54">
        <f t="shared" si="40"/>
        <v>0</v>
      </c>
      <c r="BD736" s="54">
        <f t="shared" si="41"/>
        <v>0</v>
      </c>
      <c r="BE736" s="54">
        <v>0</v>
      </c>
      <c r="BF736" s="54">
        <f t="shared" si="42"/>
        <v>0</v>
      </c>
      <c r="BH736" s="54">
        <f t="shared" si="43"/>
        <v>0</v>
      </c>
      <c r="BI736" s="54">
        <f t="shared" si="44"/>
        <v>0</v>
      </c>
      <c r="BJ736" s="54">
        <f t="shared" si="45"/>
        <v>0</v>
      </c>
      <c r="BK736" s="54"/>
      <c r="BL736" s="54"/>
      <c r="BW736" s="54">
        <v>21</v>
      </c>
      <c r="BX736" s="3" t="s">
        <v>1613</v>
      </c>
    </row>
    <row r="737" spans="1:76" ht="14.5" x14ac:dyDescent="0.35">
      <c r="A737" s="64" t="s">
        <v>1886</v>
      </c>
      <c r="B737" s="65" t="s">
        <v>1512</v>
      </c>
      <c r="C737" s="65" t="s">
        <v>1614</v>
      </c>
      <c r="D737" s="217" t="s">
        <v>1615</v>
      </c>
      <c r="E737" s="218"/>
      <c r="F737" s="65" t="s">
        <v>196</v>
      </c>
      <c r="G737" s="67">
        <v>24</v>
      </c>
      <c r="H737" s="85">
        <v>0</v>
      </c>
      <c r="I737" s="67">
        <f t="shared" si="24"/>
        <v>0</v>
      </c>
      <c r="J737" s="67">
        <v>6.0000000000000002E-5</v>
      </c>
      <c r="K737" s="67">
        <v>0</v>
      </c>
      <c r="L737" s="67">
        <f t="shared" si="25"/>
        <v>1.4400000000000001E-3</v>
      </c>
      <c r="M737" s="68" t="s">
        <v>111</v>
      </c>
      <c r="Z737" s="54">
        <f t="shared" si="26"/>
        <v>0</v>
      </c>
      <c r="AB737" s="54">
        <f t="shared" si="27"/>
        <v>0</v>
      </c>
      <c r="AC737" s="54">
        <f t="shared" si="28"/>
        <v>0</v>
      </c>
      <c r="AD737" s="54">
        <f t="shared" si="29"/>
        <v>0</v>
      </c>
      <c r="AE737" s="54">
        <f t="shared" si="30"/>
        <v>0</v>
      </c>
      <c r="AF737" s="54">
        <f t="shared" si="31"/>
        <v>0</v>
      </c>
      <c r="AG737" s="54">
        <f t="shared" si="32"/>
        <v>0</v>
      </c>
      <c r="AH737" s="54">
        <f t="shared" si="33"/>
        <v>0</v>
      </c>
      <c r="AI737" s="34" t="s">
        <v>1512</v>
      </c>
      <c r="AJ737" s="67">
        <f t="shared" si="34"/>
        <v>0</v>
      </c>
      <c r="AK737" s="67">
        <f t="shared" si="35"/>
        <v>0</v>
      </c>
      <c r="AL737" s="67">
        <f t="shared" si="36"/>
        <v>0</v>
      </c>
      <c r="AN737" s="54">
        <v>21</v>
      </c>
      <c r="AO737" s="54">
        <f>H737*1</f>
        <v>0</v>
      </c>
      <c r="AP737" s="54">
        <f>H737*(1-1)</f>
        <v>0</v>
      </c>
      <c r="AQ737" s="69" t="s">
        <v>107</v>
      </c>
      <c r="AV737" s="54">
        <f t="shared" si="37"/>
        <v>0</v>
      </c>
      <c r="AW737" s="54">
        <f t="shared" si="38"/>
        <v>0</v>
      </c>
      <c r="AX737" s="54">
        <f t="shared" si="39"/>
        <v>0</v>
      </c>
      <c r="AY737" s="56" t="s">
        <v>1558</v>
      </c>
      <c r="AZ737" s="56" t="s">
        <v>1529</v>
      </c>
      <c r="BA737" s="34" t="s">
        <v>1520</v>
      </c>
      <c r="BC737" s="54">
        <f t="shared" si="40"/>
        <v>0</v>
      </c>
      <c r="BD737" s="54">
        <f t="shared" si="41"/>
        <v>0</v>
      </c>
      <c r="BE737" s="54">
        <v>0</v>
      </c>
      <c r="BF737" s="54">
        <f t="shared" si="42"/>
        <v>1.4400000000000001E-3</v>
      </c>
      <c r="BH737" s="67">
        <f t="shared" si="43"/>
        <v>0</v>
      </c>
      <c r="BI737" s="67">
        <f t="shared" si="44"/>
        <v>0</v>
      </c>
      <c r="BJ737" s="67">
        <f t="shared" si="45"/>
        <v>0</v>
      </c>
      <c r="BK737" s="67"/>
      <c r="BL737" s="54"/>
      <c r="BW737" s="54">
        <v>21</v>
      </c>
      <c r="BX737" s="66" t="s">
        <v>1615</v>
      </c>
    </row>
    <row r="738" spans="1:76" ht="14.5" x14ac:dyDescent="0.35">
      <c r="A738" s="1" t="s">
        <v>1887</v>
      </c>
      <c r="B738" s="2" t="s">
        <v>1512</v>
      </c>
      <c r="C738" s="2" t="s">
        <v>1617</v>
      </c>
      <c r="D738" s="155" t="s">
        <v>1618</v>
      </c>
      <c r="E738" s="153"/>
      <c r="F738" s="2" t="s">
        <v>196</v>
      </c>
      <c r="G738" s="54">
        <v>53</v>
      </c>
      <c r="H738" s="84">
        <v>0</v>
      </c>
      <c r="I738" s="54">
        <f t="shared" si="24"/>
        <v>0</v>
      </c>
      <c r="J738" s="54">
        <v>0</v>
      </c>
      <c r="K738" s="54">
        <v>0</v>
      </c>
      <c r="L738" s="54">
        <f t="shared" si="25"/>
        <v>0</v>
      </c>
      <c r="M738" s="55" t="s">
        <v>111</v>
      </c>
      <c r="Z738" s="54">
        <f t="shared" si="26"/>
        <v>0</v>
      </c>
      <c r="AB738" s="54">
        <f t="shared" si="27"/>
        <v>0</v>
      </c>
      <c r="AC738" s="54">
        <f t="shared" si="28"/>
        <v>0</v>
      </c>
      <c r="AD738" s="54">
        <f t="shared" si="29"/>
        <v>0</v>
      </c>
      <c r="AE738" s="54">
        <f t="shared" si="30"/>
        <v>0</v>
      </c>
      <c r="AF738" s="54">
        <f t="shared" si="31"/>
        <v>0</v>
      </c>
      <c r="AG738" s="54">
        <f t="shared" si="32"/>
        <v>0</v>
      </c>
      <c r="AH738" s="54">
        <f t="shared" si="33"/>
        <v>0</v>
      </c>
      <c r="AI738" s="34" t="s">
        <v>1512</v>
      </c>
      <c r="AJ738" s="54">
        <f t="shared" si="34"/>
        <v>0</v>
      </c>
      <c r="AK738" s="54">
        <f t="shared" si="35"/>
        <v>0</v>
      </c>
      <c r="AL738" s="54">
        <f t="shared" si="36"/>
        <v>0</v>
      </c>
      <c r="AN738" s="54">
        <v>21</v>
      </c>
      <c r="AO738" s="54">
        <f>H738*0</f>
        <v>0</v>
      </c>
      <c r="AP738" s="54">
        <f>H738*(1-0)</f>
        <v>0</v>
      </c>
      <c r="AQ738" s="56" t="s">
        <v>119</v>
      </c>
      <c r="AV738" s="54">
        <f t="shared" si="37"/>
        <v>0</v>
      </c>
      <c r="AW738" s="54">
        <f t="shared" si="38"/>
        <v>0</v>
      </c>
      <c r="AX738" s="54">
        <f t="shared" si="39"/>
        <v>0</v>
      </c>
      <c r="AY738" s="56" t="s">
        <v>1558</v>
      </c>
      <c r="AZ738" s="56" t="s">
        <v>1529</v>
      </c>
      <c r="BA738" s="34" t="s">
        <v>1520</v>
      </c>
      <c r="BC738" s="54">
        <f t="shared" si="40"/>
        <v>0</v>
      </c>
      <c r="BD738" s="54">
        <f t="shared" si="41"/>
        <v>0</v>
      </c>
      <c r="BE738" s="54">
        <v>0</v>
      </c>
      <c r="BF738" s="54">
        <f t="shared" si="42"/>
        <v>0</v>
      </c>
      <c r="BH738" s="54">
        <f t="shared" si="43"/>
        <v>0</v>
      </c>
      <c r="BI738" s="54">
        <f t="shared" si="44"/>
        <v>0</v>
      </c>
      <c r="BJ738" s="54">
        <f t="shared" si="45"/>
        <v>0</v>
      </c>
      <c r="BK738" s="54"/>
      <c r="BL738" s="54"/>
      <c r="BW738" s="54">
        <v>21</v>
      </c>
      <c r="BX738" s="3" t="s">
        <v>1618</v>
      </c>
    </row>
    <row r="739" spans="1:76" ht="14.5" x14ac:dyDescent="0.35">
      <c r="A739" s="64" t="s">
        <v>1888</v>
      </c>
      <c r="B739" s="65" t="s">
        <v>1512</v>
      </c>
      <c r="C739" s="65" t="s">
        <v>1619</v>
      </c>
      <c r="D739" s="217" t="s">
        <v>1620</v>
      </c>
      <c r="E739" s="218"/>
      <c r="F739" s="65" t="s">
        <v>196</v>
      </c>
      <c r="G739" s="67">
        <v>53</v>
      </c>
      <c r="H739" s="85">
        <v>0</v>
      </c>
      <c r="I739" s="67">
        <f t="shared" si="24"/>
        <v>0</v>
      </c>
      <c r="J739" s="67">
        <v>1.0000000000000001E-5</v>
      </c>
      <c r="K739" s="67">
        <v>0</v>
      </c>
      <c r="L739" s="67">
        <f t="shared" si="25"/>
        <v>5.3000000000000009E-4</v>
      </c>
      <c r="M739" s="68" t="s">
        <v>111</v>
      </c>
      <c r="Z739" s="54">
        <f t="shared" si="26"/>
        <v>0</v>
      </c>
      <c r="AB739" s="54">
        <f t="shared" si="27"/>
        <v>0</v>
      </c>
      <c r="AC739" s="54">
        <f t="shared" si="28"/>
        <v>0</v>
      </c>
      <c r="AD739" s="54">
        <f t="shared" si="29"/>
        <v>0</v>
      </c>
      <c r="AE739" s="54">
        <f t="shared" si="30"/>
        <v>0</v>
      </c>
      <c r="AF739" s="54">
        <f t="shared" si="31"/>
        <v>0</v>
      </c>
      <c r="AG739" s="54">
        <f t="shared" si="32"/>
        <v>0</v>
      </c>
      <c r="AH739" s="54">
        <f t="shared" si="33"/>
        <v>0</v>
      </c>
      <c r="AI739" s="34" t="s">
        <v>1512</v>
      </c>
      <c r="AJ739" s="67">
        <f t="shared" si="34"/>
        <v>0</v>
      </c>
      <c r="AK739" s="67">
        <f t="shared" si="35"/>
        <v>0</v>
      </c>
      <c r="AL739" s="67">
        <f t="shared" si="36"/>
        <v>0</v>
      </c>
      <c r="AN739" s="54">
        <v>21</v>
      </c>
      <c r="AO739" s="54">
        <f>H739*1</f>
        <v>0</v>
      </c>
      <c r="AP739" s="54">
        <f>H739*(1-1)</f>
        <v>0</v>
      </c>
      <c r="AQ739" s="69" t="s">
        <v>107</v>
      </c>
      <c r="AV739" s="54">
        <f t="shared" si="37"/>
        <v>0</v>
      </c>
      <c r="AW739" s="54">
        <f t="shared" si="38"/>
        <v>0</v>
      </c>
      <c r="AX739" s="54">
        <f t="shared" si="39"/>
        <v>0</v>
      </c>
      <c r="AY739" s="56" t="s">
        <v>1558</v>
      </c>
      <c r="AZ739" s="56" t="s">
        <v>1529</v>
      </c>
      <c r="BA739" s="34" t="s">
        <v>1520</v>
      </c>
      <c r="BC739" s="54">
        <f t="shared" si="40"/>
        <v>0</v>
      </c>
      <c r="BD739" s="54">
        <f t="shared" si="41"/>
        <v>0</v>
      </c>
      <c r="BE739" s="54">
        <v>0</v>
      </c>
      <c r="BF739" s="54">
        <f t="shared" si="42"/>
        <v>5.3000000000000009E-4</v>
      </c>
      <c r="BH739" s="67">
        <f t="shared" si="43"/>
        <v>0</v>
      </c>
      <c r="BI739" s="67">
        <f t="shared" si="44"/>
        <v>0</v>
      </c>
      <c r="BJ739" s="67">
        <f t="shared" si="45"/>
        <v>0</v>
      </c>
      <c r="BK739" s="67"/>
      <c r="BL739" s="54"/>
      <c r="BW739" s="54">
        <v>21</v>
      </c>
      <c r="BX739" s="66" t="s">
        <v>1620</v>
      </c>
    </row>
    <row r="740" spans="1:76" ht="14.5" x14ac:dyDescent="0.35">
      <c r="A740" s="1" t="s">
        <v>1889</v>
      </c>
      <c r="B740" s="2" t="s">
        <v>1512</v>
      </c>
      <c r="C740" s="2" t="s">
        <v>1622</v>
      </c>
      <c r="D740" s="155" t="s">
        <v>1623</v>
      </c>
      <c r="E740" s="153"/>
      <c r="F740" s="2" t="s">
        <v>196</v>
      </c>
      <c r="G740" s="54">
        <v>100</v>
      </c>
      <c r="H740" s="84">
        <v>0</v>
      </c>
      <c r="I740" s="54">
        <f t="shared" si="24"/>
        <v>0</v>
      </c>
      <c r="J740" s="54">
        <v>0</v>
      </c>
      <c r="K740" s="54">
        <v>0</v>
      </c>
      <c r="L740" s="54">
        <f t="shared" si="25"/>
        <v>0</v>
      </c>
      <c r="M740" s="55" t="s">
        <v>111</v>
      </c>
      <c r="Z740" s="54">
        <f t="shared" si="26"/>
        <v>0</v>
      </c>
      <c r="AB740" s="54">
        <f t="shared" si="27"/>
        <v>0</v>
      </c>
      <c r="AC740" s="54">
        <f t="shared" si="28"/>
        <v>0</v>
      </c>
      <c r="AD740" s="54">
        <f t="shared" si="29"/>
        <v>0</v>
      </c>
      <c r="AE740" s="54">
        <f t="shared" si="30"/>
        <v>0</v>
      </c>
      <c r="AF740" s="54">
        <f t="shared" si="31"/>
        <v>0</v>
      </c>
      <c r="AG740" s="54">
        <f t="shared" si="32"/>
        <v>0</v>
      </c>
      <c r="AH740" s="54">
        <f t="shared" si="33"/>
        <v>0</v>
      </c>
      <c r="AI740" s="34" t="s">
        <v>1512</v>
      </c>
      <c r="AJ740" s="54">
        <f t="shared" si="34"/>
        <v>0</v>
      </c>
      <c r="AK740" s="54">
        <f t="shared" si="35"/>
        <v>0</v>
      </c>
      <c r="AL740" s="54">
        <f t="shared" si="36"/>
        <v>0</v>
      </c>
      <c r="AN740" s="54">
        <v>21</v>
      </c>
      <c r="AO740" s="54">
        <f>H740*0</f>
        <v>0</v>
      </c>
      <c r="AP740" s="54">
        <f>H740*(1-0)</f>
        <v>0</v>
      </c>
      <c r="AQ740" s="56" t="s">
        <v>119</v>
      </c>
      <c r="AV740" s="54">
        <f t="shared" si="37"/>
        <v>0</v>
      </c>
      <c r="AW740" s="54">
        <f t="shared" si="38"/>
        <v>0</v>
      </c>
      <c r="AX740" s="54">
        <f t="shared" si="39"/>
        <v>0</v>
      </c>
      <c r="AY740" s="56" t="s">
        <v>1558</v>
      </c>
      <c r="AZ740" s="56" t="s">
        <v>1529</v>
      </c>
      <c r="BA740" s="34" t="s">
        <v>1520</v>
      </c>
      <c r="BC740" s="54">
        <f t="shared" si="40"/>
        <v>0</v>
      </c>
      <c r="BD740" s="54">
        <f t="shared" si="41"/>
        <v>0</v>
      </c>
      <c r="BE740" s="54">
        <v>0</v>
      </c>
      <c r="BF740" s="54">
        <f t="shared" si="42"/>
        <v>0</v>
      </c>
      <c r="BH740" s="54">
        <f t="shared" si="43"/>
        <v>0</v>
      </c>
      <c r="BI740" s="54">
        <f t="shared" si="44"/>
        <v>0</v>
      </c>
      <c r="BJ740" s="54">
        <f t="shared" si="45"/>
        <v>0</v>
      </c>
      <c r="BK740" s="54"/>
      <c r="BL740" s="54"/>
      <c r="BW740" s="54">
        <v>21</v>
      </c>
      <c r="BX740" s="3" t="s">
        <v>1623</v>
      </c>
    </row>
    <row r="741" spans="1:76" ht="14.5" x14ac:dyDescent="0.35">
      <c r="A741" s="64" t="s">
        <v>1890</v>
      </c>
      <c r="B741" s="65" t="s">
        <v>1512</v>
      </c>
      <c r="C741" s="65" t="s">
        <v>1624</v>
      </c>
      <c r="D741" s="217" t="s">
        <v>1625</v>
      </c>
      <c r="E741" s="218"/>
      <c r="F741" s="65" t="s">
        <v>196</v>
      </c>
      <c r="G741" s="67">
        <v>100</v>
      </c>
      <c r="H741" s="85">
        <v>0</v>
      </c>
      <c r="I741" s="67">
        <f t="shared" si="24"/>
        <v>0</v>
      </c>
      <c r="J741" s="67">
        <v>1.0000000000000001E-5</v>
      </c>
      <c r="K741" s="67">
        <v>0</v>
      </c>
      <c r="L741" s="67">
        <f t="shared" si="25"/>
        <v>1E-3</v>
      </c>
      <c r="M741" s="68" t="s">
        <v>111</v>
      </c>
      <c r="Z741" s="54">
        <f t="shared" si="26"/>
        <v>0</v>
      </c>
      <c r="AB741" s="54">
        <f t="shared" si="27"/>
        <v>0</v>
      </c>
      <c r="AC741" s="54">
        <f t="shared" si="28"/>
        <v>0</v>
      </c>
      <c r="AD741" s="54">
        <f t="shared" si="29"/>
        <v>0</v>
      </c>
      <c r="AE741" s="54">
        <f t="shared" si="30"/>
        <v>0</v>
      </c>
      <c r="AF741" s="54">
        <f t="shared" si="31"/>
        <v>0</v>
      </c>
      <c r="AG741" s="54">
        <f t="shared" si="32"/>
        <v>0</v>
      </c>
      <c r="AH741" s="54">
        <f t="shared" si="33"/>
        <v>0</v>
      </c>
      <c r="AI741" s="34" t="s">
        <v>1512</v>
      </c>
      <c r="AJ741" s="67">
        <f t="shared" si="34"/>
        <v>0</v>
      </c>
      <c r="AK741" s="67">
        <f t="shared" si="35"/>
        <v>0</v>
      </c>
      <c r="AL741" s="67">
        <f t="shared" si="36"/>
        <v>0</v>
      </c>
      <c r="AN741" s="54">
        <v>21</v>
      </c>
      <c r="AO741" s="54">
        <f>H741*1</f>
        <v>0</v>
      </c>
      <c r="AP741" s="54">
        <f>H741*(1-1)</f>
        <v>0</v>
      </c>
      <c r="AQ741" s="69" t="s">
        <v>107</v>
      </c>
      <c r="AV741" s="54">
        <f t="shared" si="37"/>
        <v>0</v>
      </c>
      <c r="AW741" s="54">
        <f t="shared" si="38"/>
        <v>0</v>
      </c>
      <c r="AX741" s="54">
        <f t="shared" si="39"/>
        <v>0</v>
      </c>
      <c r="AY741" s="56" t="s">
        <v>1558</v>
      </c>
      <c r="AZ741" s="56" t="s">
        <v>1529</v>
      </c>
      <c r="BA741" s="34" t="s">
        <v>1520</v>
      </c>
      <c r="BC741" s="54">
        <f t="shared" si="40"/>
        <v>0</v>
      </c>
      <c r="BD741" s="54">
        <f t="shared" si="41"/>
        <v>0</v>
      </c>
      <c r="BE741" s="54">
        <v>0</v>
      </c>
      <c r="BF741" s="54">
        <f t="shared" si="42"/>
        <v>1E-3</v>
      </c>
      <c r="BH741" s="67">
        <f t="shared" si="43"/>
        <v>0</v>
      </c>
      <c r="BI741" s="67">
        <f t="shared" si="44"/>
        <v>0</v>
      </c>
      <c r="BJ741" s="67">
        <f t="shared" si="45"/>
        <v>0</v>
      </c>
      <c r="BK741" s="67"/>
      <c r="BL741" s="54"/>
      <c r="BW741" s="54">
        <v>21</v>
      </c>
      <c r="BX741" s="66" t="s">
        <v>1625</v>
      </c>
    </row>
    <row r="742" spans="1:76" ht="14.5" x14ac:dyDescent="0.35">
      <c r="A742" s="1" t="s">
        <v>1891</v>
      </c>
      <c r="B742" s="2" t="s">
        <v>1512</v>
      </c>
      <c r="C742" s="2" t="s">
        <v>1627</v>
      </c>
      <c r="D742" s="155" t="s">
        <v>1628</v>
      </c>
      <c r="E742" s="153"/>
      <c r="F742" s="2" t="s">
        <v>196</v>
      </c>
      <c r="G742" s="54">
        <v>50</v>
      </c>
      <c r="H742" s="84">
        <v>0</v>
      </c>
      <c r="I742" s="54">
        <f t="shared" si="24"/>
        <v>0</v>
      </c>
      <c r="J742" s="54">
        <v>0</v>
      </c>
      <c r="K742" s="54">
        <v>0</v>
      </c>
      <c r="L742" s="54">
        <f t="shared" si="25"/>
        <v>0</v>
      </c>
      <c r="M742" s="55" t="s">
        <v>111</v>
      </c>
      <c r="Z742" s="54">
        <f t="shared" si="26"/>
        <v>0</v>
      </c>
      <c r="AB742" s="54">
        <f t="shared" si="27"/>
        <v>0</v>
      </c>
      <c r="AC742" s="54">
        <f t="shared" si="28"/>
        <v>0</v>
      </c>
      <c r="AD742" s="54">
        <f t="shared" si="29"/>
        <v>0</v>
      </c>
      <c r="AE742" s="54">
        <f t="shared" si="30"/>
        <v>0</v>
      </c>
      <c r="AF742" s="54">
        <f t="shared" si="31"/>
        <v>0</v>
      </c>
      <c r="AG742" s="54">
        <f t="shared" si="32"/>
        <v>0</v>
      </c>
      <c r="AH742" s="54">
        <f t="shared" si="33"/>
        <v>0</v>
      </c>
      <c r="AI742" s="34" t="s">
        <v>1512</v>
      </c>
      <c r="AJ742" s="54">
        <f t="shared" si="34"/>
        <v>0</v>
      </c>
      <c r="AK742" s="54">
        <f t="shared" si="35"/>
        <v>0</v>
      </c>
      <c r="AL742" s="54">
        <f t="shared" si="36"/>
        <v>0</v>
      </c>
      <c r="AN742" s="54">
        <v>21</v>
      </c>
      <c r="AO742" s="54">
        <f>H742*0</f>
        <v>0</v>
      </c>
      <c r="AP742" s="54">
        <f>H742*(1-0)</f>
        <v>0</v>
      </c>
      <c r="AQ742" s="56" t="s">
        <v>119</v>
      </c>
      <c r="AV742" s="54">
        <f t="shared" si="37"/>
        <v>0</v>
      </c>
      <c r="AW742" s="54">
        <f t="shared" si="38"/>
        <v>0</v>
      </c>
      <c r="AX742" s="54">
        <f t="shared" si="39"/>
        <v>0</v>
      </c>
      <c r="AY742" s="56" t="s">
        <v>1558</v>
      </c>
      <c r="AZ742" s="56" t="s">
        <v>1529</v>
      </c>
      <c r="BA742" s="34" t="s">
        <v>1520</v>
      </c>
      <c r="BC742" s="54">
        <f t="shared" si="40"/>
        <v>0</v>
      </c>
      <c r="BD742" s="54">
        <f t="shared" si="41"/>
        <v>0</v>
      </c>
      <c r="BE742" s="54">
        <v>0</v>
      </c>
      <c r="BF742" s="54">
        <f t="shared" si="42"/>
        <v>0</v>
      </c>
      <c r="BH742" s="54">
        <f t="shared" si="43"/>
        <v>0</v>
      </c>
      <c r="BI742" s="54">
        <f t="shared" si="44"/>
        <v>0</v>
      </c>
      <c r="BJ742" s="54">
        <f t="shared" si="45"/>
        <v>0</v>
      </c>
      <c r="BK742" s="54"/>
      <c r="BL742" s="54"/>
      <c r="BW742" s="54">
        <v>21</v>
      </c>
      <c r="BX742" s="3" t="s">
        <v>1628</v>
      </c>
    </row>
    <row r="743" spans="1:76" ht="14.5" x14ac:dyDescent="0.35">
      <c r="A743" s="64" t="s">
        <v>1892</v>
      </c>
      <c r="B743" s="65" t="s">
        <v>1512</v>
      </c>
      <c r="C743" s="65" t="s">
        <v>1629</v>
      </c>
      <c r="D743" s="217" t="s">
        <v>1630</v>
      </c>
      <c r="E743" s="218"/>
      <c r="F743" s="65" t="s">
        <v>196</v>
      </c>
      <c r="G743" s="67">
        <v>2</v>
      </c>
      <c r="H743" s="85">
        <v>0</v>
      </c>
      <c r="I743" s="67">
        <f t="shared" si="24"/>
        <v>0</v>
      </c>
      <c r="J743" s="67">
        <v>1.0000000000000001E-5</v>
      </c>
      <c r="K743" s="67">
        <v>0</v>
      </c>
      <c r="L743" s="67">
        <f t="shared" si="25"/>
        <v>2.0000000000000002E-5</v>
      </c>
      <c r="M743" s="68" t="s">
        <v>111</v>
      </c>
      <c r="Z743" s="54">
        <f t="shared" si="26"/>
        <v>0</v>
      </c>
      <c r="AB743" s="54">
        <f t="shared" si="27"/>
        <v>0</v>
      </c>
      <c r="AC743" s="54">
        <f t="shared" si="28"/>
        <v>0</v>
      </c>
      <c r="AD743" s="54">
        <f t="shared" si="29"/>
        <v>0</v>
      </c>
      <c r="AE743" s="54">
        <f t="shared" si="30"/>
        <v>0</v>
      </c>
      <c r="AF743" s="54">
        <f t="shared" si="31"/>
        <v>0</v>
      </c>
      <c r="AG743" s="54">
        <f t="shared" si="32"/>
        <v>0</v>
      </c>
      <c r="AH743" s="54">
        <f t="shared" si="33"/>
        <v>0</v>
      </c>
      <c r="AI743" s="34" t="s">
        <v>1512</v>
      </c>
      <c r="AJ743" s="67">
        <f t="shared" si="34"/>
        <v>0</v>
      </c>
      <c r="AK743" s="67">
        <f t="shared" si="35"/>
        <v>0</v>
      </c>
      <c r="AL743" s="67">
        <f t="shared" si="36"/>
        <v>0</v>
      </c>
      <c r="AN743" s="54">
        <v>21</v>
      </c>
      <c r="AO743" s="54">
        <f>H743*1</f>
        <v>0</v>
      </c>
      <c r="AP743" s="54">
        <f>H743*(1-1)</f>
        <v>0</v>
      </c>
      <c r="AQ743" s="69" t="s">
        <v>107</v>
      </c>
      <c r="AV743" s="54">
        <f t="shared" si="37"/>
        <v>0</v>
      </c>
      <c r="AW743" s="54">
        <f t="shared" si="38"/>
        <v>0</v>
      </c>
      <c r="AX743" s="54">
        <f t="shared" si="39"/>
        <v>0</v>
      </c>
      <c r="AY743" s="56" t="s">
        <v>1558</v>
      </c>
      <c r="AZ743" s="56" t="s">
        <v>1529</v>
      </c>
      <c r="BA743" s="34" t="s">
        <v>1520</v>
      </c>
      <c r="BC743" s="54">
        <f t="shared" si="40"/>
        <v>0</v>
      </c>
      <c r="BD743" s="54">
        <f t="shared" si="41"/>
        <v>0</v>
      </c>
      <c r="BE743" s="54">
        <v>0</v>
      </c>
      <c r="BF743" s="54">
        <f t="shared" si="42"/>
        <v>2.0000000000000002E-5</v>
      </c>
      <c r="BH743" s="67">
        <f t="shared" si="43"/>
        <v>0</v>
      </c>
      <c r="BI743" s="67">
        <f t="shared" si="44"/>
        <v>0</v>
      </c>
      <c r="BJ743" s="67">
        <f t="shared" si="45"/>
        <v>0</v>
      </c>
      <c r="BK743" s="67"/>
      <c r="BL743" s="54"/>
      <c r="BW743" s="54">
        <v>21</v>
      </c>
      <c r="BX743" s="66" t="s">
        <v>1630</v>
      </c>
    </row>
    <row r="744" spans="1:76" ht="25" x14ac:dyDescent="0.35">
      <c r="A744" s="64" t="s">
        <v>1893</v>
      </c>
      <c r="B744" s="65" t="s">
        <v>1512</v>
      </c>
      <c r="C744" s="65" t="s">
        <v>1632</v>
      </c>
      <c r="D744" s="217" t="s">
        <v>1633</v>
      </c>
      <c r="E744" s="218"/>
      <c r="F744" s="65" t="s">
        <v>196</v>
      </c>
      <c r="G744" s="67">
        <v>48</v>
      </c>
      <c r="H744" s="85">
        <v>0</v>
      </c>
      <c r="I744" s="67">
        <f t="shared" si="24"/>
        <v>0</v>
      </c>
      <c r="J744" s="67">
        <v>1.0000000000000001E-5</v>
      </c>
      <c r="K744" s="67">
        <v>0</v>
      </c>
      <c r="L744" s="67">
        <f t="shared" si="25"/>
        <v>4.8000000000000007E-4</v>
      </c>
      <c r="M744" s="68" t="s">
        <v>111</v>
      </c>
      <c r="Z744" s="54">
        <f t="shared" si="26"/>
        <v>0</v>
      </c>
      <c r="AB744" s="54">
        <f t="shared" si="27"/>
        <v>0</v>
      </c>
      <c r="AC744" s="54">
        <f t="shared" si="28"/>
        <v>0</v>
      </c>
      <c r="AD744" s="54">
        <f t="shared" si="29"/>
        <v>0</v>
      </c>
      <c r="AE744" s="54">
        <f t="shared" si="30"/>
        <v>0</v>
      </c>
      <c r="AF744" s="54">
        <f t="shared" si="31"/>
        <v>0</v>
      </c>
      <c r="AG744" s="54">
        <f t="shared" si="32"/>
        <v>0</v>
      </c>
      <c r="AH744" s="54">
        <f t="shared" si="33"/>
        <v>0</v>
      </c>
      <c r="AI744" s="34" t="s">
        <v>1512</v>
      </c>
      <c r="AJ744" s="67">
        <f t="shared" si="34"/>
        <v>0</v>
      </c>
      <c r="AK744" s="67">
        <f t="shared" si="35"/>
        <v>0</v>
      </c>
      <c r="AL744" s="67">
        <f t="shared" si="36"/>
        <v>0</v>
      </c>
      <c r="AN744" s="54">
        <v>21</v>
      </c>
      <c r="AO744" s="54">
        <f>H744*1</f>
        <v>0</v>
      </c>
      <c r="AP744" s="54">
        <f>H744*(1-1)</f>
        <v>0</v>
      </c>
      <c r="AQ744" s="69" t="s">
        <v>107</v>
      </c>
      <c r="AV744" s="54">
        <f t="shared" si="37"/>
        <v>0</v>
      </c>
      <c r="AW744" s="54">
        <f t="shared" si="38"/>
        <v>0</v>
      </c>
      <c r="AX744" s="54">
        <f t="shared" si="39"/>
        <v>0</v>
      </c>
      <c r="AY744" s="56" t="s">
        <v>1558</v>
      </c>
      <c r="AZ744" s="56" t="s">
        <v>1529</v>
      </c>
      <c r="BA744" s="34" t="s">
        <v>1520</v>
      </c>
      <c r="BC744" s="54">
        <f t="shared" si="40"/>
        <v>0</v>
      </c>
      <c r="BD744" s="54">
        <f t="shared" si="41"/>
        <v>0</v>
      </c>
      <c r="BE744" s="54">
        <v>0</v>
      </c>
      <c r="BF744" s="54">
        <f t="shared" si="42"/>
        <v>4.8000000000000007E-4</v>
      </c>
      <c r="BH744" s="67">
        <f t="shared" si="43"/>
        <v>0</v>
      </c>
      <c r="BI744" s="67">
        <f t="shared" si="44"/>
        <v>0</v>
      </c>
      <c r="BJ744" s="67">
        <f t="shared" si="45"/>
        <v>0</v>
      </c>
      <c r="BK744" s="67"/>
      <c r="BL744" s="54"/>
      <c r="BW744" s="54">
        <v>21</v>
      </c>
      <c r="BX744" s="66" t="s">
        <v>1633</v>
      </c>
    </row>
    <row r="745" spans="1:76" ht="14.5" x14ac:dyDescent="0.35">
      <c r="A745" s="1" t="s">
        <v>1894</v>
      </c>
      <c r="B745" s="2" t="s">
        <v>1512</v>
      </c>
      <c r="C745" s="2" t="s">
        <v>1635</v>
      </c>
      <c r="D745" s="155" t="s">
        <v>1636</v>
      </c>
      <c r="E745" s="153"/>
      <c r="F745" s="2" t="s">
        <v>196</v>
      </c>
      <c r="G745" s="54">
        <v>4</v>
      </c>
      <c r="H745" s="84">
        <v>0</v>
      </c>
      <c r="I745" s="54">
        <f t="shared" si="24"/>
        <v>0</v>
      </c>
      <c r="J745" s="54">
        <v>0</v>
      </c>
      <c r="K745" s="54">
        <v>0</v>
      </c>
      <c r="L745" s="54">
        <f t="shared" si="25"/>
        <v>0</v>
      </c>
      <c r="M745" s="55" t="s">
        <v>111</v>
      </c>
      <c r="Z745" s="54">
        <f t="shared" si="26"/>
        <v>0</v>
      </c>
      <c r="AB745" s="54">
        <f t="shared" si="27"/>
        <v>0</v>
      </c>
      <c r="AC745" s="54">
        <f t="shared" si="28"/>
        <v>0</v>
      </c>
      <c r="AD745" s="54">
        <f t="shared" si="29"/>
        <v>0</v>
      </c>
      <c r="AE745" s="54">
        <f t="shared" si="30"/>
        <v>0</v>
      </c>
      <c r="AF745" s="54">
        <f t="shared" si="31"/>
        <v>0</v>
      </c>
      <c r="AG745" s="54">
        <f t="shared" si="32"/>
        <v>0</v>
      </c>
      <c r="AH745" s="54">
        <f t="shared" si="33"/>
        <v>0</v>
      </c>
      <c r="AI745" s="34" t="s">
        <v>1512</v>
      </c>
      <c r="AJ745" s="54">
        <f t="shared" si="34"/>
        <v>0</v>
      </c>
      <c r="AK745" s="54">
        <f t="shared" si="35"/>
        <v>0</v>
      </c>
      <c r="AL745" s="54">
        <f t="shared" si="36"/>
        <v>0</v>
      </c>
      <c r="AN745" s="54">
        <v>21</v>
      </c>
      <c r="AO745" s="54">
        <f>H745*0</f>
        <v>0</v>
      </c>
      <c r="AP745" s="54">
        <f>H745*(1-0)</f>
        <v>0</v>
      </c>
      <c r="AQ745" s="56" t="s">
        <v>119</v>
      </c>
      <c r="AV745" s="54">
        <f t="shared" si="37"/>
        <v>0</v>
      </c>
      <c r="AW745" s="54">
        <f t="shared" si="38"/>
        <v>0</v>
      </c>
      <c r="AX745" s="54">
        <f t="shared" si="39"/>
        <v>0</v>
      </c>
      <c r="AY745" s="56" t="s">
        <v>1558</v>
      </c>
      <c r="AZ745" s="56" t="s">
        <v>1529</v>
      </c>
      <c r="BA745" s="34" t="s">
        <v>1520</v>
      </c>
      <c r="BC745" s="54">
        <f t="shared" si="40"/>
        <v>0</v>
      </c>
      <c r="BD745" s="54">
        <f t="shared" si="41"/>
        <v>0</v>
      </c>
      <c r="BE745" s="54">
        <v>0</v>
      </c>
      <c r="BF745" s="54">
        <f t="shared" si="42"/>
        <v>0</v>
      </c>
      <c r="BH745" s="54">
        <f t="shared" si="43"/>
        <v>0</v>
      </c>
      <c r="BI745" s="54">
        <f t="shared" si="44"/>
        <v>0</v>
      </c>
      <c r="BJ745" s="54">
        <f t="shared" si="45"/>
        <v>0</v>
      </c>
      <c r="BK745" s="54"/>
      <c r="BL745" s="54"/>
      <c r="BW745" s="54">
        <v>21</v>
      </c>
      <c r="BX745" s="3" t="s">
        <v>1636</v>
      </c>
    </row>
    <row r="746" spans="1:76" ht="14.5" x14ac:dyDescent="0.35">
      <c r="A746" s="64" t="s">
        <v>1895</v>
      </c>
      <c r="B746" s="65" t="s">
        <v>1512</v>
      </c>
      <c r="C746" s="65" t="s">
        <v>1637</v>
      </c>
      <c r="D746" s="217" t="s">
        <v>1638</v>
      </c>
      <c r="E746" s="218"/>
      <c r="F746" s="65" t="s">
        <v>196</v>
      </c>
      <c r="G746" s="67">
        <v>4</v>
      </c>
      <c r="H746" s="85">
        <v>0</v>
      </c>
      <c r="I746" s="67">
        <f t="shared" si="24"/>
        <v>0</v>
      </c>
      <c r="J746" s="67">
        <v>1.2E-4</v>
      </c>
      <c r="K746" s="67">
        <v>0</v>
      </c>
      <c r="L746" s="67">
        <f t="shared" si="25"/>
        <v>4.8000000000000001E-4</v>
      </c>
      <c r="M746" s="68" t="s">
        <v>111</v>
      </c>
      <c r="Z746" s="54">
        <f t="shared" si="26"/>
        <v>0</v>
      </c>
      <c r="AB746" s="54">
        <f t="shared" si="27"/>
        <v>0</v>
      </c>
      <c r="AC746" s="54">
        <f t="shared" si="28"/>
        <v>0</v>
      </c>
      <c r="AD746" s="54">
        <f t="shared" si="29"/>
        <v>0</v>
      </c>
      <c r="AE746" s="54">
        <f t="shared" si="30"/>
        <v>0</v>
      </c>
      <c r="AF746" s="54">
        <f t="shared" si="31"/>
        <v>0</v>
      </c>
      <c r="AG746" s="54">
        <f t="shared" si="32"/>
        <v>0</v>
      </c>
      <c r="AH746" s="54">
        <f t="shared" si="33"/>
        <v>0</v>
      </c>
      <c r="AI746" s="34" t="s">
        <v>1512</v>
      </c>
      <c r="AJ746" s="67">
        <f t="shared" si="34"/>
        <v>0</v>
      </c>
      <c r="AK746" s="67">
        <f t="shared" si="35"/>
        <v>0</v>
      </c>
      <c r="AL746" s="67">
        <f t="shared" si="36"/>
        <v>0</v>
      </c>
      <c r="AN746" s="54">
        <v>21</v>
      </c>
      <c r="AO746" s="54">
        <f>H746*1</f>
        <v>0</v>
      </c>
      <c r="AP746" s="54">
        <f>H746*(1-1)</f>
        <v>0</v>
      </c>
      <c r="AQ746" s="69" t="s">
        <v>107</v>
      </c>
      <c r="AV746" s="54">
        <f t="shared" si="37"/>
        <v>0</v>
      </c>
      <c r="AW746" s="54">
        <f t="shared" si="38"/>
        <v>0</v>
      </c>
      <c r="AX746" s="54">
        <f t="shared" si="39"/>
        <v>0</v>
      </c>
      <c r="AY746" s="56" t="s">
        <v>1558</v>
      </c>
      <c r="AZ746" s="56" t="s">
        <v>1529</v>
      </c>
      <c r="BA746" s="34" t="s">
        <v>1520</v>
      </c>
      <c r="BC746" s="54">
        <f t="shared" si="40"/>
        <v>0</v>
      </c>
      <c r="BD746" s="54">
        <f t="shared" si="41"/>
        <v>0</v>
      </c>
      <c r="BE746" s="54">
        <v>0</v>
      </c>
      <c r="BF746" s="54">
        <f t="shared" si="42"/>
        <v>4.8000000000000001E-4</v>
      </c>
      <c r="BH746" s="67">
        <f t="shared" si="43"/>
        <v>0</v>
      </c>
      <c r="BI746" s="67">
        <f t="shared" si="44"/>
        <v>0</v>
      </c>
      <c r="BJ746" s="67">
        <f t="shared" si="45"/>
        <v>0</v>
      </c>
      <c r="BK746" s="67"/>
      <c r="BL746" s="54"/>
      <c r="BW746" s="54">
        <v>21</v>
      </c>
      <c r="BX746" s="66" t="s">
        <v>1638</v>
      </c>
    </row>
    <row r="747" spans="1:76" ht="14.5" x14ac:dyDescent="0.35">
      <c r="A747" s="1" t="s">
        <v>1896</v>
      </c>
      <c r="B747" s="2" t="s">
        <v>1512</v>
      </c>
      <c r="C747" s="2" t="s">
        <v>1640</v>
      </c>
      <c r="D747" s="155" t="s">
        <v>1641</v>
      </c>
      <c r="E747" s="153"/>
      <c r="F747" s="2" t="s">
        <v>196</v>
      </c>
      <c r="G747" s="54">
        <v>1</v>
      </c>
      <c r="H747" s="84">
        <v>0</v>
      </c>
      <c r="I747" s="54">
        <f t="shared" si="24"/>
        <v>0</v>
      </c>
      <c r="J747" s="54">
        <v>0</v>
      </c>
      <c r="K747" s="54">
        <v>0</v>
      </c>
      <c r="L747" s="54">
        <f t="shared" si="25"/>
        <v>0</v>
      </c>
      <c r="M747" s="55" t="s">
        <v>111</v>
      </c>
      <c r="Z747" s="54">
        <f t="shared" si="26"/>
        <v>0</v>
      </c>
      <c r="AB747" s="54">
        <f t="shared" si="27"/>
        <v>0</v>
      </c>
      <c r="AC747" s="54">
        <f t="shared" si="28"/>
        <v>0</v>
      </c>
      <c r="AD747" s="54">
        <f t="shared" si="29"/>
        <v>0</v>
      </c>
      <c r="AE747" s="54">
        <f t="shared" si="30"/>
        <v>0</v>
      </c>
      <c r="AF747" s="54">
        <f t="shared" si="31"/>
        <v>0</v>
      </c>
      <c r="AG747" s="54">
        <f t="shared" si="32"/>
        <v>0</v>
      </c>
      <c r="AH747" s="54">
        <f t="shared" si="33"/>
        <v>0</v>
      </c>
      <c r="AI747" s="34" t="s">
        <v>1512</v>
      </c>
      <c r="AJ747" s="54">
        <f t="shared" si="34"/>
        <v>0</v>
      </c>
      <c r="AK747" s="54">
        <f t="shared" si="35"/>
        <v>0</v>
      </c>
      <c r="AL747" s="54">
        <f t="shared" si="36"/>
        <v>0</v>
      </c>
      <c r="AN747" s="54">
        <v>21</v>
      </c>
      <c r="AO747" s="54">
        <f>H747*0</f>
        <v>0</v>
      </c>
      <c r="AP747" s="54">
        <f>H747*(1-0)</f>
        <v>0</v>
      </c>
      <c r="AQ747" s="56" t="s">
        <v>119</v>
      </c>
      <c r="AV747" s="54">
        <f t="shared" si="37"/>
        <v>0</v>
      </c>
      <c r="AW747" s="54">
        <f t="shared" si="38"/>
        <v>0</v>
      </c>
      <c r="AX747" s="54">
        <f t="shared" si="39"/>
        <v>0</v>
      </c>
      <c r="AY747" s="56" t="s">
        <v>1558</v>
      </c>
      <c r="AZ747" s="56" t="s">
        <v>1529</v>
      </c>
      <c r="BA747" s="34" t="s">
        <v>1520</v>
      </c>
      <c r="BC747" s="54">
        <f t="shared" si="40"/>
        <v>0</v>
      </c>
      <c r="BD747" s="54">
        <f t="shared" si="41"/>
        <v>0</v>
      </c>
      <c r="BE747" s="54">
        <v>0</v>
      </c>
      <c r="BF747" s="54">
        <f t="shared" si="42"/>
        <v>0</v>
      </c>
      <c r="BH747" s="54">
        <f t="shared" si="43"/>
        <v>0</v>
      </c>
      <c r="BI747" s="54">
        <f t="shared" si="44"/>
        <v>0</v>
      </c>
      <c r="BJ747" s="54">
        <f t="shared" si="45"/>
        <v>0</v>
      </c>
      <c r="BK747" s="54"/>
      <c r="BL747" s="54"/>
      <c r="BW747" s="54">
        <v>21</v>
      </c>
      <c r="BX747" s="3" t="s">
        <v>1641</v>
      </c>
    </row>
    <row r="748" spans="1:76" ht="14.5" x14ac:dyDescent="0.35">
      <c r="A748" s="64" t="s">
        <v>1897</v>
      </c>
      <c r="B748" s="65" t="s">
        <v>1512</v>
      </c>
      <c r="C748" s="65" t="s">
        <v>1642</v>
      </c>
      <c r="D748" s="217" t="s">
        <v>1643</v>
      </c>
      <c r="E748" s="218"/>
      <c r="F748" s="65" t="s">
        <v>196</v>
      </c>
      <c r="G748" s="67">
        <v>1</v>
      </c>
      <c r="H748" s="85">
        <v>0</v>
      </c>
      <c r="I748" s="67">
        <f t="shared" si="24"/>
        <v>0</v>
      </c>
      <c r="J748" s="67">
        <v>0</v>
      </c>
      <c r="K748" s="67">
        <v>0</v>
      </c>
      <c r="L748" s="67">
        <f t="shared" si="25"/>
        <v>0</v>
      </c>
      <c r="M748" s="68" t="s">
        <v>10</v>
      </c>
      <c r="Z748" s="54">
        <f t="shared" si="26"/>
        <v>0</v>
      </c>
      <c r="AB748" s="54">
        <f t="shared" si="27"/>
        <v>0</v>
      </c>
      <c r="AC748" s="54">
        <f t="shared" si="28"/>
        <v>0</v>
      </c>
      <c r="AD748" s="54">
        <f t="shared" si="29"/>
        <v>0</v>
      </c>
      <c r="AE748" s="54">
        <f t="shared" si="30"/>
        <v>0</v>
      </c>
      <c r="AF748" s="54">
        <f t="shared" si="31"/>
        <v>0</v>
      </c>
      <c r="AG748" s="54">
        <f t="shared" si="32"/>
        <v>0</v>
      </c>
      <c r="AH748" s="54">
        <f t="shared" si="33"/>
        <v>0</v>
      </c>
      <c r="AI748" s="34" t="s">
        <v>1512</v>
      </c>
      <c r="AJ748" s="67">
        <f t="shared" si="34"/>
        <v>0</v>
      </c>
      <c r="AK748" s="67">
        <f t="shared" si="35"/>
        <v>0</v>
      </c>
      <c r="AL748" s="67">
        <f t="shared" si="36"/>
        <v>0</v>
      </c>
      <c r="AN748" s="54">
        <v>21</v>
      </c>
      <c r="AO748" s="54">
        <f>H748*1</f>
        <v>0</v>
      </c>
      <c r="AP748" s="54">
        <f>H748*(1-1)</f>
        <v>0</v>
      </c>
      <c r="AQ748" s="69" t="s">
        <v>107</v>
      </c>
      <c r="AV748" s="54">
        <f t="shared" si="37"/>
        <v>0</v>
      </c>
      <c r="AW748" s="54">
        <f t="shared" si="38"/>
        <v>0</v>
      </c>
      <c r="AX748" s="54">
        <f t="shared" si="39"/>
        <v>0</v>
      </c>
      <c r="AY748" s="56" t="s">
        <v>1558</v>
      </c>
      <c r="AZ748" s="56" t="s">
        <v>1529</v>
      </c>
      <c r="BA748" s="34" t="s">
        <v>1520</v>
      </c>
      <c r="BC748" s="54">
        <f t="shared" si="40"/>
        <v>0</v>
      </c>
      <c r="BD748" s="54">
        <f t="shared" si="41"/>
        <v>0</v>
      </c>
      <c r="BE748" s="54">
        <v>0</v>
      </c>
      <c r="BF748" s="54">
        <f t="shared" si="42"/>
        <v>0</v>
      </c>
      <c r="BH748" s="67">
        <f t="shared" si="43"/>
        <v>0</v>
      </c>
      <c r="BI748" s="67">
        <f t="shared" si="44"/>
        <v>0</v>
      </c>
      <c r="BJ748" s="67">
        <f t="shared" si="45"/>
        <v>0</v>
      </c>
      <c r="BK748" s="67"/>
      <c r="BL748" s="54"/>
      <c r="BW748" s="54">
        <v>21</v>
      </c>
      <c r="BX748" s="66" t="s">
        <v>1643</v>
      </c>
    </row>
    <row r="749" spans="1:76" ht="14.5" x14ac:dyDescent="0.35">
      <c r="A749" s="1" t="s">
        <v>1898</v>
      </c>
      <c r="B749" s="2" t="s">
        <v>1512</v>
      </c>
      <c r="C749" s="2" t="s">
        <v>1644</v>
      </c>
      <c r="D749" s="155" t="s">
        <v>1645</v>
      </c>
      <c r="E749" s="153"/>
      <c r="F749" s="2" t="s">
        <v>196</v>
      </c>
      <c r="G749" s="54">
        <v>25</v>
      </c>
      <c r="H749" s="84">
        <v>0</v>
      </c>
      <c r="I749" s="54">
        <f t="shared" si="24"/>
        <v>0</v>
      </c>
      <c r="J749" s="54">
        <v>0</v>
      </c>
      <c r="K749" s="54">
        <v>0</v>
      </c>
      <c r="L749" s="54">
        <f t="shared" si="25"/>
        <v>0</v>
      </c>
      <c r="M749" s="55" t="s">
        <v>111</v>
      </c>
      <c r="Z749" s="54">
        <f t="shared" si="26"/>
        <v>0</v>
      </c>
      <c r="AB749" s="54">
        <f t="shared" si="27"/>
        <v>0</v>
      </c>
      <c r="AC749" s="54">
        <f t="shared" si="28"/>
        <v>0</v>
      </c>
      <c r="AD749" s="54">
        <f t="shared" si="29"/>
        <v>0</v>
      </c>
      <c r="AE749" s="54">
        <f t="shared" si="30"/>
        <v>0</v>
      </c>
      <c r="AF749" s="54">
        <f t="shared" si="31"/>
        <v>0</v>
      </c>
      <c r="AG749" s="54">
        <f t="shared" si="32"/>
        <v>0</v>
      </c>
      <c r="AH749" s="54">
        <f t="shared" si="33"/>
        <v>0</v>
      </c>
      <c r="AI749" s="34" t="s">
        <v>1512</v>
      </c>
      <c r="AJ749" s="54">
        <f t="shared" si="34"/>
        <v>0</v>
      </c>
      <c r="AK749" s="54">
        <f t="shared" si="35"/>
        <v>0</v>
      </c>
      <c r="AL749" s="54">
        <f t="shared" si="36"/>
        <v>0</v>
      </c>
      <c r="AN749" s="54">
        <v>21</v>
      </c>
      <c r="AO749" s="54">
        <f>H749*0</f>
        <v>0</v>
      </c>
      <c r="AP749" s="54">
        <f>H749*(1-0)</f>
        <v>0</v>
      </c>
      <c r="AQ749" s="56" t="s">
        <v>119</v>
      </c>
      <c r="AV749" s="54">
        <f t="shared" si="37"/>
        <v>0</v>
      </c>
      <c r="AW749" s="54">
        <f t="shared" si="38"/>
        <v>0</v>
      </c>
      <c r="AX749" s="54">
        <f t="shared" si="39"/>
        <v>0</v>
      </c>
      <c r="AY749" s="56" t="s">
        <v>1558</v>
      </c>
      <c r="AZ749" s="56" t="s">
        <v>1529</v>
      </c>
      <c r="BA749" s="34" t="s">
        <v>1520</v>
      </c>
      <c r="BC749" s="54">
        <f t="shared" si="40"/>
        <v>0</v>
      </c>
      <c r="BD749" s="54">
        <f t="shared" si="41"/>
        <v>0</v>
      </c>
      <c r="BE749" s="54">
        <v>0</v>
      </c>
      <c r="BF749" s="54">
        <f t="shared" si="42"/>
        <v>0</v>
      </c>
      <c r="BH749" s="54">
        <f t="shared" si="43"/>
        <v>0</v>
      </c>
      <c r="BI749" s="54">
        <f t="shared" si="44"/>
        <v>0</v>
      </c>
      <c r="BJ749" s="54">
        <f t="shared" si="45"/>
        <v>0</v>
      </c>
      <c r="BK749" s="54"/>
      <c r="BL749" s="54"/>
      <c r="BW749" s="54">
        <v>21</v>
      </c>
      <c r="BX749" s="3" t="s">
        <v>1645</v>
      </c>
    </row>
    <row r="750" spans="1:76" ht="25" x14ac:dyDescent="0.35">
      <c r="A750" s="64" t="s">
        <v>1899</v>
      </c>
      <c r="B750" s="65" t="s">
        <v>1512</v>
      </c>
      <c r="C750" s="65" t="s">
        <v>1646</v>
      </c>
      <c r="D750" s="217" t="s">
        <v>1647</v>
      </c>
      <c r="E750" s="218"/>
      <c r="F750" s="65" t="s">
        <v>196</v>
      </c>
      <c r="G750" s="67">
        <v>25</v>
      </c>
      <c r="H750" s="85">
        <v>0</v>
      </c>
      <c r="I750" s="67">
        <f t="shared" si="24"/>
        <v>0</v>
      </c>
      <c r="J750" s="67">
        <v>0</v>
      </c>
      <c r="K750" s="67">
        <v>0</v>
      </c>
      <c r="L750" s="67">
        <f t="shared" si="25"/>
        <v>0</v>
      </c>
      <c r="M750" s="68" t="s">
        <v>10</v>
      </c>
      <c r="Z750" s="54">
        <f t="shared" si="26"/>
        <v>0</v>
      </c>
      <c r="AB750" s="54">
        <f t="shared" si="27"/>
        <v>0</v>
      </c>
      <c r="AC750" s="54">
        <f t="shared" si="28"/>
        <v>0</v>
      </c>
      <c r="AD750" s="54">
        <f t="shared" si="29"/>
        <v>0</v>
      </c>
      <c r="AE750" s="54">
        <f t="shared" si="30"/>
        <v>0</v>
      </c>
      <c r="AF750" s="54">
        <f t="shared" si="31"/>
        <v>0</v>
      </c>
      <c r="AG750" s="54">
        <f t="shared" si="32"/>
        <v>0</v>
      </c>
      <c r="AH750" s="54">
        <f t="shared" si="33"/>
        <v>0</v>
      </c>
      <c r="AI750" s="34" t="s">
        <v>1512</v>
      </c>
      <c r="AJ750" s="67">
        <f t="shared" si="34"/>
        <v>0</v>
      </c>
      <c r="AK750" s="67">
        <f t="shared" si="35"/>
        <v>0</v>
      </c>
      <c r="AL750" s="67">
        <f t="shared" si="36"/>
        <v>0</v>
      </c>
      <c r="AN750" s="54">
        <v>21</v>
      </c>
      <c r="AO750" s="54">
        <f>H750*1</f>
        <v>0</v>
      </c>
      <c r="AP750" s="54">
        <f>H750*(1-1)</f>
        <v>0</v>
      </c>
      <c r="AQ750" s="69" t="s">
        <v>107</v>
      </c>
      <c r="AV750" s="54">
        <f t="shared" si="37"/>
        <v>0</v>
      </c>
      <c r="AW750" s="54">
        <f t="shared" si="38"/>
        <v>0</v>
      </c>
      <c r="AX750" s="54">
        <f t="shared" si="39"/>
        <v>0</v>
      </c>
      <c r="AY750" s="56" t="s">
        <v>1558</v>
      </c>
      <c r="AZ750" s="56" t="s">
        <v>1529</v>
      </c>
      <c r="BA750" s="34" t="s">
        <v>1520</v>
      </c>
      <c r="BC750" s="54">
        <f t="shared" si="40"/>
        <v>0</v>
      </c>
      <c r="BD750" s="54">
        <f t="shared" si="41"/>
        <v>0</v>
      </c>
      <c r="BE750" s="54">
        <v>0</v>
      </c>
      <c r="BF750" s="54">
        <f t="shared" si="42"/>
        <v>0</v>
      </c>
      <c r="BH750" s="67">
        <f t="shared" si="43"/>
        <v>0</v>
      </c>
      <c r="BI750" s="67">
        <f t="shared" si="44"/>
        <v>0</v>
      </c>
      <c r="BJ750" s="67">
        <f t="shared" si="45"/>
        <v>0</v>
      </c>
      <c r="BK750" s="67"/>
      <c r="BL750" s="54"/>
      <c r="BW750" s="54">
        <v>21</v>
      </c>
      <c r="BX750" s="66" t="s">
        <v>1647</v>
      </c>
    </row>
    <row r="751" spans="1:76" ht="14.5" x14ac:dyDescent="0.35">
      <c r="A751" s="57"/>
      <c r="D751" s="58" t="s">
        <v>406</v>
      </c>
      <c r="E751" s="59" t="s">
        <v>1648</v>
      </c>
      <c r="G751" s="60">
        <v>24</v>
      </c>
      <c r="M751" s="61"/>
    </row>
    <row r="752" spans="1:76" ht="14.5" x14ac:dyDescent="0.35">
      <c r="A752" s="57"/>
      <c r="D752" s="58" t="s">
        <v>629</v>
      </c>
      <c r="E752" s="59" t="s">
        <v>1151</v>
      </c>
      <c r="G752" s="60">
        <v>1</v>
      </c>
      <c r="M752" s="61"/>
    </row>
    <row r="753" spans="1:76" ht="14.5" x14ac:dyDescent="0.35">
      <c r="A753" s="1" t="s">
        <v>1900</v>
      </c>
      <c r="B753" s="2" t="s">
        <v>1512</v>
      </c>
      <c r="C753" s="2" t="s">
        <v>1649</v>
      </c>
      <c r="D753" s="155" t="s">
        <v>1650</v>
      </c>
      <c r="E753" s="153"/>
      <c r="F753" s="2" t="s">
        <v>196</v>
      </c>
      <c r="G753" s="54">
        <v>11</v>
      </c>
      <c r="H753" s="84">
        <v>0</v>
      </c>
      <c r="I753" s="54">
        <f>G753*H753</f>
        <v>0</v>
      </c>
      <c r="J753" s="54">
        <v>0</v>
      </c>
      <c r="K753" s="54">
        <v>0</v>
      </c>
      <c r="L753" s="54">
        <f>G753*J753</f>
        <v>0</v>
      </c>
      <c r="M753" s="55" t="s">
        <v>111</v>
      </c>
      <c r="Z753" s="54">
        <f>IF(AQ753="5",BJ753,0)</f>
        <v>0</v>
      </c>
      <c r="AB753" s="54">
        <f>IF(AQ753="1",BH753,0)</f>
        <v>0</v>
      </c>
      <c r="AC753" s="54">
        <f>IF(AQ753="1",BI753,0)</f>
        <v>0</v>
      </c>
      <c r="AD753" s="54">
        <f>IF(AQ753="7",BH753,0)</f>
        <v>0</v>
      </c>
      <c r="AE753" s="54">
        <f>IF(AQ753="7",BI753,0)</f>
        <v>0</v>
      </c>
      <c r="AF753" s="54">
        <f>IF(AQ753="2",BH753,0)</f>
        <v>0</v>
      </c>
      <c r="AG753" s="54">
        <f>IF(AQ753="2",BI753,0)</f>
        <v>0</v>
      </c>
      <c r="AH753" s="54">
        <f>IF(AQ753="0",BJ753,0)</f>
        <v>0</v>
      </c>
      <c r="AI753" s="34" t="s">
        <v>1512</v>
      </c>
      <c r="AJ753" s="54">
        <f>IF(AN753=0,I753,0)</f>
        <v>0</v>
      </c>
      <c r="AK753" s="54">
        <f>IF(AN753=12,I753,0)</f>
        <v>0</v>
      </c>
      <c r="AL753" s="54">
        <f>IF(AN753=21,I753,0)</f>
        <v>0</v>
      </c>
      <c r="AN753" s="54">
        <v>21</v>
      </c>
      <c r="AO753" s="54">
        <f>H753*0</f>
        <v>0</v>
      </c>
      <c r="AP753" s="54">
        <f>H753*(1-0)</f>
        <v>0</v>
      </c>
      <c r="AQ753" s="56" t="s">
        <v>119</v>
      </c>
      <c r="AV753" s="54">
        <f>AW753+AX753</f>
        <v>0</v>
      </c>
      <c r="AW753" s="54">
        <f>G753*AO753</f>
        <v>0</v>
      </c>
      <c r="AX753" s="54">
        <f>G753*AP753</f>
        <v>0</v>
      </c>
      <c r="AY753" s="56" t="s">
        <v>1558</v>
      </c>
      <c r="AZ753" s="56" t="s">
        <v>1529</v>
      </c>
      <c r="BA753" s="34" t="s">
        <v>1520</v>
      </c>
      <c r="BC753" s="54">
        <f>AW753+AX753</f>
        <v>0</v>
      </c>
      <c r="BD753" s="54">
        <f>H753/(100-BE753)*100</f>
        <v>0</v>
      </c>
      <c r="BE753" s="54">
        <v>0</v>
      </c>
      <c r="BF753" s="54">
        <f>L753</f>
        <v>0</v>
      </c>
      <c r="BH753" s="54">
        <f>G753*AO753</f>
        <v>0</v>
      </c>
      <c r="BI753" s="54">
        <f>G753*AP753</f>
        <v>0</v>
      </c>
      <c r="BJ753" s="54">
        <f>G753*H753</f>
        <v>0</v>
      </c>
      <c r="BK753" s="54"/>
      <c r="BL753" s="54"/>
      <c r="BW753" s="54">
        <v>21</v>
      </c>
      <c r="BX753" s="3" t="s">
        <v>1650</v>
      </c>
    </row>
    <row r="754" spans="1:76" ht="14.5" x14ac:dyDescent="0.35">
      <c r="A754" s="57"/>
      <c r="D754" s="58" t="s">
        <v>203</v>
      </c>
      <c r="E754" s="59" t="s">
        <v>1651</v>
      </c>
      <c r="G754" s="60">
        <v>11</v>
      </c>
      <c r="M754" s="61"/>
    </row>
    <row r="755" spans="1:76" ht="25" x14ac:dyDescent="0.35">
      <c r="A755" s="64" t="s">
        <v>1901</v>
      </c>
      <c r="B755" s="65" t="s">
        <v>1512</v>
      </c>
      <c r="C755" s="65" t="s">
        <v>1652</v>
      </c>
      <c r="D755" s="217" t="s">
        <v>1653</v>
      </c>
      <c r="E755" s="218"/>
      <c r="F755" s="65" t="s">
        <v>196</v>
      </c>
      <c r="G755" s="67">
        <v>11</v>
      </c>
      <c r="H755" s="85">
        <v>0</v>
      </c>
      <c r="I755" s="67">
        <f>G755*H755</f>
        <v>0</v>
      </c>
      <c r="J755" s="67">
        <v>0</v>
      </c>
      <c r="K755" s="67">
        <v>0</v>
      </c>
      <c r="L755" s="67">
        <f>G755*J755</f>
        <v>0</v>
      </c>
      <c r="M755" s="68" t="s">
        <v>10</v>
      </c>
      <c r="Z755" s="54">
        <f>IF(AQ755="5",BJ755,0)</f>
        <v>0</v>
      </c>
      <c r="AB755" s="54">
        <f>IF(AQ755="1",BH755,0)</f>
        <v>0</v>
      </c>
      <c r="AC755" s="54">
        <f>IF(AQ755="1",BI755,0)</f>
        <v>0</v>
      </c>
      <c r="AD755" s="54">
        <f>IF(AQ755="7",BH755,0)</f>
        <v>0</v>
      </c>
      <c r="AE755" s="54">
        <f>IF(AQ755="7",BI755,0)</f>
        <v>0</v>
      </c>
      <c r="AF755" s="54">
        <f>IF(AQ755="2",BH755,0)</f>
        <v>0</v>
      </c>
      <c r="AG755" s="54">
        <f>IF(AQ755="2",BI755,0)</f>
        <v>0</v>
      </c>
      <c r="AH755" s="54">
        <f>IF(AQ755="0",BJ755,0)</f>
        <v>0</v>
      </c>
      <c r="AI755" s="34" t="s">
        <v>1512</v>
      </c>
      <c r="AJ755" s="67">
        <f>IF(AN755=0,I755,0)</f>
        <v>0</v>
      </c>
      <c r="AK755" s="67">
        <f>IF(AN755=12,I755,0)</f>
        <v>0</v>
      </c>
      <c r="AL755" s="67">
        <f>IF(AN755=21,I755,0)</f>
        <v>0</v>
      </c>
      <c r="AN755" s="54">
        <v>21</v>
      </c>
      <c r="AO755" s="54">
        <f>H755*1</f>
        <v>0</v>
      </c>
      <c r="AP755" s="54">
        <f>H755*(1-1)</f>
        <v>0</v>
      </c>
      <c r="AQ755" s="69" t="s">
        <v>107</v>
      </c>
      <c r="AV755" s="54">
        <f>AW755+AX755</f>
        <v>0</v>
      </c>
      <c r="AW755" s="54">
        <f>G755*AO755</f>
        <v>0</v>
      </c>
      <c r="AX755" s="54">
        <f>G755*AP755</f>
        <v>0</v>
      </c>
      <c r="AY755" s="56" t="s">
        <v>1558</v>
      </c>
      <c r="AZ755" s="56" t="s">
        <v>1529</v>
      </c>
      <c r="BA755" s="34" t="s">
        <v>1520</v>
      </c>
      <c r="BC755" s="54">
        <f>AW755+AX755</f>
        <v>0</v>
      </c>
      <c r="BD755" s="54">
        <f>H755/(100-BE755)*100</f>
        <v>0</v>
      </c>
      <c r="BE755" s="54">
        <v>0</v>
      </c>
      <c r="BF755" s="54">
        <f>L755</f>
        <v>0</v>
      </c>
      <c r="BH755" s="67">
        <f>G755*AO755</f>
        <v>0</v>
      </c>
      <c r="BI755" s="67">
        <f>G755*AP755</f>
        <v>0</v>
      </c>
      <c r="BJ755" s="67">
        <f>G755*H755</f>
        <v>0</v>
      </c>
      <c r="BK755" s="67"/>
      <c r="BL755" s="54"/>
      <c r="BW755" s="54">
        <v>21</v>
      </c>
      <c r="BX755" s="66" t="s">
        <v>1653</v>
      </c>
    </row>
    <row r="756" spans="1:76" ht="14.5" x14ac:dyDescent="0.35">
      <c r="A756" s="57"/>
      <c r="D756" s="58" t="s">
        <v>354</v>
      </c>
      <c r="E756" s="59" t="s">
        <v>1655</v>
      </c>
      <c r="G756" s="60">
        <v>11</v>
      </c>
      <c r="M756" s="61"/>
    </row>
    <row r="757" spans="1:76" ht="14.5" x14ac:dyDescent="0.35">
      <c r="A757" s="1" t="s">
        <v>1902</v>
      </c>
      <c r="B757" s="2" t="s">
        <v>1512</v>
      </c>
      <c r="C757" s="2" t="s">
        <v>1656</v>
      </c>
      <c r="D757" s="155" t="s">
        <v>1657</v>
      </c>
      <c r="E757" s="153"/>
      <c r="F757" s="2" t="s">
        <v>196</v>
      </c>
      <c r="G757" s="54">
        <v>29</v>
      </c>
      <c r="H757" s="84">
        <v>0</v>
      </c>
      <c r="I757" s="54">
        <f>G757*H757</f>
        <v>0</v>
      </c>
      <c r="J757" s="54">
        <v>0</v>
      </c>
      <c r="K757" s="54">
        <v>0</v>
      </c>
      <c r="L757" s="54">
        <f>G757*J757</f>
        <v>0</v>
      </c>
      <c r="M757" s="55" t="s">
        <v>111</v>
      </c>
      <c r="Z757" s="54">
        <f>IF(AQ757="5",BJ757,0)</f>
        <v>0</v>
      </c>
      <c r="AB757" s="54">
        <f>IF(AQ757="1",BH757,0)</f>
        <v>0</v>
      </c>
      <c r="AC757" s="54">
        <f>IF(AQ757="1",BI757,0)</f>
        <v>0</v>
      </c>
      <c r="AD757" s="54">
        <f>IF(AQ757="7",BH757,0)</f>
        <v>0</v>
      </c>
      <c r="AE757" s="54">
        <f>IF(AQ757="7",BI757,0)</f>
        <v>0</v>
      </c>
      <c r="AF757" s="54">
        <f>IF(AQ757="2",BH757,0)</f>
        <v>0</v>
      </c>
      <c r="AG757" s="54">
        <f>IF(AQ757="2",BI757,0)</f>
        <v>0</v>
      </c>
      <c r="AH757" s="54">
        <f>IF(AQ757="0",BJ757,0)</f>
        <v>0</v>
      </c>
      <c r="AI757" s="34" t="s">
        <v>1512</v>
      </c>
      <c r="AJ757" s="54">
        <f>IF(AN757=0,I757,0)</f>
        <v>0</v>
      </c>
      <c r="AK757" s="54">
        <f>IF(AN757=12,I757,0)</f>
        <v>0</v>
      </c>
      <c r="AL757" s="54">
        <f>IF(AN757=21,I757,0)</f>
        <v>0</v>
      </c>
      <c r="AN757" s="54">
        <v>21</v>
      </c>
      <c r="AO757" s="54">
        <f>H757*0</f>
        <v>0</v>
      </c>
      <c r="AP757" s="54">
        <f>H757*(1-0)</f>
        <v>0</v>
      </c>
      <c r="AQ757" s="56" t="s">
        <v>119</v>
      </c>
      <c r="AV757" s="54">
        <f>AW757+AX757</f>
        <v>0</v>
      </c>
      <c r="AW757" s="54">
        <f>G757*AO757</f>
        <v>0</v>
      </c>
      <c r="AX757" s="54">
        <f>G757*AP757</f>
        <v>0</v>
      </c>
      <c r="AY757" s="56" t="s">
        <v>1558</v>
      </c>
      <c r="AZ757" s="56" t="s">
        <v>1529</v>
      </c>
      <c r="BA757" s="34" t="s">
        <v>1520</v>
      </c>
      <c r="BC757" s="54">
        <f>AW757+AX757</f>
        <v>0</v>
      </c>
      <c r="BD757" s="54">
        <f>H757/(100-BE757)*100</f>
        <v>0</v>
      </c>
      <c r="BE757" s="54">
        <v>0</v>
      </c>
      <c r="BF757" s="54">
        <f>L757</f>
        <v>0</v>
      </c>
      <c r="BH757" s="54">
        <f>G757*AO757</f>
        <v>0</v>
      </c>
      <c r="BI757" s="54">
        <f>G757*AP757</f>
        <v>0</v>
      </c>
      <c r="BJ757" s="54">
        <f>G757*H757</f>
        <v>0</v>
      </c>
      <c r="BK757" s="54"/>
      <c r="BL757" s="54"/>
      <c r="BW757" s="54">
        <v>21</v>
      </c>
      <c r="BX757" s="3" t="s">
        <v>1657</v>
      </c>
    </row>
    <row r="758" spans="1:76" ht="14.5" x14ac:dyDescent="0.35">
      <c r="A758" s="57"/>
      <c r="D758" s="58" t="s">
        <v>198</v>
      </c>
      <c r="E758" s="59" t="s">
        <v>199</v>
      </c>
      <c r="G758" s="60">
        <v>24</v>
      </c>
      <c r="M758" s="61"/>
    </row>
    <row r="759" spans="1:76" ht="14.5" x14ac:dyDescent="0.35">
      <c r="A759" s="57"/>
      <c r="D759" s="58" t="s">
        <v>107</v>
      </c>
      <c r="E759" s="59" t="s">
        <v>1658</v>
      </c>
      <c r="G759" s="60">
        <v>1</v>
      </c>
      <c r="M759" s="61"/>
    </row>
    <row r="760" spans="1:76" ht="14.5" x14ac:dyDescent="0.35">
      <c r="A760" s="57"/>
      <c r="D760" s="58" t="s">
        <v>107</v>
      </c>
      <c r="E760" s="59" t="s">
        <v>1659</v>
      </c>
      <c r="G760" s="60">
        <v>1</v>
      </c>
      <c r="M760" s="61"/>
    </row>
    <row r="761" spans="1:76" ht="14.5" x14ac:dyDescent="0.35">
      <c r="A761" s="57"/>
      <c r="D761" s="58" t="s">
        <v>107</v>
      </c>
      <c r="E761" s="59" t="s">
        <v>1660</v>
      </c>
      <c r="G761" s="60">
        <v>1</v>
      </c>
      <c r="M761" s="61"/>
    </row>
    <row r="762" spans="1:76" ht="14.5" x14ac:dyDescent="0.35">
      <c r="A762" s="57"/>
      <c r="D762" s="58" t="s">
        <v>1661</v>
      </c>
      <c r="E762" s="59" t="s">
        <v>1662</v>
      </c>
      <c r="G762" s="60">
        <v>2</v>
      </c>
      <c r="M762" s="61"/>
    </row>
    <row r="763" spans="1:76" ht="14.5" x14ac:dyDescent="0.35">
      <c r="A763" s="64" t="s">
        <v>1903</v>
      </c>
      <c r="B763" s="65" t="s">
        <v>1512</v>
      </c>
      <c r="C763" s="65" t="s">
        <v>1663</v>
      </c>
      <c r="D763" s="217" t="s">
        <v>1664</v>
      </c>
      <c r="E763" s="218"/>
      <c r="F763" s="65" t="s">
        <v>196</v>
      </c>
      <c r="G763" s="67">
        <v>29</v>
      </c>
      <c r="H763" s="85">
        <v>0</v>
      </c>
      <c r="I763" s="67">
        <f>G763*H763</f>
        <v>0</v>
      </c>
      <c r="J763" s="67">
        <v>2.3E-3</v>
      </c>
      <c r="K763" s="67">
        <v>0</v>
      </c>
      <c r="L763" s="67">
        <f>G763*J763</f>
        <v>6.6699999999999995E-2</v>
      </c>
      <c r="M763" s="68" t="s">
        <v>111</v>
      </c>
      <c r="Z763" s="54">
        <f>IF(AQ763="5",BJ763,0)</f>
        <v>0</v>
      </c>
      <c r="AB763" s="54">
        <f>IF(AQ763="1",BH763,0)</f>
        <v>0</v>
      </c>
      <c r="AC763" s="54">
        <f>IF(AQ763="1",BI763,0)</f>
        <v>0</v>
      </c>
      <c r="AD763" s="54">
        <f>IF(AQ763="7",BH763,0)</f>
        <v>0</v>
      </c>
      <c r="AE763" s="54">
        <f>IF(AQ763="7",BI763,0)</f>
        <v>0</v>
      </c>
      <c r="AF763" s="54">
        <f>IF(AQ763="2",BH763,0)</f>
        <v>0</v>
      </c>
      <c r="AG763" s="54">
        <f>IF(AQ763="2",BI763,0)</f>
        <v>0</v>
      </c>
      <c r="AH763" s="54">
        <f>IF(AQ763="0",BJ763,0)</f>
        <v>0</v>
      </c>
      <c r="AI763" s="34" t="s">
        <v>1512</v>
      </c>
      <c r="AJ763" s="67">
        <f>IF(AN763=0,I763,0)</f>
        <v>0</v>
      </c>
      <c r="AK763" s="67">
        <f>IF(AN763=12,I763,0)</f>
        <v>0</v>
      </c>
      <c r="AL763" s="67">
        <f>IF(AN763=21,I763,0)</f>
        <v>0</v>
      </c>
      <c r="AN763" s="54">
        <v>21</v>
      </c>
      <c r="AO763" s="54">
        <f>H763*1</f>
        <v>0</v>
      </c>
      <c r="AP763" s="54">
        <f>H763*(1-1)</f>
        <v>0</v>
      </c>
      <c r="AQ763" s="69" t="s">
        <v>107</v>
      </c>
      <c r="AV763" s="54">
        <f>AW763+AX763</f>
        <v>0</v>
      </c>
      <c r="AW763" s="54">
        <f>G763*AO763</f>
        <v>0</v>
      </c>
      <c r="AX763" s="54">
        <f>G763*AP763</f>
        <v>0</v>
      </c>
      <c r="AY763" s="56" t="s">
        <v>1558</v>
      </c>
      <c r="AZ763" s="56" t="s">
        <v>1529</v>
      </c>
      <c r="BA763" s="34" t="s">
        <v>1520</v>
      </c>
      <c r="BC763" s="54">
        <f>AW763+AX763</f>
        <v>0</v>
      </c>
      <c r="BD763" s="54">
        <f>H763/(100-BE763)*100</f>
        <v>0</v>
      </c>
      <c r="BE763" s="54">
        <v>0</v>
      </c>
      <c r="BF763" s="54">
        <f>L763</f>
        <v>6.6699999999999995E-2</v>
      </c>
      <c r="BH763" s="67">
        <f>G763*AO763</f>
        <v>0</v>
      </c>
      <c r="BI763" s="67">
        <f>G763*AP763</f>
        <v>0</v>
      </c>
      <c r="BJ763" s="67">
        <f>G763*H763</f>
        <v>0</v>
      </c>
      <c r="BK763" s="67"/>
      <c r="BL763" s="54"/>
      <c r="BW763" s="54">
        <v>21</v>
      </c>
      <c r="BX763" s="66" t="s">
        <v>1664</v>
      </c>
    </row>
    <row r="764" spans="1:76" ht="14.5" x14ac:dyDescent="0.35">
      <c r="A764" s="57"/>
      <c r="D764" s="58" t="s">
        <v>374</v>
      </c>
      <c r="E764" s="59" t="s">
        <v>10</v>
      </c>
      <c r="G764" s="60">
        <v>29</v>
      </c>
      <c r="M764" s="61"/>
    </row>
    <row r="765" spans="1:76" ht="14.5" x14ac:dyDescent="0.35">
      <c r="A765" s="1" t="s">
        <v>1904</v>
      </c>
      <c r="B765" s="2" t="s">
        <v>1512</v>
      </c>
      <c r="C765" s="2" t="s">
        <v>1666</v>
      </c>
      <c r="D765" s="155" t="s">
        <v>1667</v>
      </c>
      <c r="E765" s="153"/>
      <c r="F765" s="2" t="s">
        <v>196</v>
      </c>
      <c r="G765" s="54">
        <v>96</v>
      </c>
      <c r="H765" s="84">
        <v>0</v>
      </c>
      <c r="I765" s="54">
        <f>G765*H765</f>
        <v>0</v>
      </c>
      <c r="J765" s="54">
        <v>0</v>
      </c>
      <c r="K765" s="54">
        <v>0</v>
      </c>
      <c r="L765" s="54">
        <f>G765*J765</f>
        <v>0</v>
      </c>
      <c r="M765" s="55" t="s">
        <v>111</v>
      </c>
      <c r="Z765" s="54">
        <f>IF(AQ765="5",BJ765,0)</f>
        <v>0</v>
      </c>
      <c r="AB765" s="54">
        <f>IF(AQ765="1",BH765,0)</f>
        <v>0</v>
      </c>
      <c r="AC765" s="54">
        <f>IF(AQ765="1",BI765,0)</f>
        <v>0</v>
      </c>
      <c r="AD765" s="54">
        <f>IF(AQ765="7",BH765,0)</f>
        <v>0</v>
      </c>
      <c r="AE765" s="54">
        <f>IF(AQ765="7",BI765,0)</f>
        <v>0</v>
      </c>
      <c r="AF765" s="54">
        <f>IF(AQ765="2",BH765,0)</f>
        <v>0</v>
      </c>
      <c r="AG765" s="54">
        <f>IF(AQ765="2",BI765,0)</f>
        <v>0</v>
      </c>
      <c r="AH765" s="54">
        <f>IF(AQ765="0",BJ765,0)</f>
        <v>0</v>
      </c>
      <c r="AI765" s="34" t="s">
        <v>1512</v>
      </c>
      <c r="AJ765" s="54">
        <f>IF(AN765=0,I765,0)</f>
        <v>0</v>
      </c>
      <c r="AK765" s="54">
        <f>IF(AN765=12,I765,0)</f>
        <v>0</v>
      </c>
      <c r="AL765" s="54">
        <f>IF(AN765=21,I765,0)</f>
        <v>0</v>
      </c>
      <c r="AN765" s="54">
        <v>21</v>
      </c>
      <c r="AO765" s="54">
        <f>H765*0</f>
        <v>0</v>
      </c>
      <c r="AP765" s="54">
        <f>H765*(1-0)</f>
        <v>0</v>
      </c>
      <c r="AQ765" s="56" t="s">
        <v>119</v>
      </c>
      <c r="AV765" s="54">
        <f>AW765+AX765</f>
        <v>0</v>
      </c>
      <c r="AW765" s="54">
        <f>G765*AO765</f>
        <v>0</v>
      </c>
      <c r="AX765" s="54">
        <f>G765*AP765</f>
        <v>0</v>
      </c>
      <c r="AY765" s="56" t="s">
        <v>1558</v>
      </c>
      <c r="AZ765" s="56" t="s">
        <v>1529</v>
      </c>
      <c r="BA765" s="34" t="s">
        <v>1520</v>
      </c>
      <c r="BC765" s="54">
        <f>AW765+AX765</f>
        <v>0</v>
      </c>
      <c r="BD765" s="54">
        <f>H765/(100-BE765)*100</f>
        <v>0</v>
      </c>
      <c r="BE765" s="54">
        <v>0</v>
      </c>
      <c r="BF765" s="54">
        <f>L765</f>
        <v>0</v>
      </c>
      <c r="BH765" s="54">
        <f>G765*AO765</f>
        <v>0</v>
      </c>
      <c r="BI765" s="54">
        <f>G765*AP765</f>
        <v>0</v>
      </c>
      <c r="BJ765" s="54">
        <f>G765*H765</f>
        <v>0</v>
      </c>
      <c r="BK765" s="54"/>
      <c r="BL765" s="54"/>
      <c r="BW765" s="54">
        <v>21</v>
      </c>
      <c r="BX765" s="3" t="s">
        <v>1667</v>
      </c>
    </row>
    <row r="766" spans="1:76" ht="25" x14ac:dyDescent="0.35">
      <c r="A766" s="1" t="s">
        <v>1905</v>
      </c>
      <c r="B766" s="2" t="s">
        <v>1512</v>
      </c>
      <c r="C766" s="2" t="s">
        <v>1668</v>
      </c>
      <c r="D766" s="155" t="s">
        <v>1669</v>
      </c>
      <c r="E766" s="153"/>
      <c r="F766" s="2" t="s">
        <v>196</v>
      </c>
      <c r="G766" s="54">
        <v>96</v>
      </c>
      <c r="H766" s="84">
        <v>0</v>
      </c>
      <c r="I766" s="54">
        <f>G766*H766</f>
        <v>0</v>
      </c>
      <c r="J766" s="54">
        <v>0</v>
      </c>
      <c r="K766" s="54">
        <v>0</v>
      </c>
      <c r="L766" s="54">
        <f>G766*J766</f>
        <v>0</v>
      </c>
      <c r="M766" s="55" t="s">
        <v>10</v>
      </c>
      <c r="Z766" s="54">
        <f>IF(AQ766="5",BJ766,0)</f>
        <v>0</v>
      </c>
      <c r="AB766" s="54">
        <f>IF(AQ766="1",BH766,0)</f>
        <v>0</v>
      </c>
      <c r="AC766" s="54">
        <f>IF(AQ766="1",BI766,0)</f>
        <v>0</v>
      </c>
      <c r="AD766" s="54">
        <f>IF(AQ766="7",BH766,0)</f>
        <v>0</v>
      </c>
      <c r="AE766" s="54">
        <f>IF(AQ766="7",BI766,0)</f>
        <v>0</v>
      </c>
      <c r="AF766" s="54">
        <f>IF(AQ766="2",BH766,0)</f>
        <v>0</v>
      </c>
      <c r="AG766" s="54">
        <f>IF(AQ766="2",BI766,0)</f>
        <v>0</v>
      </c>
      <c r="AH766" s="54">
        <f>IF(AQ766="0",BJ766,0)</f>
        <v>0</v>
      </c>
      <c r="AI766" s="34" t="s">
        <v>1512</v>
      </c>
      <c r="AJ766" s="54">
        <f>IF(AN766=0,I766,0)</f>
        <v>0</v>
      </c>
      <c r="AK766" s="54">
        <f>IF(AN766=12,I766,0)</f>
        <v>0</v>
      </c>
      <c r="AL766" s="54">
        <f>IF(AN766=21,I766,0)</f>
        <v>0</v>
      </c>
      <c r="AN766" s="54">
        <v>21</v>
      </c>
      <c r="AO766" s="54">
        <f>H766*1</f>
        <v>0</v>
      </c>
      <c r="AP766" s="54">
        <f>H766*(1-1)</f>
        <v>0</v>
      </c>
      <c r="AQ766" s="56" t="s">
        <v>107</v>
      </c>
      <c r="AV766" s="54">
        <f>AW766+AX766</f>
        <v>0</v>
      </c>
      <c r="AW766" s="54">
        <f>G766*AO766</f>
        <v>0</v>
      </c>
      <c r="AX766" s="54">
        <f>G766*AP766</f>
        <v>0</v>
      </c>
      <c r="AY766" s="56" t="s">
        <v>1558</v>
      </c>
      <c r="AZ766" s="56" t="s">
        <v>1529</v>
      </c>
      <c r="BA766" s="34" t="s">
        <v>1520</v>
      </c>
      <c r="BC766" s="54">
        <f>AW766+AX766</f>
        <v>0</v>
      </c>
      <c r="BD766" s="54">
        <f>H766/(100-BE766)*100</f>
        <v>0</v>
      </c>
      <c r="BE766" s="54">
        <v>0</v>
      </c>
      <c r="BF766" s="54">
        <f>L766</f>
        <v>0</v>
      </c>
      <c r="BH766" s="54">
        <f>G766*AO766</f>
        <v>0</v>
      </c>
      <c r="BI766" s="54">
        <f>G766*AP766</f>
        <v>0</v>
      </c>
      <c r="BJ766" s="54">
        <f>G766*H766</f>
        <v>0</v>
      </c>
      <c r="BK766" s="54"/>
      <c r="BL766" s="54"/>
      <c r="BW766" s="54">
        <v>21</v>
      </c>
      <c r="BX766" s="3" t="s">
        <v>1669</v>
      </c>
    </row>
    <row r="767" spans="1:76" ht="14.5" x14ac:dyDescent="0.35">
      <c r="A767" s="57"/>
      <c r="D767" s="58" t="s">
        <v>521</v>
      </c>
      <c r="E767" s="59" t="s">
        <v>1671</v>
      </c>
      <c r="G767" s="60">
        <v>96</v>
      </c>
      <c r="M767" s="61"/>
    </row>
    <row r="768" spans="1:76" ht="14.5" x14ac:dyDescent="0.35">
      <c r="A768" s="1" t="s">
        <v>1906</v>
      </c>
      <c r="B768" s="2" t="s">
        <v>1512</v>
      </c>
      <c r="C768" s="2" t="s">
        <v>1672</v>
      </c>
      <c r="D768" s="155" t="s">
        <v>1673</v>
      </c>
      <c r="E768" s="153"/>
      <c r="F768" s="2" t="s">
        <v>153</v>
      </c>
      <c r="G768" s="54">
        <v>5</v>
      </c>
      <c r="H768" s="84">
        <v>0</v>
      </c>
      <c r="I768" s="54">
        <f t="shared" ref="I768:I782" si="46">G768*H768</f>
        <v>0</v>
      </c>
      <c r="J768" s="54">
        <v>0</v>
      </c>
      <c r="K768" s="54">
        <v>0</v>
      </c>
      <c r="L768" s="54">
        <f t="shared" ref="L768:L782" si="47">G768*J768</f>
        <v>0</v>
      </c>
      <c r="M768" s="55" t="s">
        <v>111</v>
      </c>
      <c r="Z768" s="54">
        <f t="shared" ref="Z768:Z782" si="48">IF(AQ768="5",BJ768,0)</f>
        <v>0</v>
      </c>
      <c r="AB768" s="54">
        <f t="shared" ref="AB768:AB782" si="49">IF(AQ768="1",BH768,0)</f>
        <v>0</v>
      </c>
      <c r="AC768" s="54">
        <f t="shared" ref="AC768:AC782" si="50">IF(AQ768="1",BI768,0)</f>
        <v>0</v>
      </c>
      <c r="AD768" s="54">
        <f t="shared" ref="AD768:AD782" si="51">IF(AQ768="7",BH768,0)</f>
        <v>0</v>
      </c>
      <c r="AE768" s="54">
        <f t="shared" ref="AE768:AE782" si="52">IF(AQ768="7",BI768,0)</f>
        <v>0</v>
      </c>
      <c r="AF768" s="54">
        <f t="shared" ref="AF768:AF782" si="53">IF(AQ768="2",BH768,0)</f>
        <v>0</v>
      </c>
      <c r="AG768" s="54">
        <f t="shared" ref="AG768:AG782" si="54">IF(AQ768="2",BI768,0)</f>
        <v>0</v>
      </c>
      <c r="AH768" s="54">
        <f t="shared" ref="AH768:AH782" si="55">IF(AQ768="0",BJ768,0)</f>
        <v>0</v>
      </c>
      <c r="AI768" s="34" t="s">
        <v>1512</v>
      </c>
      <c r="AJ768" s="54">
        <f t="shared" ref="AJ768:AJ782" si="56">IF(AN768=0,I768,0)</f>
        <v>0</v>
      </c>
      <c r="AK768" s="54">
        <f t="shared" ref="AK768:AK782" si="57">IF(AN768=12,I768,0)</f>
        <v>0</v>
      </c>
      <c r="AL768" s="54">
        <f t="shared" ref="AL768:AL782" si="58">IF(AN768=21,I768,0)</f>
        <v>0</v>
      </c>
      <c r="AN768" s="54">
        <v>21</v>
      </c>
      <c r="AO768" s="54">
        <f>H768*0</f>
        <v>0</v>
      </c>
      <c r="AP768" s="54">
        <f>H768*(1-0)</f>
        <v>0</v>
      </c>
      <c r="AQ768" s="56" t="s">
        <v>119</v>
      </c>
      <c r="AV768" s="54">
        <f t="shared" ref="AV768:AV782" si="59">AW768+AX768</f>
        <v>0</v>
      </c>
      <c r="AW768" s="54">
        <f t="shared" ref="AW768:AW782" si="60">G768*AO768</f>
        <v>0</v>
      </c>
      <c r="AX768" s="54">
        <f t="shared" ref="AX768:AX782" si="61">G768*AP768</f>
        <v>0</v>
      </c>
      <c r="AY768" s="56" t="s">
        <v>1558</v>
      </c>
      <c r="AZ768" s="56" t="s">
        <v>1529</v>
      </c>
      <c r="BA768" s="34" t="s">
        <v>1520</v>
      </c>
      <c r="BC768" s="54">
        <f t="shared" ref="BC768:BC782" si="62">AW768+AX768</f>
        <v>0</v>
      </c>
      <c r="BD768" s="54">
        <f t="shared" ref="BD768:BD782" si="63">H768/(100-BE768)*100</f>
        <v>0</v>
      </c>
      <c r="BE768" s="54">
        <v>0</v>
      </c>
      <c r="BF768" s="54">
        <f t="shared" ref="BF768:BF782" si="64">L768</f>
        <v>0</v>
      </c>
      <c r="BH768" s="54">
        <f t="shared" ref="BH768:BH782" si="65">G768*AO768</f>
        <v>0</v>
      </c>
      <c r="BI768" s="54">
        <f t="shared" ref="BI768:BI782" si="66">G768*AP768</f>
        <v>0</v>
      </c>
      <c r="BJ768" s="54">
        <f t="shared" ref="BJ768:BJ782" si="67">G768*H768</f>
        <v>0</v>
      </c>
      <c r="BK768" s="54"/>
      <c r="BL768" s="54"/>
      <c r="BW768" s="54">
        <v>21</v>
      </c>
      <c r="BX768" s="3" t="s">
        <v>1673</v>
      </c>
    </row>
    <row r="769" spans="1:76" ht="14.5" x14ac:dyDescent="0.35">
      <c r="A769" s="1" t="s">
        <v>1907</v>
      </c>
      <c r="B769" s="2" t="s">
        <v>1512</v>
      </c>
      <c r="C769" s="2" t="s">
        <v>1674</v>
      </c>
      <c r="D769" s="155" t="s">
        <v>1675</v>
      </c>
      <c r="E769" s="153"/>
      <c r="F769" s="2" t="s">
        <v>153</v>
      </c>
      <c r="G769" s="54">
        <v>1600</v>
      </c>
      <c r="H769" s="84">
        <v>0</v>
      </c>
      <c r="I769" s="54">
        <f t="shared" si="46"/>
        <v>0</v>
      </c>
      <c r="J769" s="54">
        <v>0</v>
      </c>
      <c r="K769" s="54">
        <v>0</v>
      </c>
      <c r="L769" s="54">
        <f t="shared" si="47"/>
        <v>0</v>
      </c>
      <c r="M769" s="55" t="s">
        <v>111</v>
      </c>
      <c r="Z769" s="54">
        <f t="shared" si="48"/>
        <v>0</v>
      </c>
      <c r="AB769" s="54">
        <f t="shared" si="49"/>
        <v>0</v>
      </c>
      <c r="AC769" s="54">
        <f t="shared" si="50"/>
        <v>0</v>
      </c>
      <c r="AD769" s="54">
        <f t="shared" si="51"/>
        <v>0</v>
      </c>
      <c r="AE769" s="54">
        <f t="shared" si="52"/>
        <v>0</v>
      </c>
      <c r="AF769" s="54">
        <f t="shared" si="53"/>
        <v>0</v>
      </c>
      <c r="AG769" s="54">
        <f t="shared" si="54"/>
        <v>0</v>
      </c>
      <c r="AH769" s="54">
        <f t="shared" si="55"/>
        <v>0</v>
      </c>
      <c r="AI769" s="34" t="s">
        <v>1512</v>
      </c>
      <c r="AJ769" s="54">
        <f t="shared" si="56"/>
        <v>0</v>
      </c>
      <c r="AK769" s="54">
        <f t="shared" si="57"/>
        <v>0</v>
      </c>
      <c r="AL769" s="54">
        <f t="shared" si="58"/>
        <v>0</v>
      </c>
      <c r="AN769" s="54">
        <v>21</v>
      </c>
      <c r="AO769" s="54">
        <f>H769*0</f>
        <v>0</v>
      </c>
      <c r="AP769" s="54">
        <f>H769*(1-0)</f>
        <v>0</v>
      </c>
      <c r="AQ769" s="56" t="s">
        <v>119</v>
      </c>
      <c r="AV769" s="54">
        <f t="shared" si="59"/>
        <v>0</v>
      </c>
      <c r="AW769" s="54">
        <f t="shared" si="60"/>
        <v>0</v>
      </c>
      <c r="AX769" s="54">
        <f t="shared" si="61"/>
        <v>0</v>
      </c>
      <c r="AY769" s="56" t="s">
        <v>1558</v>
      </c>
      <c r="AZ769" s="56" t="s">
        <v>1529</v>
      </c>
      <c r="BA769" s="34" t="s">
        <v>1520</v>
      </c>
      <c r="BC769" s="54">
        <f t="shared" si="62"/>
        <v>0</v>
      </c>
      <c r="BD769" s="54">
        <f t="shared" si="63"/>
        <v>0</v>
      </c>
      <c r="BE769" s="54">
        <v>0</v>
      </c>
      <c r="BF769" s="54">
        <f t="shared" si="64"/>
        <v>0</v>
      </c>
      <c r="BH769" s="54">
        <f t="shared" si="65"/>
        <v>0</v>
      </c>
      <c r="BI769" s="54">
        <f t="shared" si="66"/>
        <v>0</v>
      </c>
      <c r="BJ769" s="54">
        <f t="shared" si="67"/>
        <v>0</v>
      </c>
      <c r="BK769" s="54"/>
      <c r="BL769" s="54"/>
      <c r="BW769" s="54">
        <v>21</v>
      </c>
      <c r="BX769" s="3" t="s">
        <v>1675</v>
      </c>
    </row>
    <row r="770" spans="1:76" ht="14.5" x14ac:dyDescent="0.35">
      <c r="A770" s="1" t="s">
        <v>1908</v>
      </c>
      <c r="B770" s="2" t="s">
        <v>1512</v>
      </c>
      <c r="C770" s="2" t="s">
        <v>1676</v>
      </c>
      <c r="D770" s="155" t="s">
        <v>1677</v>
      </c>
      <c r="E770" s="153"/>
      <c r="F770" s="2" t="s">
        <v>153</v>
      </c>
      <c r="G770" s="54">
        <v>1100</v>
      </c>
      <c r="H770" s="84">
        <v>0</v>
      </c>
      <c r="I770" s="54">
        <f t="shared" si="46"/>
        <v>0</v>
      </c>
      <c r="J770" s="54">
        <v>0</v>
      </c>
      <c r="K770" s="54">
        <v>0</v>
      </c>
      <c r="L770" s="54">
        <f t="shared" si="47"/>
        <v>0</v>
      </c>
      <c r="M770" s="55" t="s">
        <v>111</v>
      </c>
      <c r="Z770" s="54">
        <f t="shared" si="48"/>
        <v>0</v>
      </c>
      <c r="AB770" s="54">
        <f t="shared" si="49"/>
        <v>0</v>
      </c>
      <c r="AC770" s="54">
        <f t="shared" si="50"/>
        <v>0</v>
      </c>
      <c r="AD770" s="54">
        <f t="shared" si="51"/>
        <v>0</v>
      </c>
      <c r="AE770" s="54">
        <f t="shared" si="52"/>
        <v>0</v>
      </c>
      <c r="AF770" s="54">
        <f t="shared" si="53"/>
        <v>0</v>
      </c>
      <c r="AG770" s="54">
        <f t="shared" si="54"/>
        <v>0</v>
      </c>
      <c r="AH770" s="54">
        <f t="shared" si="55"/>
        <v>0</v>
      </c>
      <c r="AI770" s="34" t="s">
        <v>1512</v>
      </c>
      <c r="AJ770" s="54">
        <f t="shared" si="56"/>
        <v>0</v>
      </c>
      <c r="AK770" s="54">
        <f t="shared" si="57"/>
        <v>0</v>
      </c>
      <c r="AL770" s="54">
        <f t="shared" si="58"/>
        <v>0</v>
      </c>
      <c r="AN770" s="54">
        <v>21</v>
      </c>
      <c r="AO770" s="54">
        <f>H770*0</f>
        <v>0</v>
      </c>
      <c r="AP770" s="54">
        <f>H770*(1-0)</f>
        <v>0</v>
      </c>
      <c r="AQ770" s="56" t="s">
        <v>119</v>
      </c>
      <c r="AV770" s="54">
        <f t="shared" si="59"/>
        <v>0</v>
      </c>
      <c r="AW770" s="54">
        <f t="shared" si="60"/>
        <v>0</v>
      </c>
      <c r="AX770" s="54">
        <f t="shared" si="61"/>
        <v>0</v>
      </c>
      <c r="AY770" s="56" t="s">
        <v>1558</v>
      </c>
      <c r="AZ770" s="56" t="s">
        <v>1529</v>
      </c>
      <c r="BA770" s="34" t="s">
        <v>1520</v>
      </c>
      <c r="BC770" s="54">
        <f t="shared" si="62"/>
        <v>0</v>
      </c>
      <c r="BD770" s="54">
        <f t="shared" si="63"/>
        <v>0</v>
      </c>
      <c r="BE770" s="54">
        <v>0</v>
      </c>
      <c r="BF770" s="54">
        <f t="shared" si="64"/>
        <v>0</v>
      </c>
      <c r="BH770" s="54">
        <f t="shared" si="65"/>
        <v>0</v>
      </c>
      <c r="BI770" s="54">
        <f t="shared" si="66"/>
        <v>0</v>
      </c>
      <c r="BJ770" s="54">
        <f t="shared" si="67"/>
        <v>0</v>
      </c>
      <c r="BK770" s="54"/>
      <c r="BL770" s="54"/>
      <c r="BW770" s="54">
        <v>21</v>
      </c>
      <c r="BX770" s="3" t="s">
        <v>1677</v>
      </c>
    </row>
    <row r="771" spans="1:76" ht="14.5" x14ac:dyDescent="0.35">
      <c r="A771" s="1" t="s">
        <v>1909</v>
      </c>
      <c r="B771" s="2" t="s">
        <v>1512</v>
      </c>
      <c r="C771" s="2" t="s">
        <v>1678</v>
      </c>
      <c r="D771" s="155" t="s">
        <v>1679</v>
      </c>
      <c r="E771" s="153"/>
      <c r="F771" s="2" t="s">
        <v>153</v>
      </c>
      <c r="G771" s="54">
        <v>10</v>
      </c>
      <c r="H771" s="84">
        <v>0</v>
      </c>
      <c r="I771" s="54">
        <f t="shared" si="46"/>
        <v>0</v>
      </c>
      <c r="J771" s="54">
        <v>0</v>
      </c>
      <c r="K771" s="54">
        <v>0</v>
      </c>
      <c r="L771" s="54">
        <f t="shared" si="47"/>
        <v>0</v>
      </c>
      <c r="M771" s="55" t="s">
        <v>111</v>
      </c>
      <c r="Z771" s="54">
        <f t="shared" si="48"/>
        <v>0</v>
      </c>
      <c r="AB771" s="54">
        <f t="shared" si="49"/>
        <v>0</v>
      </c>
      <c r="AC771" s="54">
        <f t="shared" si="50"/>
        <v>0</v>
      </c>
      <c r="AD771" s="54">
        <f t="shared" si="51"/>
        <v>0</v>
      </c>
      <c r="AE771" s="54">
        <f t="shared" si="52"/>
        <v>0</v>
      </c>
      <c r="AF771" s="54">
        <f t="shared" si="53"/>
        <v>0</v>
      </c>
      <c r="AG771" s="54">
        <f t="shared" si="54"/>
        <v>0</v>
      </c>
      <c r="AH771" s="54">
        <f t="shared" si="55"/>
        <v>0</v>
      </c>
      <c r="AI771" s="34" t="s">
        <v>1512</v>
      </c>
      <c r="AJ771" s="54">
        <f t="shared" si="56"/>
        <v>0</v>
      </c>
      <c r="AK771" s="54">
        <f t="shared" si="57"/>
        <v>0</v>
      </c>
      <c r="AL771" s="54">
        <f t="shared" si="58"/>
        <v>0</v>
      </c>
      <c r="AN771" s="54">
        <v>21</v>
      </c>
      <c r="AO771" s="54">
        <f>H771*0</f>
        <v>0</v>
      </c>
      <c r="AP771" s="54">
        <f>H771*(1-0)</f>
        <v>0</v>
      </c>
      <c r="AQ771" s="56" t="s">
        <v>119</v>
      </c>
      <c r="AV771" s="54">
        <f t="shared" si="59"/>
        <v>0</v>
      </c>
      <c r="AW771" s="54">
        <f t="shared" si="60"/>
        <v>0</v>
      </c>
      <c r="AX771" s="54">
        <f t="shared" si="61"/>
        <v>0</v>
      </c>
      <c r="AY771" s="56" t="s">
        <v>1558</v>
      </c>
      <c r="AZ771" s="56" t="s">
        <v>1529</v>
      </c>
      <c r="BA771" s="34" t="s">
        <v>1520</v>
      </c>
      <c r="BC771" s="54">
        <f t="shared" si="62"/>
        <v>0</v>
      </c>
      <c r="BD771" s="54">
        <f t="shared" si="63"/>
        <v>0</v>
      </c>
      <c r="BE771" s="54">
        <v>0</v>
      </c>
      <c r="BF771" s="54">
        <f t="shared" si="64"/>
        <v>0</v>
      </c>
      <c r="BH771" s="54">
        <f t="shared" si="65"/>
        <v>0</v>
      </c>
      <c r="BI771" s="54">
        <f t="shared" si="66"/>
        <v>0</v>
      </c>
      <c r="BJ771" s="54">
        <f t="shared" si="67"/>
        <v>0</v>
      </c>
      <c r="BK771" s="54"/>
      <c r="BL771" s="54"/>
      <c r="BW771" s="54">
        <v>21</v>
      </c>
      <c r="BX771" s="3" t="s">
        <v>1679</v>
      </c>
    </row>
    <row r="772" spans="1:76" ht="14.5" x14ac:dyDescent="0.35">
      <c r="A772" s="1" t="s">
        <v>1910</v>
      </c>
      <c r="B772" s="2" t="s">
        <v>1512</v>
      </c>
      <c r="C772" s="2" t="s">
        <v>1680</v>
      </c>
      <c r="D772" s="155" t="s">
        <v>1681</v>
      </c>
      <c r="E772" s="153"/>
      <c r="F772" s="2" t="s">
        <v>153</v>
      </c>
      <c r="G772" s="54">
        <v>310</v>
      </c>
      <c r="H772" s="84">
        <v>0</v>
      </c>
      <c r="I772" s="54">
        <f t="shared" si="46"/>
        <v>0</v>
      </c>
      <c r="J772" s="54">
        <v>0</v>
      </c>
      <c r="K772" s="54">
        <v>0</v>
      </c>
      <c r="L772" s="54">
        <f t="shared" si="47"/>
        <v>0</v>
      </c>
      <c r="M772" s="55" t="s">
        <v>111</v>
      </c>
      <c r="Z772" s="54">
        <f t="shared" si="48"/>
        <v>0</v>
      </c>
      <c r="AB772" s="54">
        <f t="shared" si="49"/>
        <v>0</v>
      </c>
      <c r="AC772" s="54">
        <f t="shared" si="50"/>
        <v>0</v>
      </c>
      <c r="AD772" s="54">
        <f t="shared" si="51"/>
        <v>0</v>
      </c>
      <c r="AE772" s="54">
        <f t="shared" si="52"/>
        <v>0</v>
      </c>
      <c r="AF772" s="54">
        <f t="shared" si="53"/>
        <v>0</v>
      </c>
      <c r="AG772" s="54">
        <f t="shared" si="54"/>
        <v>0</v>
      </c>
      <c r="AH772" s="54">
        <f t="shared" si="55"/>
        <v>0</v>
      </c>
      <c r="AI772" s="34" t="s">
        <v>1512</v>
      </c>
      <c r="AJ772" s="54">
        <f t="shared" si="56"/>
        <v>0</v>
      </c>
      <c r="AK772" s="54">
        <f t="shared" si="57"/>
        <v>0</v>
      </c>
      <c r="AL772" s="54">
        <f t="shared" si="58"/>
        <v>0</v>
      </c>
      <c r="AN772" s="54">
        <v>21</v>
      </c>
      <c r="AO772" s="54">
        <f>H772*0</f>
        <v>0</v>
      </c>
      <c r="AP772" s="54">
        <f>H772*(1-0)</f>
        <v>0</v>
      </c>
      <c r="AQ772" s="56" t="s">
        <v>119</v>
      </c>
      <c r="AV772" s="54">
        <f t="shared" si="59"/>
        <v>0</v>
      </c>
      <c r="AW772" s="54">
        <f t="shared" si="60"/>
        <v>0</v>
      </c>
      <c r="AX772" s="54">
        <f t="shared" si="61"/>
        <v>0</v>
      </c>
      <c r="AY772" s="56" t="s">
        <v>1558</v>
      </c>
      <c r="AZ772" s="56" t="s">
        <v>1529</v>
      </c>
      <c r="BA772" s="34" t="s">
        <v>1520</v>
      </c>
      <c r="BC772" s="54">
        <f t="shared" si="62"/>
        <v>0</v>
      </c>
      <c r="BD772" s="54">
        <f t="shared" si="63"/>
        <v>0</v>
      </c>
      <c r="BE772" s="54">
        <v>0</v>
      </c>
      <c r="BF772" s="54">
        <f t="shared" si="64"/>
        <v>0</v>
      </c>
      <c r="BH772" s="54">
        <f t="shared" si="65"/>
        <v>0</v>
      </c>
      <c r="BI772" s="54">
        <f t="shared" si="66"/>
        <v>0</v>
      </c>
      <c r="BJ772" s="54">
        <f t="shared" si="67"/>
        <v>0</v>
      </c>
      <c r="BK772" s="54"/>
      <c r="BL772" s="54"/>
      <c r="BW772" s="54">
        <v>21</v>
      </c>
      <c r="BX772" s="3" t="s">
        <v>1681</v>
      </c>
    </row>
    <row r="773" spans="1:76" ht="14.5" x14ac:dyDescent="0.35">
      <c r="A773" s="64" t="s">
        <v>1911</v>
      </c>
      <c r="B773" s="65" t="s">
        <v>1512</v>
      </c>
      <c r="C773" s="65" t="s">
        <v>1682</v>
      </c>
      <c r="D773" s="217" t="s">
        <v>1683</v>
      </c>
      <c r="E773" s="218"/>
      <c r="F773" s="65" t="s">
        <v>153</v>
      </c>
      <c r="G773" s="67">
        <v>1750</v>
      </c>
      <c r="H773" s="85">
        <v>0</v>
      </c>
      <c r="I773" s="67">
        <f t="shared" si="46"/>
        <v>0</v>
      </c>
      <c r="J773" s="67">
        <v>1.4999999999999999E-4</v>
      </c>
      <c r="K773" s="67">
        <v>0</v>
      </c>
      <c r="L773" s="67">
        <f t="shared" si="47"/>
        <v>0.26249999999999996</v>
      </c>
      <c r="M773" s="68" t="s">
        <v>111</v>
      </c>
      <c r="Z773" s="54">
        <f t="shared" si="48"/>
        <v>0</v>
      </c>
      <c r="AB773" s="54">
        <f t="shared" si="49"/>
        <v>0</v>
      </c>
      <c r="AC773" s="54">
        <f t="shared" si="50"/>
        <v>0</v>
      </c>
      <c r="AD773" s="54">
        <f t="shared" si="51"/>
        <v>0</v>
      </c>
      <c r="AE773" s="54">
        <f t="shared" si="52"/>
        <v>0</v>
      </c>
      <c r="AF773" s="54">
        <f t="shared" si="53"/>
        <v>0</v>
      </c>
      <c r="AG773" s="54">
        <f t="shared" si="54"/>
        <v>0</v>
      </c>
      <c r="AH773" s="54">
        <f t="shared" si="55"/>
        <v>0</v>
      </c>
      <c r="AI773" s="34" t="s">
        <v>1512</v>
      </c>
      <c r="AJ773" s="67">
        <f t="shared" si="56"/>
        <v>0</v>
      </c>
      <c r="AK773" s="67">
        <f t="shared" si="57"/>
        <v>0</v>
      </c>
      <c r="AL773" s="67">
        <f t="shared" si="58"/>
        <v>0</v>
      </c>
      <c r="AN773" s="54">
        <v>21</v>
      </c>
      <c r="AO773" s="54">
        <f>H773*1</f>
        <v>0</v>
      </c>
      <c r="AP773" s="54">
        <f>H773*(1-1)</f>
        <v>0</v>
      </c>
      <c r="AQ773" s="69" t="s">
        <v>107</v>
      </c>
      <c r="AV773" s="54">
        <f t="shared" si="59"/>
        <v>0</v>
      </c>
      <c r="AW773" s="54">
        <f t="shared" si="60"/>
        <v>0</v>
      </c>
      <c r="AX773" s="54">
        <f t="shared" si="61"/>
        <v>0</v>
      </c>
      <c r="AY773" s="56" t="s">
        <v>1558</v>
      </c>
      <c r="AZ773" s="56" t="s">
        <v>1529</v>
      </c>
      <c r="BA773" s="34" t="s">
        <v>1520</v>
      </c>
      <c r="BC773" s="54">
        <f t="shared" si="62"/>
        <v>0</v>
      </c>
      <c r="BD773" s="54">
        <f t="shared" si="63"/>
        <v>0</v>
      </c>
      <c r="BE773" s="54">
        <v>0</v>
      </c>
      <c r="BF773" s="54">
        <f t="shared" si="64"/>
        <v>0.26249999999999996</v>
      </c>
      <c r="BH773" s="67">
        <f t="shared" si="65"/>
        <v>0</v>
      </c>
      <c r="BI773" s="67">
        <f t="shared" si="66"/>
        <v>0</v>
      </c>
      <c r="BJ773" s="67">
        <f t="shared" si="67"/>
        <v>0</v>
      </c>
      <c r="BK773" s="67"/>
      <c r="BL773" s="54"/>
      <c r="BW773" s="54">
        <v>21</v>
      </c>
      <c r="BX773" s="66" t="s">
        <v>1683</v>
      </c>
    </row>
    <row r="774" spans="1:76" ht="14.5" x14ac:dyDescent="0.35">
      <c r="A774" s="64" t="s">
        <v>1912</v>
      </c>
      <c r="B774" s="65" t="s">
        <v>1512</v>
      </c>
      <c r="C774" s="65" t="s">
        <v>1685</v>
      </c>
      <c r="D774" s="217" t="s">
        <v>1686</v>
      </c>
      <c r="E774" s="218"/>
      <c r="F774" s="65" t="s">
        <v>153</v>
      </c>
      <c r="G774" s="67">
        <v>1200</v>
      </c>
      <c r="H774" s="85">
        <v>0</v>
      </c>
      <c r="I774" s="67">
        <f t="shared" si="46"/>
        <v>0</v>
      </c>
      <c r="J774" s="67">
        <v>2.0000000000000001E-4</v>
      </c>
      <c r="K774" s="67">
        <v>0</v>
      </c>
      <c r="L774" s="67">
        <f t="shared" si="47"/>
        <v>0.24000000000000002</v>
      </c>
      <c r="M774" s="68" t="s">
        <v>111</v>
      </c>
      <c r="Z774" s="54">
        <f t="shared" si="48"/>
        <v>0</v>
      </c>
      <c r="AB774" s="54">
        <f t="shared" si="49"/>
        <v>0</v>
      </c>
      <c r="AC774" s="54">
        <f t="shared" si="50"/>
        <v>0</v>
      </c>
      <c r="AD774" s="54">
        <f t="shared" si="51"/>
        <v>0</v>
      </c>
      <c r="AE774" s="54">
        <f t="shared" si="52"/>
        <v>0</v>
      </c>
      <c r="AF774" s="54">
        <f t="shared" si="53"/>
        <v>0</v>
      </c>
      <c r="AG774" s="54">
        <f t="shared" si="54"/>
        <v>0</v>
      </c>
      <c r="AH774" s="54">
        <f t="shared" si="55"/>
        <v>0</v>
      </c>
      <c r="AI774" s="34" t="s">
        <v>1512</v>
      </c>
      <c r="AJ774" s="67">
        <f t="shared" si="56"/>
        <v>0</v>
      </c>
      <c r="AK774" s="67">
        <f t="shared" si="57"/>
        <v>0</v>
      </c>
      <c r="AL774" s="67">
        <f t="shared" si="58"/>
        <v>0</v>
      </c>
      <c r="AN774" s="54">
        <v>21</v>
      </c>
      <c r="AO774" s="54">
        <f>H774*1</f>
        <v>0</v>
      </c>
      <c r="AP774" s="54">
        <f>H774*(1-1)</f>
        <v>0</v>
      </c>
      <c r="AQ774" s="69" t="s">
        <v>107</v>
      </c>
      <c r="AV774" s="54">
        <f t="shared" si="59"/>
        <v>0</v>
      </c>
      <c r="AW774" s="54">
        <f t="shared" si="60"/>
        <v>0</v>
      </c>
      <c r="AX774" s="54">
        <f t="shared" si="61"/>
        <v>0</v>
      </c>
      <c r="AY774" s="56" t="s">
        <v>1558</v>
      </c>
      <c r="AZ774" s="56" t="s">
        <v>1529</v>
      </c>
      <c r="BA774" s="34" t="s">
        <v>1520</v>
      </c>
      <c r="BC774" s="54">
        <f t="shared" si="62"/>
        <v>0</v>
      </c>
      <c r="BD774" s="54">
        <f t="shared" si="63"/>
        <v>0</v>
      </c>
      <c r="BE774" s="54">
        <v>0</v>
      </c>
      <c r="BF774" s="54">
        <f t="shared" si="64"/>
        <v>0.24000000000000002</v>
      </c>
      <c r="BH774" s="67">
        <f t="shared" si="65"/>
        <v>0</v>
      </c>
      <c r="BI774" s="67">
        <f t="shared" si="66"/>
        <v>0</v>
      </c>
      <c r="BJ774" s="67">
        <f t="shared" si="67"/>
        <v>0</v>
      </c>
      <c r="BK774" s="67"/>
      <c r="BL774" s="54"/>
      <c r="BW774" s="54">
        <v>21</v>
      </c>
      <c r="BX774" s="66" t="s">
        <v>1686</v>
      </c>
    </row>
    <row r="775" spans="1:76" ht="14.5" x14ac:dyDescent="0.35">
      <c r="A775" s="64" t="s">
        <v>1913</v>
      </c>
      <c r="B775" s="65" t="s">
        <v>1512</v>
      </c>
      <c r="C775" s="65" t="s">
        <v>1687</v>
      </c>
      <c r="D775" s="217" t="s">
        <v>1688</v>
      </c>
      <c r="E775" s="218"/>
      <c r="F775" s="65" t="s">
        <v>153</v>
      </c>
      <c r="G775" s="67">
        <v>15</v>
      </c>
      <c r="H775" s="85">
        <v>0</v>
      </c>
      <c r="I775" s="67">
        <f t="shared" si="46"/>
        <v>0</v>
      </c>
      <c r="J775" s="67">
        <v>2.9999999999999997E-4</v>
      </c>
      <c r="K775" s="67">
        <v>0</v>
      </c>
      <c r="L775" s="67">
        <f t="shared" si="47"/>
        <v>4.4999999999999997E-3</v>
      </c>
      <c r="M775" s="68" t="s">
        <v>111</v>
      </c>
      <c r="Z775" s="54">
        <f t="shared" si="48"/>
        <v>0</v>
      </c>
      <c r="AB775" s="54">
        <f t="shared" si="49"/>
        <v>0</v>
      </c>
      <c r="AC775" s="54">
        <f t="shared" si="50"/>
        <v>0</v>
      </c>
      <c r="AD775" s="54">
        <f t="shared" si="51"/>
        <v>0</v>
      </c>
      <c r="AE775" s="54">
        <f t="shared" si="52"/>
        <v>0</v>
      </c>
      <c r="AF775" s="54">
        <f t="shared" si="53"/>
        <v>0</v>
      </c>
      <c r="AG775" s="54">
        <f t="shared" si="54"/>
        <v>0</v>
      </c>
      <c r="AH775" s="54">
        <f t="shared" si="55"/>
        <v>0</v>
      </c>
      <c r="AI775" s="34" t="s">
        <v>1512</v>
      </c>
      <c r="AJ775" s="67">
        <f t="shared" si="56"/>
        <v>0</v>
      </c>
      <c r="AK775" s="67">
        <f t="shared" si="57"/>
        <v>0</v>
      </c>
      <c r="AL775" s="67">
        <f t="shared" si="58"/>
        <v>0</v>
      </c>
      <c r="AN775" s="54">
        <v>21</v>
      </c>
      <c r="AO775" s="54">
        <f>H775*1</f>
        <v>0</v>
      </c>
      <c r="AP775" s="54">
        <f>H775*(1-1)</f>
        <v>0</v>
      </c>
      <c r="AQ775" s="69" t="s">
        <v>107</v>
      </c>
      <c r="AV775" s="54">
        <f t="shared" si="59"/>
        <v>0</v>
      </c>
      <c r="AW775" s="54">
        <f t="shared" si="60"/>
        <v>0</v>
      </c>
      <c r="AX775" s="54">
        <f t="shared" si="61"/>
        <v>0</v>
      </c>
      <c r="AY775" s="56" t="s">
        <v>1558</v>
      </c>
      <c r="AZ775" s="56" t="s">
        <v>1529</v>
      </c>
      <c r="BA775" s="34" t="s">
        <v>1520</v>
      </c>
      <c r="BC775" s="54">
        <f t="shared" si="62"/>
        <v>0</v>
      </c>
      <c r="BD775" s="54">
        <f t="shared" si="63"/>
        <v>0</v>
      </c>
      <c r="BE775" s="54">
        <v>0</v>
      </c>
      <c r="BF775" s="54">
        <f t="shared" si="64"/>
        <v>4.4999999999999997E-3</v>
      </c>
      <c r="BH775" s="67">
        <f t="shared" si="65"/>
        <v>0</v>
      </c>
      <c r="BI775" s="67">
        <f t="shared" si="66"/>
        <v>0</v>
      </c>
      <c r="BJ775" s="67">
        <f t="shared" si="67"/>
        <v>0</v>
      </c>
      <c r="BK775" s="67"/>
      <c r="BL775" s="54"/>
      <c r="BW775" s="54">
        <v>21</v>
      </c>
      <c r="BX775" s="66" t="s">
        <v>1688</v>
      </c>
    </row>
    <row r="776" spans="1:76" ht="14.5" x14ac:dyDescent="0.35">
      <c r="A776" s="64" t="s">
        <v>1914</v>
      </c>
      <c r="B776" s="65" t="s">
        <v>1512</v>
      </c>
      <c r="C776" s="65" t="s">
        <v>1689</v>
      </c>
      <c r="D776" s="217" t="s">
        <v>1690</v>
      </c>
      <c r="E776" s="218"/>
      <c r="F776" s="65" t="s">
        <v>153</v>
      </c>
      <c r="G776" s="67">
        <v>370</v>
      </c>
      <c r="H776" s="85">
        <v>0</v>
      </c>
      <c r="I776" s="67">
        <f t="shared" si="46"/>
        <v>0</v>
      </c>
      <c r="J776" s="67">
        <v>4.0999999999999999E-4</v>
      </c>
      <c r="K776" s="67">
        <v>0</v>
      </c>
      <c r="L776" s="67">
        <f t="shared" si="47"/>
        <v>0.1517</v>
      </c>
      <c r="M776" s="68" t="s">
        <v>111</v>
      </c>
      <c r="Z776" s="54">
        <f t="shared" si="48"/>
        <v>0</v>
      </c>
      <c r="AB776" s="54">
        <f t="shared" si="49"/>
        <v>0</v>
      </c>
      <c r="AC776" s="54">
        <f t="shared" si="50"/>
        <v>0</v>
      </c>
      <c r="AD776" s="54">
        <f t="shared" si="51"/>
        <v>0</v>
      </c>
      <c r="AE776" s="54">
        <f t="shared" si="52"/>
        <v>0</v>
      </c>
      <c r="AF776" s="54">
        <f t="shared" si="53"/>
        <v>0</v>
      </c>
      <c r="AG776" s="54">
        <f t="shared" si="54"/>
        <v>0</v>
      </c>
      <c r="AH776" s="54">
        <f t="shared" si="55"/>
        <v>0</v>
      </c>
      <c r="AI776" s="34" t="s">
        <v>1512</v>
      </c>
      <c r="AJ776" s="67">
        <f t="shared" si="56"/>
        <v>0</v>
      </c>
      <c r="AK776" s="67">
        <f t="shared" si="57"/>
        <v>0</v>
      </c>
      <c r="AL776" s="67">
        <f t="shared" si="58"/>
        <v>0</v>
      </c>
      <c r="AN776" s="54">
        <v>21</v>
      </c>
      <c r="AO776" s="54">
        <f>H776*1</f>
        <v>0</v>
      </c>
      <c r="AP776" s="54">
        <f>H776*(1-1)</f>
        <v>0</v>
      </c>
      <c r="AQ776" s="69" t="s">
        <v>107</v>
      </c>
      <c r="AV776" s="54">
        <f t="shared" si="59"/>
        <v>0</v>
      </c>
      <c r="AW776" s="54">
        <f t="shared" si="60"/>
        <v>0</v>
      </c>
      <c r="AX776" s="54">
        <f t="shared" si="61"/>
        <v>0</v>
      </c>
      <c r="AY776" s="56" t="s">
        <v>1558</v>
      </c>
      <c r="AZ776" s="56" t="s">
        <v>1529</v>
      </c>
      <c r="BA776" s="34" t="s">
        <v>1520</v>
      </c>
      <c r="BC776" s="54">
        <f t="shared" si="62"/>
        <v>0</v>
      </c>
      <c r="BD776" s="54">
        <f t="shared" si="63"/>
        <v>0</v>
      </c>
      <c r="BE776" s="54">
        <v>0</v>
      </c>
      <c r="BF776" s="54">
        <f t="shared" si="64"/>
        <v>0.1517</v>
      </c>
      <c r="BH776" s="67">
        <f t="shared" si="65"/>
        <v>0</v>
      </c>
      <c r="BI776" s="67">
        <f t="shared" si="66"/>
        <v>0</v>
      </c>
      <c r="BJ776" s="67">
        <f t="shared" si="67"/>
        <v>0</v>
      </c>
      <c r="BK776" s="67"/>
      <c r="BL776" s="54"/>
      <c r="BW776" s="54">
        <v>21</v>
      </c>
      <c r="BX776" s="66" t="s">
        <v>1690</v>
      </c>
    </row>
    <row r="777" spans="1:76" ht="14.5" x14ac:dyDescent="0.35">
      <c r="A777" s="64" t="s">
        <v>1915</v>
      </c>
      <c r="B777" s="65" t="s">
        <v>1512</v>
      </c>
      <c r="C777" s="65" t="s">
        <v>1691</v>
      </c>
      <c r="D777" s="217" t="s">
        <v>1692</v>
      </c>
      <c r="E777" s="218"/>
      <c r="F777" s="65" t="s">
        <v>153</v>
      </c>
      <c r="G777" s="67">
        <v>5</v>
      </c>
      <c r="H777" s="85">
        <v>0</v>
      </c>
      <c r="I777" s="67">
        <f t="shared" si="46"/>
        <v>0</v>
      </c>
      <c r="J777" s="67">
        <v>1.9599999999999999E-3</v>
      </c>
      <c r="K777" s="67">
        <v>0</v>
      </c>
      <c r="L777" s="67">
        <f t="shared" si="47"/>
        <v>9.7999999999999997E-3</v>
      </c>
      <c r="M777" s="68" t="s">
        <v>111</v>
      </c>
      <c r="Z777" s="54">
        <f t="shared" si="48"/>
        <v>0</v>
      </c>
      <c r="AB777" s="54">
        <f t="shared" si="49"/>
        <v>0</v>
      </c>
      <c r="AC777" s="54">
        <f t="shared" si="50"/>
        <v>0</v>
      </c>
      <c r="AD777" s="54">
        <f t="shared" si="51"/>
        <v>0</v>
      </c>
      <c r="AE777" s="54">
        <f t="shared" si="52"/>
        <v>0</v>
      </c>
      <c r="AF777" s="54">
        <f t="shared" si="53"/>
        <v>0</v>
      </c>
      <c r="AG777" s="54">
        <f t="shared" si="54"/>
        <v>0</v>
      </c>
      <c r="AH777" s="54">
        <f t="shared" si="55"/>
        <v>0</v>
      </c>
      <c r="AI777" s="34" t="s">
        <v>1512</v>
      </c>
      <c r="AJ777" s="67">
        <f t="shared" si="56"/>
        <v>0</v>
      </c>
      <c r="AK777" s="67">
        <f t="shared" si="57"/>
        <v>0</v>
      </c>
      <c r="AL777" s="67">
        <f t="shared" si="58"/>
        <v>0</v>
      </c>
      <c r="AN777" s="54">
        <v>21</v>
      </c>
      <c r="AO777" s="54">
        <f>H777*1</f>
        <v>0</v>
      </c>
      <c r="AP777" s="54">
        <f>H777*(1-1)</f>
        <v>0</v>
      </c>
      <c r="AQ777" s="69" t="s">
        <v>107</v>
      </c>
      <c r="AV777" s="54">
        <f t="shared" si="59"/>
        <v>0</v>
      </c>
      <c r="AW777" s="54">
        <f t="shared" si="60"/>
        <v>0</v>
      </c>
      <c r="AX777" s="54">
        <f t="shared" si="61"/>
        <v>0</v>
      </c>
      <c r="AY777" s="56" t="s">
        <v>1558</v>
      </c>
      <c r="AZ777" s="56" t="s">
        <v>1529</v>
      </c>
      <c r="BA777" s="34" t="s">
        <v>1520</v>
      </c>
      <c r="BC777" s="54">
        <f t="shared" si="62"/>
        <v>0</v>
      </c>
      <c r="BD777" s="54">
        <f t="shared" si="63"/>
        <v>0</v>
      </c>
      <c r="BE777" s="54">
        <v>0</v>
      </c>
      <c r="BF777" s="54">
        <f t="shared" si="64"/>
        <v>9.7999999999999997E-3</v>
      </c>
      <c r="BH777" s="67">
        <f t="shared" si="65"/>
        <v>0</v>
      </c>
      <c r="BI777" s="67">
        <f t="shared" si="66"/>
        <v>0</v>
      </c>
      <c r="BJ777" s="67">
        <f t="shared" si="67"/>
        <v>0</v>
      </c>
      <c r="BK777" s="67"/>
      <c r="BL777" s="54"/>
      <c r="BW777" s="54">
        <v>21</v>
      </c>
      <c r="BX777" s="66" t="s">
        <v>1692</v>
      </c>
    </row>
    <row r="778" spans="1:76" ht="25" x14ac:dyDescent="0.35">
      <c r="A778" s="1" t="s">
        <v>1916</v>
      </c>
      <c r="B778" s="2" t="s">
        <v>1512</v>
      </c>
      <c r="C778" s="2" t="s">
        <v>1694</v>
      </c>
      <c r="D778" s="155" t="s">
        <v>1695</v>
      </c>
      <c r="E778" s="153"/>
      <c r="F778" s="2" t="s">
        <v>153</v>
      </c>
      <c r="G778" s="54">
        <v>80</v>
      </c>
      <c r="H778" s="84">
        <v>0</v>
      </c>
      <c r="I778" s="54">
        <f t="shared" si="46"/>
        <v>0</v>
      </c>
      <c r="J778" s="54">
        <v>1.0300000000000001E-3</v>
      </c>
      <c r="K778" s="54">
        <v>0</v>
      </c>
      <c r="L778" s="54">
        <f t="shared" si="47"/>
        <v>8.2400000000000001E-2</v>
      </c>
      <c r="M778" s="55" t="s">
        <v>10</v>
      </c>
      <c r="Z778" s="54">
        <f t="shared" si="48"/>
        <v>0</v>
      </c>
      <c r="AB778" s="54">
        <f t="shared" si="49"/>
        <v>0</v>
      </c>
      <c r="AC778" s="54">
        <f t="shared" si="50"/>
        <v>0</v>
      </c>
      <c r="AD778" s="54">
        <f t="shared" si="51"/>
        <v>0</v>
      </c>
      <c r="AE778" s="54">
        <f t="shared" si="52"/>
        <v>0</v>
      </c>
      <c r="AF778" s="54">
        <f t="shared" si="53"/>
        <v>0</v>
      </c>
      <c r="AG778" s="54">
        <f t="shared" si="54"/>
        <v>0</v>
      </c>
      <c r="AH778" s="54">
        <f t="shared" si="55"/>
        <v>0</v>
      </c>
      <c r="AI778" s="34" t="s">
        <v>1512</v>
      </c>
      <c r="AJ778" s="54">
        <f t="shared" si="56"/>
        <v>0</v>
      </c>
      <c r="AK778" s="54">
        <f t="shared" si="57"/>
        <v>0</v>
      </c>
      <c r="AL778" s="54">
        <f t="shared" si="58"/>
        <v>0</v>
      </c>
      <c r="AN778" s="54">
        <v>21</v>
      </c>
      <c r="AO778" s="54">
        <f>H778*0.686522496</f>
        <v>0</v>
      </c>
      <c r="AP778" s="54">
        <f>H778*(1-0.686522496)</f>
        <v>0</v>
      </c>
      <c r="AQ778" s="56" t="s">
        <v>119</v>
      </c>
      <c r="AV778" s="54">
        <f t="shared" si="59"/>
        <v>0</v>
      </c>
      <c r="AW778" s="54">
        <f t="shared" si="60"/>
        <v>0</v>
      </c>
      <c r="AX778" s="54">
        <f t="shared" si="61"/>
        <v>0</v>
      </c>
      <c r="AY778" s="56" t="s">
        <v>1558</v>
      </c>
      <c r="AZ778" s="56" t="s">
        <v>1529</v>
      </c>
      <c r="BA778" s="34" t="s">
        <v>1520</v>
      </c>
      <c r="BC778" s="54">
        <f t="shared" si="62"/>
        <v>0</v>
      </c>
      <c r="BD778" s="54">
        <f t="shared" si="63"/>
        <v>0</v>
      </c>
      <c r="BE778" s="54">
        <v>0</v>
      </c>
      <c r="BF778" s="54">
        <f t="shared" si="64"/>
        <v>8.2400000000000001E-2</v>
      </c>
      <c r="BH778" s="54">
        <f t="shared" si="65"/>
        <v>0</v>
      </c>
      <c r="BI778" s="54">
        <f t="shared" si="66"/>
        <v>0</v>
      </c>
      <c r="BJ778" s="54">
        <f t="shared" si="67"/>
        <v>0</v>
      </c>
      <c r="BK778" s="54"/>
      <c r="BL778" s="54"/>
      <c r="BW778" s="54">
        <v>21</v>
      </c>
      <c r="BX778" s="3" t="s">
        <v>1695</v>
      </c>
    </row>
    <row r="779" spans="1:76" ht="14.5" x14ac:dyDescent="0.35">
      <c r="A779" s="64" t="s">
        <v>1917</v>
      </c>
      <c r="B779" s="65" t="s">
        <v>1512</v>
      </c>
      <c r="C779" s="65" t="s">
        <v>1696</v>
      </c>
      <c r="D779" s="217" t="s">
        <v>1697</v>
      </c>
      <c r="E779" s="218"/>
      <c r="F779" s="65" t="s">
        <v>196</v>
      </c>
      <c r="G779" s="67">
        <v>82</v>
      </c>
      <c r="H779" s="85">
        <v>0</v>
      </c>
      <c r="I779" s="67">
        <f t="shared" si="46"/>
        <v>0</v>
      </c>
      <c r="J779" s="67">
        <v>2.3700000000000001E-3</v>
      </c>
      <c r="K779" s="67">
        <v>0</v>
      </c>
      <c r="L779" s="67">
        <f t="shared" si="47"/>
        <v>0.19434000000000001</v>
      </c>
      <c r="M779" s="68" t="s">
        <v>111</v>
      </c>
      <c r="Z779" s="54">
        <f t="shared" si="48"/>
        <v>0</v>
      </c>
      <c r="AB779" s="54">
        <f t="shared" si="49"/>
        <v>0</v>
      </c>
      <c r="AC779" s="54">
        <f t="shared" si="50"/>
        <v>0</v>
      </c>
      <c r="AD779" s="54">
        <f t="shared" si="51"/>
        <v>0</v>
      </c>
      <c r="AE779" s="54">
        <f t="shared" si="52"/>
        <v>0</v>
      </c>
      <c r="AF779" s="54">
        <f t="shared" si="53"/>
        <v>0</v>
      </c>
      <c r="AG779" s="54">
        <f t="shared" si="54"/>
        <v>0</v>
      </c>
      <c r="AH779" s="54">
        <f t="shared" si="55"/>
        <v>0</v>
      </c>
      <c r="AI779" s="34" t="s">
        <v>1512</v>
      </c>
      <c r="AJ779" s="67">
        <f t="shared" si="56"/>
        <v>0</v>
      </c>
      <c r="AK779" s="67">
        <f t="shared" si="57"/>
        <v>0</v>
      </c>
      <c r="AL779" s="67">
        <f t="shared" si="58"/>
        <v>0</v>
      </c>
      <c r="AN779" s="54">
        <v>21</v>
      </c>
      <c r="AO779" s="54">
        <f>H779*1</f>
        <v>0</v>
      </c>
      <c r="AP779" s="54">
        <f>H779*(1-1)</f>
        <v>0</v>
      </c>
      <c r="AQ779" s="69" t="s">
        <v>107</v>
      </c>
      <c r="AV779" s="54">
        <f t="shared" si="59"/>
        <v>0</v>
      </c>
      <c r="AW779" s="54">
        <f t="shared" si="60"/>
        <v>0</v>
      </c>
      <c r="AX779" s="54">
        <f t="shared" si="61"/>
        <v>0</v>
      </c>
      <c r="AY779" s="56" t="s">
        <v>1558</v>
      </c>
      <c r="AZ779" s="56" t="s">
        <v>1529</v>
      </c>
      <c r="BA779" s="34" t="s">
        <v>1520</v>
      </c>
      <c r="BC779" s="54">
        <f t="shared" si="62"/>
        <v>0</v>
      </c>
      <c r="BD779" s="54">
        <f t="shared" si="63"/>
        <v>0</v>
      </c>
      <c r="BE779" s="54">
        <v>0</v>
      </c>
      <c r="BF779" s="54">
        <f t="shared" si="64"/>
        <v>0.19434000000000001</v>
      </c>
      <c r="BH779" s="67">
        <f t="shared" si="65"/>
        <v>0</v>
      </c>
      <c r="BI779" s="67">
        <f t="shared" si="66"/>
        <v>0</v>
      </c>
      <c r="BJ779" s="67">
        <f t="shared" si="67"/>
        <v>0</v>
      </c>
      <c r="BK779" s="67"/>
      <c r="BL779" s="54"/>
      <c r="BW779" s="54">
        <v>21</v>
      </c>
      <c r="BX779" s="66" t="s">
        <v>1697</v>
      </c>
    </row>
    <row r="780" spans="1:76" ht="14.5" x14ac:dyDescent="0.35">
      <c r="A780" s="64" t="s">
        <v>1918</v>
      </c>
      <c r="B780" s="65" t="s">
        <v>1512</v>
      </c>
      <c r="C780" s="65" t="s">
        <v>1699</v>
      </c>
      <c r="D780" s="217" t="s">
        <v>1700</v>
      </c>
      <c r="E780" s="218"/>
      <c r="F780" s="65" t="s">
        <v>153</v>
      </c>
      <c r="G780" s="67">
        <v>10</v>
      </c>
      <c r="H780" s="85">
        <v>0</v>
      </c>
      <c r="I780" s="67">
        <f t="shared" si="46"/>
        <v>0</v>
      </c>
      <c r="J780" s="67">
        <v>4.0000000000000003E-5</v>
      </c>
      <c r="K780" s="67">
        <v>0</v>
      </c>
      <c r="L780" s="67">
        <f t="shared" si="47"/>
        <v>4.0000000000000002E-4</v>
      </c>
      <c r="M780" s="68" t="s">
        <v>111</v>
      </c>
      <c r="Z780" s="54">
        <f t="shared" si="48"/>
        <v>0</v>
      </c>
      <c r="AB780" s="54">
        <f t="shared" si="49"/>
        <v>0</v>
      </c>
      <c r="AC780" s="54">
        <f t="shared" si="50"/>
        <v>0</v>
      </c>
      <c r="AD780" s="54">
        <f t="shared" si="51"/>
        <v>0</v>
      </c>
      <c r="AE780" s="54">
        <f t="shared" si="52"/>
        <v>0</v>
      </c>
      <c r="AF780" s="54">
        <f t="shared" si="53"/>
        <v>0</v>
      </c>
      <c r="AG780" s="54">
        <f t="shared" si="54"/>
        <v>0</v>
      </c>
      <c r="AH780" s="54">
        <f t="shared" si="55"/>
        <v>0</v>
      </c>
      <c r="AI780" s="34" t="s">
        <v>1512</v>
      </c>
      <c r="AJ780" s="67">
        <f t="shared" si="56"/>
        <v>0</v>
      </c>
      <c r="AK780" s="67">
        <f t="shared" si="57"/>
        <v>0</v>
      </c>
      <c r="AL780" s="67">
        <f t="shared" si="58"/>
        <v>0</v>
      </c>
      <c r="AN780" s="54">
        <v>21</v>
      </c>
      <c r="AO780" s="54">
        <f>H780*1</f>
        <v>0</v>
      </c>
      <c r="AP780" s="54">
        <f>H780*(1-1)</f>
        <v>0</v>
      </c>
      <c r="AQ780" s="69" t="s">
        <v>107</v>
      </c>
      <c r="AV780" s="54">
        <f t="shared" si="59"/>
        <v>0</v>
      </c>
      <c r="AW780" s="54">
        <f t="shared" si="60"/>
        <v>0</v>
      </c>
      <c r="AX780" s="54">
        <f t="shared" si="61"/>
        <v>0</v>
      </c>
      <c r="AY780" s="56" t="s">
        <v>1558</v>
      </c>
      <c r="AZ780" s="56" t="s">
        <v>1529</v>
      </c>
      <c r="BA780" s="34" t="s">
        <v>1520</v>
      </c>
      <c r="BC780" s="54">
        <f t="shared" si="62"/>
        <v>0</v>
      </c>
      <c r="BD780" s="54">
        <f t="shared" si="63"/>
        <v>0</v>
      </c>
      <c r="BE780" s="54">
        <v>0</v>
      </c>
      <c r="BF780" s="54">
        <f t="shared" si="64"/>
        <v>4.0000000000000002E-4</v>
      </c>
      <c r="BH780" s="67">
        <f t="shared" si="65"/>
        <v>0</v>
      </c>
      <c r="BI780" s="67">
        <f t="shared" si="66"/>
        <v>0</v>
      </c>
      <c r="BJ780" s="67">
        <f t="shared" si="67"/>
        <v>0</v>
      </c>
      <c r="BK780" s="67"/>
      <c r="BL780" s="54"/>
      <c r="BW780" s="54">
        <v>21</v>
      </c>
      <c r="BX780" s="66" t="s">
        <v>1700</v>
      </c>
    </row>
    <row r="781" spans="1:76" ht="14.5" x14ac:dyDescent="0.35">
      <c r="A781" s="64" t="s">
        <v>1919</v>
      </c>
      <c r="B781" s="65" t="s">
        <v>1512</v>
      </c>
      <c r="C781" s="65" t="s">
        <v>1701</v>
      </c>
      <c r="D781" s="217" t="s">
        <v>1702</v>
      </c>
      <c r="E781" s="218"/>
      <c r="F781" s="65" t="s">
        <v>196</v>
      </c>
      <c r="G781" s="67">
        <v>120</v>
      </c>
      <c r="H781" s="85">
        <v>0</v>
      </c>
      <c r="I781" s="67">
        <f t="shared" si="46"/>
        <v>0</v>
      </c>
      <c r="J781" s="67">
        <v>2.5000000000000001E-4</v>
      </c>
      <c r="K781" s="67">
        <v>0</v>
      </c>
      <c r="L781" s="67">
        <f t="shared" si="47"/>
        <v>0.03</v>
      </c>
      <c r="M781" s="68" t="s">
        <v>111</v>
      </c>
      <c r="Z781" s="54">
        <f t="shared" si="48"/>
        <v>0</v>
      </c>
      <c r="AB781" s="54">
        <f t="shared" si="49"/>
        <v>0</v>
      </c>
      <c r="AC781" s="54">
        <f t="shared" si="50"/>
        <v>0</v>
      </c>
      <c r="AD781" s="54">
        <f t="shared" si="51"/>
        <v>0</v>
      </c>
      <c r="AE781" s="54">
        <f t="shared" si="52"/>
        <v>0</v>
      </c>
      <c r="AF781" s="54">
        <f t="shared" si="53"/>
        <v>0</v>
      </c>
      <c r="AG781" s="54">
        <f t="shared" si="54"/>
        <v>0</v>
      </c>
      <c r="AH781" s="54">
        <f t="shared" si="55"/>
        <v>0</v>
      </c>
      <c r="AI781" s="34" t="s">
        <v>1512</v>
      </c>
      <c r="AJ781" s="67">
        <f t="shared" si="56"/>
        <v>0</v>
      </c>
      <c r="AK781" s="67">
        <f t="shared" si="57"/>
        <v>0</v>
      </c>
      <c r="AL781" s="67">
        <f t="shared" si="58"/>
        <v>0</v>
      </c>
      <c r="AN781" s="54">
        <v>21</v>
      </c>
      <c r="AO781" s="54">
        <f>H781*1</f>
        <v>0</v>
      </c>
      <c r="AP781" s="54">
        <f>H781*(1-1)</f>
        <v>0</v>
      </c>
      <c r="AQ781" s="69" t="s">
        <v>107</v>
      </c>
      <c r="AV781" s="54">
        <f t="shared" si="59"/>
        <v>0</v>
      </c>
      <c r="AW781" s="54">
        <f t="shared" si="60"/>
        <v>0</v>
      </c>
      <c r="AX781" s="54">
        <f t="shared" si="61"/>
        <v>0</v>
      </c>
      <c r="AY781" s="56" t="s">
        <v>1558</v>
      </c>
      <c r="AZ781" s="56" t="s">
        <v>1529</v>
      </c>
      <c r="BA781" s="34" t="s">
        <v>1520</v>
      </c>
      <c r="BC781" s="54">
        <f t="shared" si="62"/>
        <v>0</v>
      </c>
      <c r="BD781" s="54">
        <f t="shared" si="63"/>
        <v>0</v>
      </c>
      <c r="BE781" s="54">
        <v>0</v>
      </c>
      <c r="BF781" s="54">
        <f t="shared" si="64"/>
        <v>0.03</v>
      </c>
      <c r="BH781" s="67">
        <f t="shared" si="65"/>
        <v>0</v>
      </c>
      <c r="BI781" s="67">
        <f t="shared" si="66"/>
        <v>0</v>
      </c>
      <c r="BJ781" s="67">
        <f t="shared" si="67"/>
        <v>0</v>
      </c>
      <c r="BK781" s="67"/>
      <c r="BL781" s="54"/>
      <c r="BW781" s="54">
        <v>21</v>
      </c>
      <c r="BX781" s="66" t="s">
        <v>1702</v>
      </c>
    </row>
    <row r="782" spans="1:76" ht="25" x14ac:dyDescent="0.35">
      <c r="A782" s="64" t="s">
        <v>1920</v>
      </c>
      <c r="B782" s="65" t="s">
        <v>1512</v>
      </c>
      <c r="C782" s="65" t="s">
        <v>1703</v>
      </c>
      <c r="D782" s="217" t="s">
        <v>1704</v>
      </c>
      <c r="E782" s="218"/>
      <c r="F782" s="65" t="s">
        <v>196</v>
      </c>
      <c r="G782" s="67">
        <v>1</v>
      </c>
      <c r="H782" s="85">
        <v>0</v>
      </c>
      <c r="I782" s="67">
        <f t="shared" si="46"/>
        <v>0</v>
      </c>
      <c r="J782" s="67">
        <v>0</v>
      </c>
      <c r="K782" s="67">
        <v>0</v>
      </c>
      <c r="L782" s="67">
        <f t="shared" si="47"/>
        <v>0</v>
      </c>
      <c r="M782" s="68" t="s">
        <v>616</v>
      </c>
      <c r="Z782" s="54">
        <f t="shared" si="48"/>
        <v>0</v>
      </c>
      <c r="AB782" s="54">
        <f t="shared" si="49"/>
        <v>0</v>
      </c>
      <c r="AC782" s="54">
        <f t="shared" si="50"/>
        <v>0</v>
      </c>
      <c r="AD782" s="54">
        <f t="shared" si="51"/>
        <v>0</v>
      </c>
      <c r="AE782" s="54">
        <f t="shared" si="52"/>
        <v>0</v>
      </c>
      <c r="AF782" s="54">
        <f t="shared" si="53"/>
        <v>0</v>
      </c>
      <c r="AG782" s="54">
        <f t="shared" si="54"/>
        <v>0</v>
      </c>
      <c r="AH782" s="54">
        <f t="shared" si="55"/>
        <v>0</v>
      </c>
      <c r="AI782" s="34" t="s">
        <v>1512</v>
      </c>
      <c r="AJ782" s="67">
        <f t="shared" si="56"/>
        <v>0</v>
      </c>
      <c r="AK782" s="67">
        <f t="shared" si="57"/>
        <v>0</v>
      </c>
      <c r="AL782" s="67">
        <f t="shared" si="58"/>
        <v>0</v>
      </c>
      <c r="AN782" s="54">
        <v>21</v>
      </c>
      <c r="AO782" s="54">
        <f>H782*1</f>
        <v>0</v>
      </c>
      <c r="AP782" s="54">
        <f>H782*(1-1)</f>
        <v>0</v>
      </c>
      <c r="AQ782" s="69" t="s">
        <v>107</v>
      </c>
      <c r="AV782" s="54">
        <f t="shared" si="59"/>
        <v>0</v>
      </c>
      <c r="AW782" s="54">
        <f t="shared" si="60"/>
        <v>0</v>
      </c>
      <c r="AX782" s="54">
        <f t="shared" si="61"/>
        <v>0</v>
      </c>
      <c r="AY782" s="56" t="s">
        <v>1558</v>
      </c>
      <c r="AZ782" s="56" t="s">
        <v>1529</v>
      </c>
      <c r="BA782" s="34" t="s">
        <v>1520</v>
      </c>
      <c r="BC782" s="54">
        <f t="shared" si="62"/>
        <v>0</v>
      </c>
      <c r="BD782" s="54">
        <f t="shared" si="63"/>
        <v>0</v>
      </c>
      <c r="BE782" s="54">
        <v>0</v>
      </c>
      <c r="BF782" s="54">
        <f t="shared" si="64"/>
        <v>0</v>
      </c>
      <c r="BH782" s="67">
        <f t="shared" si="65"/>
        <v>0</v>
      </c>
      <c r="BI782" s="67">
        <f t="shared" si="66"/>
        <v>0</v>
      </c>
      <c r="BJ782" s="67">
        <f t="shared" si="67"/>
        <v>0</v>
      </c>
      <c r="BK782" s="67"/>
      <c r="BL782" s="54"/>
      <c r="BW782" s="54">
        <v>21</v>
      </c>
      <c r="BX782" s="66" t="s">
        <v>1704</v>
      </c>
    </row>
    <row r="783" spans="1:76" ht="14.5" x14ac:dyDescent="0.35">
      <c r="A783" s="57"/>
      <c r="D783" s="58" t="s">
        <v>629</v>
      </c>
      <c r="E783" s="59" t="s">
        <v>1706</v>
      </c>
      <c r="G783" s="60">
        <v>1</v>
      </c>
      <c r="M783" s="61"/>
    </row>
    <row r="784" spans="1:76" ht="14.5" x14ac:dyDescent="0.35">
      <c r="A784" s="1" t="s">
        <v>1921</v>
      </c>
      <c r="B784" s="2" t="s">
        <v>1512</v>
      </c>
      <c r="C784" s="2" t="s">
        <v>1708</v>
      </c>
      <c r="D784" s="155" t="s">
        <v>1709</v>
      </c>
      <c r="E784" s="153"/>
      <c r="F784" s="2" t="s">
        <v>196</v>
      </c>
      <c r="G784" s="54">
        <v>7</v>
      </c>
      <c r="H784" s="84">
        <v>0</v>
      </c>
      <c r="I784" s="54">
        <f>G784*H784</f>
        <v>0</v>
      </c>
      <c r="J784" s="54">
        <v>0</v>
      </c>
      <c r="K784" s="54">
        <v>0</v>
      </c>
      <c r="L784" s="54">
        <f>G784*J784</f>
        <v>0</v>
      </c>
      <c r="M784" s="55" t="s">
        <v>111</v>
      </c>
      <c r="Z784" s="54">
        <f>IF(AQ784="5",BJ784,0)</f>
        <v>0</v>
      </c>
      <c r="AB784" s="54">
        <f>IF(AQ784="1",BH784,0)</f>
        <v>0</v>
      </c>
      <c r="AC784" s="54">
        <f>IF(AQ784="1",BI784,0)</f>
        <v>0</v>
      </c>
      <c r="AD784" s="54">
        <f>IF(AQ784="7",BH784,0)</f>
        <v>0</v>
      </c>
      <c r="AE784" s="54">
        <f>IF(AQ784="7",BI784,0)</f>
        <v>0</v>
      </c>
      <c r="AF784" s="54">
        <f>IF(AQ784="2",BH784,0)</f>
        <v>0</v>
      </c>
      <c r="AG784" s="54">
        <f>IF(AQ784="2",BI784,0)</f>
        <v>0</v>
      </c>
      <c r="AH784" s="54">
        <f>IF(AQ784="0",BJ784,0)</f>
        <v>0</v>
      </c>
      <c r="AI784" s="34" t="s">
        <v>1512</v>
      </c>
      <c r="AJ784" s="54">
        <f>IF(AN784=0,I784,0)</f>
        <v>0</v>
      </c>
      <c r="AK784" s="54">
        <f>IF(AN784=12,I784,0)</f>
        <v>0</v>
      </c>
      <c r="AL784" s="54">
        <f>IF(AN784=21,I784,0)</f>
        <v>0</v>
      </c>
      <c r="AN784" s="54">
        <v>21</v>
      </c>
      <c r="AO784" s="54">
        <f>H784*0</f>
        <v>0</v>
      </c>
      <c r="AP784" s="54">
        <f>H784*(1-0)</f>
        <v>0</v>
      </c>
      <c r="AQ784" s="56" t="s">
        <v>119</v>
      </c>
      <c r="AV784" s="54">
        <f>AW784+AX784</f>
        <v>0</v>
      </c>
      <c r="AW784" s="54">
        <f>G784*AO784</f>
        <v>0</v>
      </c>
      <c r="AX784" s="54">
        <f>G784*AP784</f>
        <v>0</v>
      </c>
      <c r="AY784" s="56" t="s">
        <v>1558</v>
      </c>
      <c r="AZ784" s="56" t="s">
        <v>1529</v>
      </c>
      <c r="BA784" s="34" t="s">
        <v>1520</v>
      </c>
      <c r="BC784" s="54">
        <f>AW784+AX784</f>
        <v>0</v>
      </c>
      <c r="BD784" s="54">
        <f>H784/(100-BE784)*100</f>
        <v>0</v>
      </c>
      <c r="BE784" s="54">
        <v>0</v>
      </c>
      <c r="BF784" s="54">
        <f>L784</f>
        <v>0</v>
      </c>
      <c r="BH784" s="54">
        <f>G784*AO784</f>
        <v>0</v>
      </c>
      <c r="BI784" s="54">
        <f>G784*AP784</f>
        <v>0</v>
      </c>
      <c r="BJ784" s="54">
        <f>G784*H784</f>
        <v>0</v>
      </c>
      <c r="BK784" s="54"/>
      <c r="BL784" s="54"/>
      <c r="BW784" s="54">
        <v>21</v>
      </c>
      <c r="BX784" s="3" t="s">
        <v>1709</v>
      </c>
    </row>
    <row r="785" spans="1:76" ht="14.5" x14ac:dyDescent="0.35">
      <c r="A785" s="57"/>
      <c r="D785" s="58" t="s">
        <v>126</v>
      </c>
      <c r="E785" s="59" t="s">
        <v>1711</v>
      </c>
      <c r="G785" s="60">
        <v>3</v>
      </c>
      <c r="M785" s="61"/>
    </row>
    <row r="786" spans="1:76" ht="14.5" x14ac:dyDescent="0.35">
      <c r="A786" s="57"/>
      <c r="D786" s="58" t="s">
        <v>144</v>
      </c>
      <c r="E786" s="59" t="s">
        <v>1712</v>
      </c>
      <c r="G786" s="60">
        <v>4</v>
      </c>
      <c r="M786" s="61"/>
    </row>
    <row r="787" spans="1:76" ht="14.5" x14ac:dyDescent="0.35">
      <c r="A787" s="1" t="s">
        <v>1922</v>
      </c>
      <c r="B787" s="2" t="s">
        <v>1512</v>
      </c>
      <c r="C787" s="2" t="s">
        <v>1713</v>
      </c>
      <c r="D787" s="155" t="s">
        <v>1714</v>
      </c>
      <c r="E787" s="153"/>
      <c r="F787" s="2" t="s">
        <v>481</v>
      </c>
      <c r="G787" s="54">
        <v>7</v>
      </c>
      <c r="H787" s="84">
        <v>0</v>
      </c>
      <c r="I787" s="54">
        <f>G787*H787</f>
        <v>0</v>
      </c>
      <c r="J787" s="54">
        <v>0</v>
      </c>
      <c r="K787" s="54">
        <v>0</v>
      </c>
      <c r="L787" s="54">
        <f>G787*J787</f>
        <v>0</v>
      </c>
      <c r="M787" s="55" t="s">
        <v>10</v>
      </c>
      <c r="Z787" s="54">
        <f>IF(AQ787="5",BJ787,0)</f>
        <v>0</v>
      </c>
      <c r="AB787" s="54">
        <f>IF(AQ787="1",BH787,0)</f>
        <v>0</v>
      </c>
      <c r="AC787" s="54">
        <f>IF(AQ787="1",BI787,0)</f>
        <v>0</v>
      </c>
      <c r="AD787" s="54">
        <f>IF(AQ787="7",BH787,0)</f>
        <v>0</v>
      </c>
      <c r="AE787" s="54">
        <f>IF(AQ787="7",BI787,0)</f>
        <v>0</v>
      </c>
      <c r="AF787" s="54">
        <f>IF(AQ787="2",BH787,0)</f>
        <v>0</v>
      </c>
      <c r="AG787" s="54">
        <f>IF(AQ787="2",BI787,0)</f>
        <v>0</v>
      </c>
      <c r="AH787" s="54">
        <f>IF(AQ787="0",BJ787,0)</f>
        <v>0</v>
      </c>
      <c r="AI787" s="34" t="s">
        <v>1512</v>
      </c>
      <c r="AJ787" s="54">
        <f>IF(AN787=0,I787,0)</f>
        <v>0</v>
      </c>
      <c r="AK787" s="54">
        <f>IF(AN787=12,I787,0)</f>
        <v>0</v>
      </c>
      <c r="AL787" s="54">
        <f>IF(AN787=21,I787,0)</f>
        <v>0</v>
      </c>
      <c r="AN787" s="54">
        <v>21</v>
      </c>
      <c r="AO787" s="54">
        <f>H787*0.65</f>
        <v>0</v>
      </c>
      <c r="AP787" s="54">
        <f>H787*(1-0.65)</f>
        <v>0</v>
      </c>
      <c r="AQ787" s="56" t="s">
        <v>107</v>
      </c>
      <c r="AV787" s="54">
        <f>AW787+AX787</f>
        <v>0</v>
      </c>
      <c r="AW787" s="54">
        <f>G787*AO787</f>
        <v>0</v>
      </c>
      <c r="AX787" s="54">
        <f>G787*AP787</f>
        <v>0</v>
      </c>
      <c r="AY787" s="56" t="s">
        <v>1558</v>
      </c>
      <c r="AZ787" s="56" t="s">
        <v>1529</v>
      </c>
      <c r="BA787" s="34" t="s">
        <v>1520</v>
      </c>
      <c r="BC787" s="54">
        <f>AW787+AX787</f>
        <v>0</v>
      </c>
      <c r="BD787" s="54">
        <f>H787/(100-BE787)*100</f>
        <v>0</v>
      </c>
      <c r="BE787" s="54">
        <v>0</v>
      </c>
      <c r="BF787" s="54">
        <f>L787</f>
        <v>0</v>
      </c>
      <c r="BH787" s="54">
        <f>G787*AO787</f>
        <v>0</v>
      </c>
      <c r="BI787" s="54">
        <f>G787*AP787</f>
        <v>0</v>
      </c>
      <c r="BJ787" s="54">
        <f>G787*H787</f>
        <v>0</v>
      </c>
      <c r="BK787" s="54"/>
      <c r="BL787" s="54"/>
      <c r="BW787" s="54">
        <v>21</v>
      </c>
      <c r="BX787" s="3" t="s">
        <v>1714</v>
      </c>
    </row>
    <row r="788" spans="1:76" ht="14.5" x14ac:dyDescent="0.35">
      <c r="A788" s="57"/>
      <c r="D788" s="58" t="s">
        <v>144</v>
      </c>
      <c r="E788" s="59" t="s">
        <v>1711</v>
      </c>
      <c r="G788" s="60">
        <v>4</v>
      </c>
      <c r="M788" s="61"/>
    </row>
    <row r="789" spans="1:76" ht="14.5" x14ac:dyDescent="0.35">
      <c r="A789" s="57"/>
      <c r="D789" s="58" t="s">
        <v>126</v>
      </c>
      <c r="E789" s="59" t="s">
        <v>1712</v>
      </c>
      <c r="G789" s="60">
        <v>3</v>
      </c>
      <c r="M789" s="61"/>
    </row>
    <row r="790" spans="1:76" ht="14.5" x14ac:dyDescent="0.35">
      <c r="A790" s="50" t="s">
        <v>10</v>
      </c>
      <c r="B790" s="51" t="s">
        <v>1512</v>
      </c>
      <c r="C790" s="51" t="s">
        <v>1716</v>
      </c>
      <c r="D790" s="206" t="s">
        <v>1717</v>
      </c>
      <c r="E790" s="207"/>
      <c r="F790" s="52" t="s">
        <v>84</v>
      </c>
      <c r="G790" s="52" t="s">
        <v>84</v>
      </c>
      <c r="H790" s="83" t="s">
        <v>84</v>
      </c>
      <c r="I790" s="27">
        <f>SUM(I791:I799)</f>
        <v>0</v>
      </c>
      <c r="J790" s="34" t="s">
        <v>10</v>
      </c>
      <c r="K790" s="34" t="s">
        <v>10</v>
      </c>
      <c r="L790" s="27">
        <f>SUM(L791:L799)</f>
        <v>2.2409999999999999E-2</v>
      </c>
      <c r="M790" s="53" t="s">
        <v>10</v>
      </c>
      <c r="AI790" s="34" t="s">
        <v>1512</v>
      </c>
      <c r="AS790" s="27">
        <f>SUM(AJ791:AJ799)</f>
        <v>0</v>
      </c>
      <c r="AT790" s="27">
        <f>SUM(AK791:AK799)</f>
        <v>0</v>
      </c>
      <c r="AU790" s="27">
        <f>SUM(AL791:AL799)</f>
        <v>0</v>
      </c>
    </row>
    <row r="791" spans="1:76" ht="14.5" x14ac:dyDescent="0.35">
      <c r="A791" s="1" t="s">
        <v>1923</v>
      </c>
      <c r="B791" s="2" t="s">
        <v>1512</v>
      </c>
      <c r="C791" s="2" t="s">
        <v>1718</v>
      </c>
      <c r="D791" s="155" t="s">
        <v>1719</v>
      </c>
      <c r="E791" s="153"/>
      <c r="F791" s="2" t="s">
        <v>196</v>
      </c>
      <c r="G791" s="54">
        <v>6</v>
      </c>
      <c r="H791" s="84">
        <v>0</v>
      </c>
      <c r="I791" s="54">
        <f t="shared" ref="I791:I799" si="68">G791*H791</f>
        <v>0</v>
      </c>
      <c r="J791" s="54">
        <v>0</v>
      </c>
      <c r="K791" s="54">
        <v>0</v>
      </c>
      <c r="L791" s="54">
        <f t="shared" ref="L791:L799" si="69">G791*J791</f>
        <v>0</v>
      </c>
      <c r="M791" s="55" t="s">
        <v>111</v>
      </c>
      <c r="Z791" s="54">
        <f t="shared" ref="Z791:Z799" si="70">IF(AQ791="5",BJ791,0)</f>
        <v>0</v>
      </c>
      <c r="AB791" s="54">
        <f t="shared" ref="AB791:AB799" si="71">IF(AQ791="1",BH791,0)</f>
        <v>0</v>
      </c>
      <c r="AC791" s="54">
        <f t="shared" ref="AC791:AC799" si="72">IF(AQ791="1",BI791,0)</f>
        <v>0</v>
      </c>
      <c r="AD791" s="54">
        <f t="shared" ref="AD791:AD799" si="73">IF(AQ791="7",BH791,0)</f>
        <v>0</v>
      </c>
      <c r="AE791" s="54">
        <f t="shared" ref="AE791:AE799" si="74">IF(AQ791="7",BI791,0)</f>
        <v>0</v>
      </c>
      <c r="AF791" s="54">
        <f t="shared" ref="AF791:AF799" si="75">IF(AQ791="2",BH791,0)</f>
        <v>0</v>
      </c>
      <c r="AG791" s="54">
        <f t="shared" ref="AG791:AG799" si="76">IF(AQ791="2",BI791,0)</f>
        <v>0</v>
      </c>
      <c r="AH791" s="54">
        <f t="shared" ref="AH791:AH799" si="77">IF(AQ791="0",BJ791,0)</f>
        <v>0</v>
      </c>
      <c r="AI791" s="34" t="s">
        <v>1512</v>
      </c>
      <c r="AJ791" s="54">
        <f t="shared" ref="AJ791:AJ799" si="78">IF(AN791=0,I791,0)</f>
        <v>0</v>
      </c>
      <c r="AK791" s="54">
        <f t="shared" ref="AK791:AK799" si="79">IF(AN791=12,I791,0)</f>
        <v>0</v>
      </c>
      <c r="AL791" s="54">
        <f t="shared" ref="AL791:AL799" si="80">IF(AN791=21,I791,0)</f>
        <v>0</v>
      </c>
      <c r="AN791" s="54">
        <v>21</v>
      </c>
      <c r="AO791" s="54">
        <f>H791*0</f>
        <v>0</v>
      </c>
      <c r="AP791" s="54">
        <f>H791*(1-0)</f>
        <v>0</v>
      </c>
      <c r="AQ791" s="56" t="s">
        <v>119</v>
      </c>
      <c r="AV791" s="54">
        <f t="shared" ref="AV791:AV799" si="81">AW791+AX791</f>
        <v>0</v>
      </c>
      <c r="AW791" s="54">
        <f t="shared" ref="AW791:AW799" si="82">G791*AO791</f>
        <v>0</v>
      </c>
      <c r="AX791" s="54">
        <f t="shared" ref="AX791:AX799" si="83">G791*AP791</f>
        <v>0</v>
      </c>
      <c r="AY791" s="56" t="s">
        <v>1720</v>
      </c>
      <c r="AZ791" s="56" t="s">
        <v>1529</v>
      </c>
      <c r="BA791" s="34" t="s">
        <v>1520</v>
      </c>
      <c r="BC791" s="54">
        <f t="shared" ref="BC791:BC799" si="84">AW791+AX791</f>
        <v>0</v>
      </c>
      <c r="BD791" s="54">
        <f t="shared" ref="BD791:BD799" si="85">H791/(100-BE791)*100</f>
        <v>0</v>
      </c>
      <c r="BE791" s="54">
        <v>0</v>
      </c>
      <c r="BF791" s="54">
        <f t="shared" ref="BF791:BF799" si="86">L791</f>
        <v>0</v>
      </c>
      <c r="BH791" s="54">
        <f t="shared" ref="BH791:BH799" si="87">G791*AO791</f>
        <v>0</v>
      </c>
      <c r="BI791" s="54">
        <f t="shared" ref="BI791:BI799" si="88">G791*AP791</f>
        <v>0</v>
      </c>
      <c r="BJ791" s="54">
        <f t="shared" ref="BJ791:BJ799" si="89">G791*H791</f>
        <v>0</v>
      </c>
      <c r="BK791" s="54"/>
      <c r="BL791" s="54"/>
      <c r="BW791" s="54">
        <v>21</v>
      </c>
      <c r="BX791" s="3" t="s">
        <v>1719</v>
      </c>
    </row>
    <row r="792" spans="1:76" ht="14.5" x14ac:dyDescent="0.35">
      <c r="A792" s="64" t="s">
        <v>1924</v>
      </c>
      <c r="B792" s="65" t="s">
        <v>1512</v>
      </c>
      <c r="C792" s="65" t="s">
        <v>1721</v>
      </c>
      <c r="D792" s="217" t="s">
        <v>1722</v>
      </c>
      <c r="E792" s="218"/>
      <c r="F792" s="65" t="s">
        <v>196</v>
      </c>
      <c r="G792" s="67">
        <v>6</v>
      </c>
      <c r="H792" s="85">
        <v>0</v>
      </c>
      <c r="I792" s="67">
        <f t="shared" si="68"/>
        <v>0</v>
      </c>
      <c r="J792" s="67">
        <v>1.0000000000000001E-5</v>
      </c>
      <c r="K792" s="67">
        <v>0</v>
      </c>
      <c r="L792" s="67">
        <f t="shared" si="69"/>
        <v>6.0000000000000008E-5</v>
      </c>
      <c r="M792" s="68" t="s">
        <v>10</v>
      </c>
      <c r="Z792" s="54">
        <f t="shared" si="70"/>
        <v>0</v>
      </c>
      <c r="AB792" s="54">
        <f t="shared" si="71"/>
        <v>0</v>
      </c>
      <c r="AC792" s="54">
        <f t="shared" si="72"/>
        <v>0</v>
      </c>
      <c r="AD792" s="54">
        <f t="shared" si="73"/>
        <v>0</v>
      </c>
      <c r="AE792" s="54">
        <f t="shared" si="74"/>
        <v>0</v>
      </c>
      <c r="AF792" s="54">
        <f t="shared" si="75"/>
        <v>0</v>
      </c>
      <c r="AG792" s="54">
        <f t="shared" si="76"/>
        <v>0</v>
      </c>
      <c r="AH792" s="54">
        <f t="shared" si="77"/>
        <v>0</v>
      </c>
      <c r="AI792" s="34" t="s">
        <v>1512</v>
      </c>
      <c r="AJ792" s="67">
        <f t="shared" si="78"/>
        <v>0</v>
      </c>
      <c r="AK792" s="67">
        <f t="shared" si="79"/>
        <v>0</v>
      </c>
      <c r="AL792" s="67">
        <f t="shared" si="80"/>
        <v>0</v>
      </c>
      <c r="AN792" s="54">
        <v>21</v>
      </c>
      <c r="AO792" s="54">
        <f>H792*1</f>
        <v>0</v>
      </c>
      <c r="AP792" s="54">
        <f>H792*(1-1)</f>
        <v>0</v>
      </c>
      <c r="AQ792" s="69" t="s">
        <v>107</v>
      </c>
      <c r="AV792" s="54">
        <f t="shared" si="81"/>
        <v>0</v>
      </c>
      <c r="AW792" s="54">
        <f t="shared" si="82"/>
        <v>0</v>
      </c>
      <c r="AX792" s="54">
        <f t="shared" si="83"/>
        <v>0</v>
      </c>
      <c r="AY792" s="56" t="s">
        <v>1720</v>
      </c>
      <c r="AZ792" s="56" t="s">
        <v>1529</v>
      </c>
      <c r="BA792" s="34" t="s">
        <v>1520</v>
      </c>
      <c r="BC792" s="54">
        <f t="shared" si="84"/>
        <v>0</v>
      </c>
      <c r="BD792" s="54">
        <f t="shared" si="85"/>
        <v>0</v>
      </c>
      <c r="BE792" s="54">
        <v>0</v>
      </c>
      <c r="BF792" s="54">
        <f t="shared" si="86"/>
        <v>6.0000000000000008E-5</v>
      </c>
      <c r="BH792" s="67">
        <f t="shared" si="87"/>
        <v>0</v>
      </c>
      <c r="BI792" s="67">
        <f t="shared" si="88"/>
        <v>0</v>
      </c>
      <c r="BJ792" s="67">
        <f t="shared" si="89"/>
        <v>0</v>
      </c>
      <c r="BK792" s="67"/>
      <c r="BL792" s="54"/>
      <c r="BW792" s="54">
        <v>21</v>
      </c>
      <c r="BX792" s="66" t="s">
        <v>1722</v>
      </c>
    </row>
    <row r="793" spans="1:76" ht="14.5" x14ac:dyDescent="0.35">
      <c r="A793" s="1" t="s">
        <v>1925</v>
      </c>
      <c r="B793" s="2" t="s">
        <v>1512</v>
      </c>
      <c r="C793" s="2" t="s">
        <v>1724</v>
      </c>
      <c r="D793" s="155" t="s">
        <v>1725</v>
      </c>
      <c r="E793" s="153"/>
      <c r="F793" s="2" t="s">
        <v>153</v>
      </c>
      <c r="G793" s="54">
        <v>340</v>
      </c>
      <c r="H793" s="84">
        <v>0</v>
      </c>
      <c r="I793" s="54">
        <f t="shared" si="68"/>
        <v>0</v>
      </c>
      <c r="J793" s="54">
        <v>0</v>
      </c>
      <c r="K793" s="54">
        <v>0</v>
      </c>
      <c r="L793" s="54">
        <f t="shared" si="69"/>
        <v>0</v>
      </c>
      <c r="M793" s="55" t="s">
        <v>111</v>
      </c>
      <c r="Z793" s="54">
        <f t="shared" si="70"/>
        <v>0</v>
      </c>
      <c r="AB793" s="54">
        <f t="shared" si="71"/>
        <v>0</v>
      </c>
      <c r="AC793" s="54">
        <f t="shared" si="72"/>
        <v>0</v>
      </c>
      <c r="AD793" s="54">
        <f t="shared" si="73"/>
        <v>0</v>
      </c>
      <c r="AE793" s="54">
        <f t="shared" si="74"/>
        <v>0</v>
      </c>
      <c r="AF793" s="54">
        <f t="shared" si="75"/>
        <v>0</v>
      </c>
      <c r="AG793" s="54">
        <f t="shared" si="76"/>
        <v>0</v>
      </c>
      <c r="AH793" s="54">
        <f t="shared" si="77"/>
        <v>0</v>
      </c>
      <c r="AI793" s="34" t="s">
        <v>1512</v>
      </c>
      <c r="AJ793" s="54">
        <f t="shared" si="78"/>
        <v>0</v>
      </c>
      <c r="AK793" s="54">
        <f t="shared" si="79"/>
        <v>0</v>
      </c>
      <c r="AL793" s="54">
        <f t="shared" si="80"/>
        <v>0</v>
      </c>
      <c r="AN793" s="54">
        <v>21</v>
      </c>
      <c r="AO793" s="54">
        <f>H793*0</f>
        <v>0</v>
      </c>
      <c r="AP793" s="54">
        <f>H793*(1-0)</f>
        <v>0</v>
      </c>
      <c r="AQ793" s="56" t="s">
        <v>119</v>
      </c>
      <c r="AV793" s="54">
        <f t="shared" si="81"/>
        <v>0</v>
      </c>
      <c r="AW793" s="54">
        <f t="shared" si="82"/>
        <v>0</v>
      </c>
      <c r="AX793" s="54">
        <f t="shared" si="83"/>
        <v>0</v>
      </c>
      <c r="AY793" s="56" t="s">
        <v>1720</v>
      </c>
      <c r="AZ793" s="56" t="s">
        <v>1529</v>
      </c>
      <c r="BA793" s="34" t="s">
        <v>1520</v>
      </c>
      <c r="BC793" s="54">
        <f t="shared" si="84"/>
        <v>0</v>
      </c>
      <c r="BD793" s="54">
        <f t="shared" si="85"/>
        <v>0</v>
      </c>
      <c r="BE793" s="54">
        <v>0</v>
      </c>
      <c r="BF793" s="54">
        <f t="shared" si="86"/>
        <v>0</v>
      </c>
      <c r="BH793" s="54">
        <f t="shared" si="87"/>
        <v>0</v>
      </c>
      <c r="BI793" s="54">
        <f t="shared" si="88"/>
        <v>0</v>
      </c>
      <c r="BJ793" s="54">
        <f t="shared" si="89"/>
        <v>0</v>
      </c>
      <c r="BK793" s="54"/>
      <c r="BL793" s="54"/>
      <c r="BW793" s="54">
        <v>21</v>
      </c>
      <c r="BX793" s="3" t="s">
        <v>1725</v>
      </c>
    </row>
    <row r="794" spans="1:76" ht="14.5" x14ac:dyDescent="0.35">
      <c r="A794" s="64" t="s">
        <v>1926</v>
      </c>
      <c r="B794" s="65" t="s">
        <v>1512</v>
      </c>
      <c r="C794" s="65" t="s">
        <v>1726</v>
      </c>
      <c r="D794" s="217" t="s">
        <v>1727</v>
      </c>
      <c r="E794" s="218"/>
      <c r="F794" s="65" t="s">
        <v>153</v>
      </c>
      <c r="G794" s="67">
        <v>250</v>
      </c>
      <c r="H794" s="85">
        <v>0</v>
      </c>
      <c r="I794" s="67">
        <f t="shared" si="68"/>
        <v>0</v>
      </c>
      <c r="J794" s="67">
        <v>5.0000000000000002E-5</v>
      </c>
      <c r="K794" s="67">
        <v>0</v>
      </c>
      <c r="L794" s="67">
        <f t="shared" si="69"/>
        <v>1.2500000000000001E-2</v>
      </c>
      <c r="M794" s="68" t="s">
        <v>111</v>
      </c>
      <c r="Z794" s="54">
        <f t="shared" si="70"/>
        <v>0</v>
      </c>
      <c r="AB794" s="54">
        <f t="shared" si="71"/>
        <v>0</v>
      </c>
      <c r="AC794" s="54">
        <f t="shared" si="72"/>
        <v>0</v>
      </c>
      <c r="AD794" s="54">
        <f t="shared" si="73"/>
        <v>0</v>
      </c>
      <c r="AE794" s="54">
        <f t="shared" si="74"/>
        <v>0</v>
      </c>
      <c r="AF794" s="54">
        <f t="shared" si="75"/>
        <v>0</v>
      </c>
      <c r="AG794" s="54">
        <f t="shared" si="76"/>
        <v>0</v>
      </c>
      <c r="AH794" s="54">
        <f t="shared" si="77"/>
        <v>0</v>
      </c>
      <c r="AI794" s="34" t="s">
        <v>1512</v>
      </c>
      <c r="AJ794" s="67">
        <f t="shared" si="78"/>
        <v>0</v>
      </c>
      <c r="AK794" s="67">
        <f t="shared" si="79"/>
        <v>0</v>
      </c>
      <c r="AL794" s="67">
        <f t="shared" si="80"/>
        <v>0</v>
      </c>
      <c r="AN794" s="54">
        <v>21</v>
      </c>
      <c r="AO794" s="54">
        <f>H794*1</f>
        <v>0</v>
      </c>
      <c r="AP794" s="54">
        <f>H794*(1-1)</f>
        <v>0</v>
      </c>
      <c r="AQ794" s="69" t="s">
        <v>107</v>
      </c>
      <c r="AV794" s="54">
        <f t="shared" si="81"/>
        <v>0</v>
      </c>
      <c r="AW794" s="54">
        <f t="shared" si="82"/>
        <v>0</v>
      </c>
      <c r="AX794" s="54">
        <f t="shared" si="83"/>
        <v>0</v>
      </c>
      <c r="AY794" s="56" t="s">
        <v>1720</v>
      </c>
      <c r="AZ794" s="56" t="s">
        <v>1529</v>
      </c>
      <c r="BA794" s="34" t="s">
        <v>1520</v>
      </c>
      <c r="BC794" s="54">
        <f t="shared" si="84"/>
        <v>0</v>
      </c>
      <c r="BD794" s="54">
        <f t="shared" si="85"/>
        <v>0</v>
      </c>
      <c r="BE794" s="54">
        <v>0</v>
      </c>
      <c r="BF794" s="54">
        <f t="shared" si="86"/>
        <v>1.2500000000000001E-2</v>
      </c>
      <c r="BH794" s="67">
        <f t="shared" si="87"/>
        <v>0</v>
      </c>
      <c r="BI794" s="67">
        <f t="shared" si="88"/>
        <v>0</v>
      </c>
      <c r="BJ794" s="67">
        <f t="shared" si="89"/>
        <v>0</v>
      </c>
      <c r="BK794" s="67"/>
      <c r="BL794" s="54"/>
      <c r="BW794" s="54">
        <v>21</v>
      </c>
      <c r="BX794" s="66" t="s">
        <v>1727</v>
      </c>
    </row>
    <row r="795" spans="1:76" ht="14.5" x14ac:dyDescent="0.35">
      <c r="A795" s="64" t="s">
        <v>1927</v>
      </c>
      <c r="B795" s="65" t="s">
        <v>1512</v>
      </c>
      <c r="C795" s="65" t="s">
        <v>1728</v>
      </c>
      <c r="D795" s="217" t="s">
        <v>1729</v>
      </c>
      <c r="E795" s="218"/>
      <c r="F795" s="65" t="s">
        <v>153</v>
      </c>
      <c r="G795" s="67">
        <v>100</v>
      </c>
      <c r="H795" s="85">
        <v>0</v>
      </c>
      <c r="I795" s="67">
        <f t="shared" si="68"/>
        <v>0</v>
      </c>
      <c r="J795" s="67">
        <v>6.9999999999999994E-5</v>
      </c>
      <c r="K795" s="67">
        <v>0</v>
      </c>
      <c r="L795" s="67">
        <f t="shared" si="69"/>
        <v>6.9999999999999993E-3</v>
      </c>
      <c r="M795" s="68" t="s">
        <v>111</v>
      </c>
      <c r="Z795" s="54">
        <f t="shared" si="70"/>
        <v>0</v>
      </c>
      <c r="AB795" s="54">
        <f t="shared" si="71"/>
        <v>0</v>
      </c>
      <c r="AC795" s="54">
        <f t="shared" si="72"/>
        <v>0</v>
      </c>
      <c r="AD795" s="54">
        <f t="shared" si="73"/>
        <v>0</v>
      </c>
      <c r="AE795" s="54">
        <f t="shared" si="74"/>
        <v>0</v>
      </c>
      <c r="AF795" s="54">
        <f t="shared" si="75"/>
        <v>0</v>
      </c>
      <c r="AG795" s="54">
        <f t="shared" si="76"/>
        <v>0</v>
      </c>
      <c r="AH795" s="54">
        <f t="shared" si="77"/>
        <v>0</v>
      </c>
      <c r="AI795" s="34" t="s">
        <v>1512</v>
      </c>
      <c r="AJ795" s="67">
        <f t="shared" si="78"/>
        <v>0</v>
      </c>
      <c r="AK795" s="67">
        <f t="shared" si="79"/>
        <v>0</v>
      </c>
      <c r="AL795" s="67">
        <f t="shared" si="80"/>
        <v>0</v>
      </c>
      <c r="AN795" s="54">
        <v>21</v>
      </c>
      <c r="AO795" s="54">
        <f>H795*1</f>
        <v>0</v>
      </c>
      <c r="AP795" s="54">
        <f>H795*(1-1)</f>
        <v>0</v>
      </c>
      <c r="AQ795" s="69" t="s">
        <v>107</v>
      </c>
      <c r="AV795" s="54">
        <f t="shared" si="81"/>
        <v>0</v>
      </c>
      <c r="AW795" s="54">
        <f t="shared" si="82"/>
        <v>0</v>
      </c>
      <c r="AX795" s="54">
        <f t="shared" si="83"/>
        <v>0</v>
      </c>
      <c r="AY795" s="56" t="s">
        <v>1720</v>
      </c>
      <c r="AZ795" s="56" t="s">
        <v>1529</v>
      </c>
      <c r="BA795" s="34" t="s">
        <v>1520</v>
      </c>
      <c r="BC795" s="54">
        <f t="shared" si="84"/>
        <v>0</v>
      </c>
      <c r="BD795" s="54">
        <f t="shared" si="85"/>
        <v>0</v>
      </c>
      <c r="BE795" s="54">
        <v>0</v>
      </c>
      <c r="BF795" s="54">
        <f t="shared" si="86"/>
        <v>6.9999999999999993E-3</v>
      </c>
      <c r="BH795" s="67">
        <f t="shared" si="87"/>
        <v>0</v>
      </c>
      <c r="BI795" s="67">
        <f t="shared" si="88"/>
        <v>0</v>
      </c>
      <c r="BJ795" s="67">
        <f t="shared" si="89"/>
        <v>0</v>
      </c>
      <c r="BK795" s="67"/>
      <c r="BL795" s="54"/>
      <c r="BW795" s="54">
        <v>21</v>
      </c>
      <c r="BX795" s="66" t="s">
        <v>1729</v>
      </c>
    </row>
    <row r="796" spans="1:76" ht="14.5" x14ac:dyDescent="0.35">
      <c r="A796" s="64" t="s">
        <v>1928</v>
      </c>
      <c r="B796" s="65" t="s">
        <v>1512</v>
      </c>
      <c r="C796" s="65" t="s">
        <v>1731</v>
      </c>
      <c r="D796" s="217" t="s">
        <v>1732</v>
      </c>
      <c r="E796" s="218"/>
      <c r="F796" s="65" t="s">
        <v>153</v>
      </c>
      <c r="G796" s="67">
        <v>15</v>
      </c>
      <c r="H796" s="85">
        <v>0</v>
      </c>
      <c r="I796" s="67">
        <f t="shared" si="68"/>
        <v>0</v>
      </c>
      <c r="J796" s="67">
        <v>1.9000000000000001E-4</v>
      </c>
      <c r="K796" s="67">
        <v>0</v>
      </c>
      <c r="L796" s="67">
        <f t="shared" si="69"/>
        <v>2.8500000000000001E-3</v>
      </c>
      <c r="M796" s="68" t="s">
        <v>111</v>
      </c>
      <c r="Z796" s="54">
        <f t="shared" si="70"/>
        <v>0</v>
      </c>
      <c r="AB796" s="54">
        <f t="shared" si="71"/>
        <v>0</v>
      </c>
      <c r="AC796" s="54">
        <f t="shared" si="72"/>
        <v>0</v>
      </c>
      <c r="AD796" s="54">
        <f t="shared" si="73"/>
        <v>0</v>
      </c>
      <c r="AE796" s="54">
        <f t="shared" si="74"/>
        <v>0</v>
      </c>
      <c r="AF796" s="54">
        <f t="shared" si="75"/>
        <v>0</v>
      </c>
      <c r="AG796" s="54">
        <f t="shared" si="76"/>
        <v>0</v>
      </c>
      <c r="AH796" s="54">
        <f t="shared" si="77"/>
        <v>0</v>
      </c>
      <c r="AI796" s="34" t="s">
        <v>1512</v>
      </c>
      <c r="AJ796" s="67">
        <f t="shared" si="78"/>
        <v>0</v>
      </c>
      <c r="AK796" s="67">
        <f t="shared" si="79"/>
        <v>0</v>
      </c>
      <c r="AL796" s="67">
        <f t="shared" si="80"/>
        <v>0</v>
      </c>
      <c r="AN796" s="54">
        <v>21</v>
      </c>
      <c r="AO796" s="54">
        <f>H796*1</f>
        <v>0</v>
      </c>
      <c r="AP796" s="54">
        <f>H796*(1-1)</f>
        <v>0</v>
      </c>
      <c r="AQ796" s="69" t="s">
        <v>107</v>
      </c>
      <c r="AV796" s="54">
        <f t="shared" si="81"/>
        <v>0</v>
      </c>
      <c r="AW796" s="54">
        <f t="shared" si="82"/>
        <v>0</v>
      </c>
      <c r="AX796" s="54">
        <f t="shared" si="83"/>
        <v>0</v>
      </c>
      <c r="AY796" s="56" t="s">
        <v>1720</v>
      </c>
      <c r="AZ796" s="56" t="s">
        <v>1529</v>
      </c>
      <c r="BA796" s="34" t="s">
        <v>1520</v>
      </c>
      <c r="BC796" s="54">
        <f t="shared" si="84"/>
        <v>0</v>
      </c>
      <c r="BD796" s="54">
        <f t="shared" si="85"/>
        <v>0</v>
      </c>
      <c r="BE796" s="54">
        <v>0</v>
      </c>
      <c r="BF796" s="54">
        <f t="shared" si="86"/>
        <v>2.8500000000000001E-3</v>
      </c>
      <c r="BH796" s="67">
        <f t="shared" si="87"/>
        <v>0</v>
      </c>
      <c r="BI796" s="67">
        <f t="shared" si="88"/>
        <v>0</v>
      </c>
      <c r="BJ796" s="67">
        <f t="shared" si="89"/>
        <v>0</v>
      </c>
      <c r="BK796" s="67"/>
      <c r="BL796" s="54"/>
      <c r="BW796" s="54">
        <v>21</v>
      </c>
      <c r="BX796" s="66" t="s">
        <v>1732</v>
      </c>
    </row>
    <row r="797" spans="1:76" ht="14.5" x14ac:dyDescent="0.35">
      <c r="A797" s="1" t="s">
        <v>1929</v>
      </c>
      <c r="B797" s="2" t="s">
        <v>1512</v>
      </c>
      <c r="C797" s="2" t="s">
        <v>1733</v>
      </c>
      <c r="D797" s="155" t="s">
        <v>1734</v>
      </c>
      <c r="E797" s="153"/>
      <c r="F797" s="2" t="s">
        <v>196</v>
      </c>
      <c r="G797" s="54">
        <v>110</v>
      </c>
      <c r="H797" s="84">
        <v>0</v>
      </c>
      <c r="I797" s="54">
        <f t="shared" si="68"/>
        <v>0</v>
      </c>
      <c r="J797" s="54">
        <v>0</v>
      </c>
      <c r="K797" s="54">
        <v>0</v>
      </c>
      <c r="L797" s="54">
        <f t="shared" si="69"/>
        <v>0</v>
      </c>
      <c r="M797" s="55" t="s">
        <v>111</v>
      </c>
      <c r="Z797" s="54">
        <f t="shared" si="70"/>
        <v>0</v>
      </c>
      <c r="AB797" s="54">
        <f t="shared" si="71"/>
        <v>0</v>
      </c>
      <c r="AC797" s="54">
        <f t="shared" si="72"/>
        <v>0</v>
      </c>
      <c r="AD797" s="54">
        <f t="shared" si="73"/>
        <v>0</v>
      </c>
      <c r="AE797" s="54">
        <f t="shared" si="74"/>
        <v>0</v>
      </c>
      <c r="AF797" s="54">
        <f t="shared" si="75"/>
        <v>0</v>
      </c>
      <c r="AG797" s="54">
        <f t="shared" si="76"/>
        <v>0</v>
      </c>
      <c r="AH797" s="54">
        <f t="shared" si="77"/>
        <v>0</v>
      </c>
      <c r="AI797" s="34" t="s">
        <v>1512</v>
      </c>
      <c r="AJ797" s="54">
        <f t="shared" si="78"/>
        <v>0</v>
      </c>
      <c r="AK797" s="54">
        <f t="shared" si="79"/>
        <v>0</v>
      </c>
      <c r="AL797" s="54">
        <f t="shared" si="80"/>
        <v>0</v>
      </c>
      <c r="AN797" s="54">
        <v>21</v>
      </c>
      <c r="AO797" s="54">
        <f>H797*0</f>
        <v>0</v>
      </c>
      <c r="AP797" s="54">
        <f>H797*(1-0)</f>
        <v>0</v>
      </c>
      <c r="AQ797" s="56" t="s">
        <v>119</v>
      </c>
      <c r="AV797" s="54">
        <f t="shared" si="81"/>
        <v>0</v>
      </c>
      <c r="AW797" s="54">
        <f t="shared" si="82"/>
        <v>0</v>
      </c>
      <c r="AX797" s="54">
        <f t="shared" si="83"/>
        <v>0</v>
      </c>
      <c r="AY797" s="56" t="s">
        <v>1720</v>
      </c>
      <c r="AZ797" s="56" t="s">
        <v>1529</v>
      </c>
      <c r="BA797" s="34" t="s">
        <v>1520</v>
      </c>
      <c r="BC797" s="54">
        <f t="shared" si="84"/>
        <v>0</v>
      </c>
      <c r="BD797" s="54">
        <f t="shared" si="85"/>
        <v>0</v>
      </c>
      <c r="BE797" s="54">
        <v>0</v>
      </c>
      <c r="BF797" s="54">
        <f t="shared" si="86"/>
        <v>0</v>
      </c>
      <c r="BH797" s="54">
        <f t="shared" si="87"/>
        <v>0</v>
      </c>
      <c r="BI797" s="54">
        <f t="shared" si="88"/>
        <v>0</v>
      </c>
      <c r="BJ797" s="54">
        <f t="shared" si="89"/>
        <v>0</v>
      </c>
      <c r="BK797" s="54"/>
      <c r="BL797" s="54"/>
      <c r="BW797" s="54">
        <v>21</v>
      </c>
      <c r="BX797" s="3" t="s">
        <v>1734</v>
      </c>
    </row>
    <row r="798" spans="1:76" ht="14.5" x14ac:dyDescent="0.35">
      <c r="A798" s="1" t="s">
        <v>1930</v>
      </c>
      <c r="B798" s="2" t="s">
        <v>1512</v>
      </c>
      <c r="C798" s="2" t="s">
        <v>1735</v>
      </c>
      <c r="D798" s="155" t="s">
        <v>1736</v>
      </c>
      <c r="E798" s="153"/>
      <c r="F798" s="2" t="s">
        <v>196</v>
      </c>
      <c r="G798" s="54">
        <v>50</v>
      </c>
      <c r="H798" s="84">
        <v>0</v>
      </c>
      <c r="I798" s="54">
        <f t="shared" si="68"/>
        <v>0</v>
      </c>
      <c r="J798" s="54">
        <v>0</v>
      </c>
      <c r="K798" s="54">
        <v>0</v>
      </c>
      <c r="L798" s="54">
        <f t="shared" si="69"/>
        <v>0</v>
      </c>
      <c r="M798" s="55" t="s">
        <v>111</v>
      </c>
      <c r="Z798" s="54">
        <f t="shared" si="70"/>
        <v>0</v>
      </c>
      <c r="AB798" s="54">
        <f t="shared" si="71"/>
        <v>0</v>
      </c>
      <c r="AC798" s="54">
        <f t="shared" si="72"/>
        <v>0</v>
      </c>
      <c r="AD798" s="54">
        <f t="shared" si="73"/>
        <v>0</v>
      </c>
      <c r="AE798" s="54">
        <f t="shared" si="74"/>
        <v>0</v>
      </c>
      <c r="AF798" s="54">
        <f t="shared" si="75"/>
        <v>0</v>
      </c>
      <c r="AG798" s="54">
        <f t="shared" si="76"/>
        <v>0</v>
      </c>
      <c r="AH798" s="54">
        <f t="shared" si="77"/>
        <v>0</v>
      </c>
      <c r="AI798" s="34" t="s">
        <v>1512</v>
      </c>
      <c r="AJ798" s="54">
        <f t="shared" si="78"/>
        <v>0</v>
      </c>
      <c r="AK798" s="54">
        <f t="shared" si="79"/>
        <v>0</v>
      </c>
      <c r="AL798" s="54">
        <f t="shared" si="80"/>
        <v>0</v>
      </c>
      <c r="AN798" s="54">
        <v>21</v>
      </c>
      <c r="AO798" s="54">
        <f>H798*0</f>
        <v>0</v>
      </c>
      <c r="AP798" s="54">
        <f>H798*(1-0)</f>
        <v>0</v>
      </c>
      <c r="AQ798" s="56" t="s">
        <v>119</v>
      </c>
      <c r="AV798" s="54">
        <f t="shared" si="81"/>
        <v>0</v>
      </c>
      <c r="AW798" s="54">
        <f t="shared" si="82"/>
        <v>0</v>
      </c>
      <c r="AX798" s="54">
        <f t="shared" si="83"/>
        <v>0</v>
      </c>
      <c r="AY798" s="56" t="s">
        <v>1720</v>
      </c>
      <c r="AZ798" s="56" t="s">
        <v>1529</v>
      </c>
      <c r="BA798" s="34" t="s">
        <v>1520</v>
      </c>
      <c r="BC798" s="54">
        <f t="shared" si="84"/>
        <v>0</v>
      </c>
      <c r="BD798" s="54">
        <f t="shared" si="85"/>
        <v>0</v>
      </c>
      <c r="BE798" s="54">
        <v>0</v>
      </c>
      <c r="BF798" s="54">
        <f t="shared" si="86"/>
        <v>0</v>
      </c>
      <c r="BH798" s="54">
        <f t="shared" si="87"/>
        <v>0</v>
      </c>
      <c r="BI798" s="54">
        <f t="shared" si="88"/>
        <v>0</v>
      </c>
      <c r="BJ798" s="54">
        <f t="shared" si="89"/>
        <v>0</v>
      </c>
      <c r="BK798" s="54"/>
      <c r="BL798" s="54"/>
      <c r="BW798" s="54">
        <v>21</v>
      </c>
      <c r="BX798" s="3" t="s">
        <v>1736</v>
      </c>
    </row>
    <row r="799" spans="1:76" ht="14.5" x14ac:dyDescent="0.35">
      <c r="A799" s="1" t="s">
        <v>1931</v>
      </c>
      <c r="B799" s="2" t="s">
        <v>1512</v>
      </c>
      <c r="C799" s="2" t="s">
        <v>1737</v>
      </c>
      <c r="D799" s="155" t="s">
        <v>1738</v>
      </c>
      <c r="E799" s="153"/>
      <c r="F799" s="2" t="s">
        <v>196</v>
      </c>
      <c r="G799" s="54">
        <v>2</v>
      </c>
      <c r="H799" s="84">
        <v>0</v>
      </c>
      <c r="I799" s="54">
        <f t="shared" si="68"/>
        <v>0</v>
      </c>
      <c r="J799" s="54">
        <v>0</v>
      </c>
      <c r="K799" s="54">
        <v>0</v>
      </c>
      <c r="L799" s="54">
        <f t="shared" si="69"/>
        <v>0</v>
      </c>
      <c r="M799" s="55" t="s">
        <v>111</v>
      </c>
      <c r="Z799" s="54">
        <f t="shared" si="70"/>
        <v>0</v>
      </c>
      <c r="AB799" s="54">
        <f t="shared" si="71"/>
        <v>0</v>
      </c>
      <c r="AC799" s="54">
        <f t="shared" si="72"/>
        <v>0</v>
      </c>
      <c r="AD799" s="54">
        <f t="shared" si="73"/>
        <v>0</v>
      </c>
      <c r="AE799" s="54">
        <f t="shared" si="74"/>
        <v>0</v>
      </c>
      <c r="AF799" s="54">
        <f t="shared" si="75"/>
        <v>0</v>
      </c>
      <c r="AG799" s="54">
        <f t="shared" si="76"/>
        <v>0</v>
      </c>
      <c r="AH799" s="54">
        <f t="shared" si="77"/>
        <v>0</v>
      </c>
      <c r="AI799" s="34" t="s">
        <v>1512</v>
      </c>
      <c r="AJ799" s="54">
        <f t="shared" si="78"/>
        <v>0</v>
      </c>
      <c r="AK799" s="54">
        <f t="shared" si="79"/>
        <v>0</v>
      </c>
      <c r="AL799" s="54">
        <f t="shared" si="80"/>
        <v>0</v>
      </c>
      <c r="AN799" s="54">
        <v>21</v>
      </c>
      <c r="AO799" s="54">
        <f>H799*0</f>
        <v>0</v>
      </c>
      <c r="AP799" s="54">
        <f>H799*(1-0)</f>
        <v>0</v>
      </c>
      <c r="AQ799" s="56" t="s">
        <v>119</v>
      </c>
      <c r="AV799" s="54">
        <f t="shared" si="81"/>
        <v>0</v>
      </c>
      <c r="AW799" s="54">
        <f t="shared" si="82"/>
        <v>0</v>
      </c>
      <c r="AX799" s="54">
        <f t="shared" si="83"/>
        <v>0</v>
      </c>
      <c r="AY799" s="56" t="s">
        <v>1720</v>
      </c>
      <c r="AZ799" s="56" t="s">
        <v>1529</v>
      </c>
      <c r="BA799" s="34" t="s">
        <v>1520</v>
      </c>
      <c r="BC799" s="54">
        <f t="shared" si="84"/>
        <v>0</v>
      </c>
      <c r="BD799" s="54">
        <f t="shared" si="85"/>
        <v>0</v>
      </c>
      <c r="BE799" s="54">
        <v>0</v>
      </c>
      <c r="BF799" s="54">
        <f t="shared" si="86"/>
        <v>0</v>
      </c>
      <c r="BH799" s="54">
        <f t="shared" si="87"/>
        <v>0</v>
      </c>
      <c r="BI799" s="54">
        <f t="shared" si="88"/>
        <v>0</v>
      </c>
      <c r="BJ799" s="54">
        <f t="shared" si="89"/>
        <v>0</v>
      </c>
      <c r="BK799" s="54"/>
      <c r="BL799" s="54"/>
      <c r="BW799" s="54">
        <v>21</v>
      </c>
      <c r="BX799" s="3" t="s">
        <v>1738</v>
      </c>
    </row>
    <row r="800" spans="1:76" ht="14.5" x14ac:dyDescent="0.35">
      <c r="A800" s="86" t="s">
        <v>10</v>
      </c>
      <c r="B800" s="87" t="s">
        <v>1742</v>
      </c>
      <c r="C800" s="87" t="s">
        <v>10</v>
      </c>
      <c r="D800" s="234" t="s">
        <v>1743</v>
      </c>
      <c r="E800" s="235"/>
      <c r="F800" s="88" t="s">
        <v>84</v>
      </c>
      <c r="G800" s="88" t="s">
        <v>84</v>
      </c>
      <c r="H800" s="89" t="s">
        <v>84</v>
      </c>
      <c r="I800" s="90">
        <f>I801</f>
        <v>0</v>
      </c>
      <c r="J800" s="91" t="s">
        <v>10</v>
      </c>
      <c r="K800" s="91" t="s">
        <v>10</v>
      </c>
      <c r="L800" s="90">
        <f>L801</f>
        <v>0</v>
      </c>
      <c r="M800" s="92" t="s">
        <v>10</v>
      </c>
    </row>
    <row r="801" spans="1:76" ht="14.5" x14ac:dyDescent="0.35">
      <c r="A801" s="50" t="s">
        <v>10</v>
      </c>
      <c r="B801" s="51" t="s">
        <v>1742</v>
      </c>
      <c r="C801" s="51" t="s">
        <v>1744</v>
      </c>
      <c r="D801" s="206" t="s">
        <v>1745</v>
      </c>
      <c r="E801" s="207"/>
      <c r="F801" s="52" t="s">
        <v>84</v>
      </c>
      <c r="G801" s="52" t="s">
        <v>84</v>
      </c>
      <c r="H801" s="83" t="s">
        <v>84</v>
      </c>
      <c r="I801" s="27">
        <f>SUM(I802:I829)</f>
        <v>0</v>
      </c>
      <c r="J801" s="34" t="s">
        <v>10</v>
      </c>
      <c r="K801" s="34" t="s">
        <v>10</v>
      </c>
      <c r="L801" s="27">
        <f>SUM(L802:L829)</f>
        <v>0</v>
      </c>
      <c r="M801" s="53" t="s">
        <v>10</v>
      </c>
      <c r="AI801" s="34" t="s">
        <v>1742</v>
      </c>
      <c r="AS801" s="27">
        <f>SUM(AJ802:AJ829)</f>
        <v>0</v>
      </c>
      <c r="AT801" s="27">
        <f>SUM(AK802:AK829)</f>
        <v>0</v>
      </c>
      <c r="AU801" s="27">
        <f>SUM(AL802:AL829)</f>
        <v>0</v>
      </c>
    </row>
    <row r="802" spans="1:76" ht="14.5" x14ac:dyDescent="0.35">
      <c r="A802" s="64" t="s">
        <v>1932</v>
      </c>
      <c r="B802" s="65" t="s">
        <v>1742</v>
      </c>
      <c r="C802" s="65" t="s">
        <v>1746</v>
      </c>
      <c r="D802" s="217" t="s">
        <v>1747</v>
      </c>
      <c r="E802" s="218"/>
      <c r="F802" s="65" t="s">
        <v>481</v>
      </c>
      <c r="G802" s="67">
        <v>1</v>
      </c>
      <c r="H802" s="85">
        <v>0</v>
      </c>
      <c r="I802" s="67">
        <f t="shared" ref="I802:I829" si="90">G802*H802</f>
        <v>0</v>
      </c>
      <c r="J802" s="67">
        <v>0</v>
      </c>
      <c r="K802" s="67">
        <v>0</v>
      </c>
      <c r="L802" s="67">
        <f t="shared" ref="L802:L829" si="91">G802*J802</f>
        <v>0</v>
      </c>
      <c r="M802" s="68" t="s">
        <v>10</v>
      </c>
      <c r="Z802" s="54">
        <f t="shared" ref="Z802:Z829" si="92">IF(AQ802="5",BJ802,0)</f>
        <v>0</v>
      </c>
      <c r="AB802" s="54">
        <f t="shared" ref="AB802:AB829" si="93">IF(AQ802="1",BH802,0)</f>
        <v>0</v>
      </c>
      <c r="AC802" s="54">
        <f t="shared" ref="AC802:AC829" si="94">IF(AQ802="1",BI802,0)</f>
        <v>0</v>
      </c>
      <c r="AD802" s="54">
        <f t="shared" ref="AD802:AD829" si="95">IF(AQ802="7",BH802,0)</f>
        <v>0</v>
      </c>
      <c r="AE802" s="54">
        <f t="shared" ref="AE802:AE829" si="96">IF(AQ802="7",BI802,0)</f>
        <v>0</v>
      </c>
      <c r="AF802" s="54">
        <f t="shared" ref="AF802:AF829" si="97">IF(AQ802="2",BH802,0)</f>
        <v>0</v>
      </c>
      <c r="AG802" s="54">
        <f t="shared" ref="AG802:AG829" si="98">IF(AQ802="2",BI802,0)</f>
        <v>0</v>
      </c>
      <c r="AH802" s="54">
        <f t="shared" ref="AH802:AH829" si="99">IF(AQ802="0",BJ802,0)</f>
        <v>0</v>
      </c>
      <c r="AI802" s="34" t="s">
        <v>1742</v>
      </c>
      <c r="AJ802" s="67">
        <f t="shared" ref="AJ802:AJ829" si="100">IF(AN802=0,I802,0)</f>
        <v>0</v>
      </c>
      <c r="AK802" s="67">
        <f t="shared" ref="AK802:AK829" si="101">IF(AN802=12,I802,0)</f>
        <v>0</v>
      </c>
      <c r="AL802" s="67">
        <f t="shared" ref="AL802:AL829" si="102">IF(AN802=21,I802,0)</f>
        <v>0</v>
      </c>
      <c r="AN802" s="54">
        <v>21</v>
      </c>
      <c r="AO802" s="54">
        <f t="shared" ref="AO802:AO826" si="103">H802*1</f>
        <v>0</v>
      </c>
      <c r="AP802" s="54">
        <f t="shared" ref="AP802:AP826" si="104">H802*(1-1)</f>
        <v>0</v>
      </c>
      <c r="AQ802" s="69" t="s">
        <v>107</v>
      </c>
      <c r="AV802" s="54">
        <f t="shared" ref="AV802:AV829" si="105">AW802+AX802</f>
        <v>0</v>
      </c>
      <c r="AW802" s="54">
        <f t="shared" ref="AW802:AW829" si="106">G802*AO802</f>
        <v>0</v>
      </c>
      <c r="AX802" s="54">
        <f t="shared" ref="AX802:AX829" si="107">G802*AP802</f>
        <v>0</v>
      </c>
      <c r="AY802" s="56" t="s">
        <v>1748</v>
      </c>
      <c r="AZ802" s="56" t="s">
        <v>1749</v>
      </c>
      <c r="BA802" s="34" t="s">
        <v>1750</v>
      </c>
      <c r="BC802" s="54">
        <f t="shared" ref="BC802:BC829" si="108">AW802+AX802</f>
        <v>0</v>
      </c>
      <c r="BD802" s="54">
        <f t="shared" ref="BD802:BD829" si="109">H802/(100-BE802)*100</f>
        <v>0</v>
      </c>
      <c r="BE802" s="54">
        <v>0</v>
      </c>
      <c r="BF802" s="54">
        <f t="shared" ref="BF802:BF829" si="110">L802</f>
        <v>0</v>
      </c>
      <c r="BH802" s="67">
        <f t="shared" ref="BH802:BH829" si="111">G802*AO802</f>
        <v>0</v>
      </c>
      <c r="BI802" s="67">
        <f t="shared" ref="BI802:BI829" si="112">G802*AP802</f>
        <v>0</v>
      </c>
      <c r="BJ802" s="67">
        <f t="shared" ref="BJ802:BJ829" si="113">G802*H802</f>
        <v>0</v>
      </c>
      <c r="BK802" s="67"/>
      <c r="BL802" s="54"/>
      <c r="BW802" s="54">
        <v>21</v>
      </c>
      <c r="BX802" s="66" t="s">
        <v>1747</v>
      </c>
    </row>
    <row r="803" spans="1:76" ht="14.5" x14ac:dyDescent="0.35">
      <c r="A803" s="64" t="s">
        <v>1933</v>
      </c>
      <c r="B803" s="65" t="s">
        <v>1742</v>
      </c>
      <c r="C803" s="65" t="s">
        <v>1751</v>
      </c>
      <c r="D803" s="217" t="s">
        <v>1752</v>
      </c>
      <c r="E803" s="218"/>
      <c r="F803" s="65" t="s">
        <v>481</v>
      </c>
      <c r="G803" s="67">
        <v>1</v>
      </c>
      <c r="H803" s="85">
        <v>0</v>
      </c>
      <c r="I803" s="67">
        <f t="shared" si="90"/>
        <v>0</v>
      </c>
      <c r="J803" s="67">
        <v>0</v>
      </c>
      <c r="K803" s="67">
        <v>0</v>
      </c>
      <c r="L803" s="67">
        <f t="shared" si="91"/>
        <v>0</v>
      </c>
      <c r="M803" s="68" t="s">
        <v>10</v>
      </c>
      <c r="Z803" s="54">
        <f t="shared" si="92"/>
        <v>0</v>
      </c>
      <c r="AB803" s="54">
        <f t="shared" si="93"/>
        <v>0</v>
      </c>
      <c r="AC803" s="54">
        <f t="shared" si="94"/>
        <v>0</v>
      </c>
      <c r="AD803" s="54">
        <f t="shared" si="95"/>
        <v>0</v>
      </c>
      <c r="AE803" s="54">
        <f t="shared" si="96"/>
        <v>0</v>
      </c>
      <c r="AF803" s="54">
        <f t="shared" si="97"/>
        <v>0</v>
      </c>
      <c r="AG803" s="54">
        <f t="shared" si="98"/>
        <v>0</v>
      </c>
      <c r="AH803" s="54">
        <f t="shared" si="99"/>
        <v>0</v>
      </c>
      <c r="AI803" s="34" t="s">
        <v>1742</v>
      </c>
      <c r="AJ803" s="67">
        <f t="shared" si="100"/>
        <v>0</v>
      </c>
      <c r="AK803" s="67">
        <f t="shared" si="101"/>
        <v>0</v>
      </c>
      <c r="AL803" s="67">
        <f t="shared" si="102"/>
        <v>0</v>
      </c>
      <c r="AN803" s="54">
        <v>21</v>
      </c>
      <c r="AO803" s="54">
        <f t="shared" si="103"/>
        <v>0</v>
      </c>
      <c r="AP803" s="54">
        <f t="shared" si="104"/>
        <v>0</v>
      </c>
      <c r="AQ803" s="69" t="s">
        <v>107</v>
      </c>
      <c r="AV803" s="54">
        <f t="shared" si="105"/>
        <v>0</v>
      </c>
      <c r="AW803" s="54">
        <f t="shared" si="106"/>
        <v>0</v>
      </c>
      <c r="AX803" s="54">
        <f t="shared" si="107"/>
        <v>0</v>
      </c>
      <c r="AY803" s="56" t="s">
        <v>1748</v>
      </c>
      <c r="AZ803" s="56" t="s">
        <v>1749</v>
      </c>
      <c r="BA803" s="34" t="s">
        <v>1750</v>
      </c>
      <c r="BC803" s="54">
        <f t="shared" si="108"/>
        <v>0</v>
      </c>
      <c r="BD803" s="54">
        <f t="shared" si="109"/>
        <v>0</v>
      </c>
      <c r="BE803" s="54">
        <v>0</v>
      </c>
      <c r="BF803" s="54">
        <f t="shared" si="110"/>
        <v>0</v>
      </c>
      <c r="BH803" s="67">
        <f t="shared" si="111"/>
        <v>0</v>
      </c>
      <c r="BI803" s="67">
        <f t="shared" si="112"/>
        <v>0</v>
      </c>
      <c r="BJ803" s="67">
        <f t="shared" si="113"/>
        <v>0</v>
      </c>
      <c r="BK803" s="67"/>
      <c r="BL803" s="54"/>
      <c r="BW803" s="54">
        <v>21</v>
      </c>
      <c r="BX803" s="66" t="s">
        <v>1752</v>
      </c>
    </row>
    <row r="804" spans="1:76" ht="14.5" x14ac:dyDescent="0.35">
      <c r="A804" s="64" t="s">
        <v>1934</v>
      </c>
      <c r="B804" s="65" t="s">
        <v>1742</v>
      </c>
      <c r="C804" s="65" t="s">
        <v>1753</v>
      </c>
      <c r="D804" s="217" t="s">
        <v>1754</v>
      </c>
      <c r="E804" s="218"/>
      <c r="F804" s="65" t="s">
        <v>481</v>
      </c>
      <c r="G804" s="67">
        <v>3</v>
      </c>
      <c r="H804" s="85">
        <v>0</v>
      </c>
      <c r="I804" s="67">
        <f t="shared" si="90"/>
        <v>0</v>
      </c>
      <c r="J804" s="67">
        <v>0</v>
      </c>
      <c r="K804" s="67">
        <v>0</v>
      </c>
      <c r="L804" s="67">
        <f t="shared" si="91"/>
        <v>0</v>
      </c>
      <c r="M804" s="68" t="s">
        <v>10</v>
      </c>
      <c r="Z804" s="54">
        <f t="shared" si="92"/>
        <v>0</v>
      </c>
      <c r="AB804" s="54">
        <f t="shared" si="93"/>
        <v>0</v>
      </c>
      <c r="AC804" s="54">
        <f t="shared" si="94"/>
        <v>0</v>
      </c>
      <c r="AD804" s="54">
        <f t="shared" si="95"/>
        <v>0</v>
      </c>
      <c r="AE804" s="54">
        <f t="shared" si="96"/>
        <v>0</v>
      </c>
      <c r="AF804" s="54">
        <f t="shared" si="97"/>
        <v>0</v>
      </c>
      <c r="AG804" s="54">
        <f t="shared" si="98"/>
        <v>0</v>
      </c>
      <c r="AH804" s="54">
        <f t="shared" si="99"/>
        <v>0</v>
      </c>
      <c r="AI804" s="34" t="s">
        <v>1742</v>
      </c>
      <c r="AJ804" s="67">
        <f t="shared" si="100"/>
        <v>0</v>
      </c>
      <c r="AK804" s="67">
        <f t="shared" si="101"/>
        <v>0</v>
      </c>
      <c r="AL804" s="67">
        <f t="shared" si="102"/>
        <v>0</v>
      </c>
      <c r="AN804" s="54">
        <v>21</v>
      </c>
      <c r="AO804" s="54">
        <f t="shared" si="103"/>
        <v>0</v>
      </c>
      <c r="AP804" s="54">
        <f t="shared" si="104"/>
        <v>0</v>
      </c>
      <c r="AQ804" s="69" t="s">
        <v>107</v>
      </c>
      <c r="AV804" s="54">
        <f t="shared" si="105"/>
        <v>0</v>
      </c>
      <c r="AW804" s="54">
        <f t="shared" si="106"/>
        <v>0</v>
      </c>
      <c r="AX804" s="54">
        <f t="shared" si="107"/>
        <v>0</v>
      </c>
      <c r="AY804" s="56" t="s">
        <v>1748</v>
      </c>
      <c r="AZ804" s="56" t="s">
        <v>1749</v>
      </c>
      <c r="BA804" s="34" t="s">
        <v>1750</v>
      </c>
      <c r="BC804" s="54">
        <f t="shared" si="108"/>
        <v>0</v>
      </c>
      <c r="BD804" s="54">
        <f t="shared" si="109"/>
        <v>0</v>
      </c>
      <c r="BE804" s="54">
        <v>0</v>
      </c>
      <c r="BF804" s="54">
        <f t="shared" si="110"/>
        <v>0</v>
      </c>
      <c r="BH804" s="67">
        <f t="shared" si="111"/>
        <v>0</v>
      </c>
      <c r="BI804" s="67">
        <f t="shared" si="112"/>
        <v>0</v>
      </c>
      <c r="BJ804" s="67">
        <f t="shared" si="113"/>
        <v>0</v>
      </c>
      <c r="BK804" s="67"/>
      <c r="BL804" s="54"/>
      <c r="BW804" s="54">
        <v>21</v>
      </c>
      <c r="BX804" s="66" t="s">
        <v>1754</v>
      </c>
    </row>
    <row r="805" spans="1:76" ht="14.5" x14ac:dyDescent="0.35">
      <c r="A805" s="64" t="s">
        <v>1935</v>
      </c>
      <c r="B805" s="65" t="s">
        <v>1742</v>
      </c>
      <c r="C805" s="65" t="s">
        <v>1755</v>
      </c>
      <c r="D805" s="217" t="s">
        <v>1756</v>
      </c>
      <c r="E805" s="218"/>
      <c r="F805" s="65" t="s">
        <v>481</v>
      </c>
      <c r="G805" s="67">
        <v>4</v>
      </c>
      <c r="H805" s="85">
        <v>0</v>
      </c>
      <c r="I805" s="67">
        <f t="shared" si="90"/>
        <v>0</v>
      </c>
      <c r="J805" s="67">
        <v>0</v>
      </c>
      <c r="K805" s="67">
        <v>0</v>
      </c>
      <c r="L805" s="67">
        <f t="shared" si="91"/>
        <v>0</v>
      </c>
      <c r="M805" s="68" t="s">
        <v>10</v>
      </c>
      <c r="Z805" s="54">
        <f t="shared" si="92"/>
        <v>0</v>
      </c>
      <c r="AB805" s="54">
        <f t="shared" si="93"/>
        <v>0</v>
      </c>
      <c r="AC805" s="54">
        <f t="shared" si="94"/>
        <v>0</v>
      </c>
      <c r="AD805" s="54">
        <f t="shared" si="95"/>
        <v>0</v>
      </c>
      <c r="AE805" s="54">
        <f t="shared" si="96"/>
        <v>0</v>
      </c>
      <c r="AF805" s="54">
        <f t="shared" si="97"/>
        <v>0</v>
      </c>
      <c r="AG805" s="54">
        <f t="shared" si="98"/>
        <v>0</v>
      </c>
      <c r="AH805" s="54">
        <f t="shared" si="99"/>
        <v>0</v>
      </c>
      <c r="AI805" s="34" t="s">
        <v>1742</v>
      </c>
      <c r="AJ805" s="67">
        <f t="shared" si="100"/>
        <v>0</v>
      </c>
      <c r="AK805" s="67">
        <f t="shared" si="101"/>
        <v>0</v>
      </c>
      <c r="AL805" s="67">
        <f t="shared" si="102"/>
        <v>0</v>
      </c>
      <c r="AN805" s="54">
        <v>21</v>
      </c>
      <c r="AO805" s="54">
        <f t="shared" si="103"/>
        <v>0</v>
      </c>
      <c r="AP805" s="54">
        <f t="shared" si="104"/>
        <v>0</v>
      </c>
      <c r="AQ805" s="69" t="s">
        <v>107</v>
      </c>
      <c r="AV805" s="54">
        <f t="shared" si="105"/>
        <v>0</v>
      </c>
      <c r="AW805" s="54">
        <f t="shared" si="106"/>
        <v>0</v>
      </c>
      <c r="AX805" s="54">
        <f t="shared" si="107"/>
        <v>0</v>
      </c>
      <c r="AY805" s="56" t="s">
        <v>1748</v>
      </c>
      <c r="AZ805" s="56" t="s">
        <v>1749</v>
      </c>
      <c r="BA805" s="34" t="s">
        <v>1750</v>
      </c>
      <c r="BC805" s="54">
        <f t="shared" si="108"/>
        <v>0</v>
      </c>
      <c r="BD805" s="54">
        <f t="shared" si="109"/>
        <v>0</v>
      </c>
      <c r="BE805" s="54">
        <v>0</v>
      </c>
      <c r="BF805" s="54">
        <f t="shared" si="110"/>
        <v>0</v>
      </c>
      <c r="BH805" s="67">
        <f t="shared" si="111"/>
        <v>0</v>
      </c>
      <c r="BI805" s="67">
        <f t="shared" si="112"/>
        <v>0</v>
      </c>
      <c r="BJ805" s="67">
        <f t="shared" si="113"/>
        <v>0</v>
      </c>
      <c r="BK805" s="67"/>
      <c r="BL805" s="54"/>
      <c r="BW805" s="54">
        <v>21</v>
      </c>
      <c r="BX805" s="66" t="s">
        <v>1756</v>
      </c>
    </row>
    <row r="806" spans="1:76" ht="14.5" x14ac:dyDescent="0.35">
      <c r="A806" s="64" t="s">
        <v>1936</v>
      </c>
      <c r="B806" s="65" t="s">
        <v>1742</v>
      </c>
      <c r="C806" s="65" t="s">
        <v>1757</v>
      </c>
      <c r="D806" s="217" t="s">
        <v>1758</v>
      </c>
      <c r="E806" s="218"/>
      <c r="F806" s="65" t="s">
        <v>481</v>
      </c>
      <c r="G806" s="67">
        <v>1</v>
      </c>
      <c r="H806" s="85">
        <v>0</v>
      </c>
      <c r="I806" s="67">
        <f t="shared" si="90"/>
        <v>0</v>
      </c>
      <c r="J806" s="67">
        <v>0</v>
      </c>
      <c r="K806" s="67">
        <v>0</v>
      </c>
      <c r="L806" s="67">
        <f t="shared" si="91"/>
        <v>0</v>
      </c>
      <c r="M806" s="68" t="s">
        <v>10</v>
      </c>
      <c r="Z806" s="54">
        <f t="shared" si="92"/>
        <v>0</v>
      </c>
      <c r="AB806" s="54">
        <f t="shared" si="93"/>
        <v>0</v>
      </c>
      <c r="AC806" s="54">
        <f t="shared" si="94"/>
        <v>0</v>
      </c>
      <c r="AD806" s="54">
        <f t="shared" si="95"/>
        <v>0</v>
      </c>
      <c r="AE806" s="54">
        <f t="shared" si="96"/>
        <v>0</v>
      </c>
      <c r="AF806" s="54">
        <f t="shared" si="97"/>
        <v>0</v>
      </c>
      <c r="AG806" s="54">
        <f t="shared" si="98"/>
        <v>0</v>
      </c>
      <c r="AH806" s="54">
        <f t="shared" si="99"/>
        <v>0</v>
      </c>
      <c r="AI806" s="34" t="s">
        <v>1742</v>
      </c>
      <c r="AJ806" s="67">
        <f t="shared" si="100"/>
        <v>0</v>
      </c>
      <c r="AK806" s="67">
        <f t="shared" si="101"/>
        <v>0</v>
      </c>
      <c r="AL806" s="67">
        <f t="shared" si="102"/>
        <v>0</v>
      </c>
      <c r="AN806" s="54">
        <v>21</v>
      </c>
      <c r="AO806" s="54">
        <f t="shared" si="103"/>
        <v>0</v>
      </c>
      <c r="AP806" s="54">
        <f t="shared" si="104"/>
        <v>0</v>
      </c>
      <c r="AQ806" s="69" t="s">
        <v>107</v>
      </c>
      <c r="AV806" s="54">
        <f t="shared" si="105"/>
        <v>0</v>
      </c>
      <c r="AW806" s="54">
        <f t="shared" si="106"/>
        <v>0</v>
      </c>
      <c r="AX806" s="54">
        <f t="shared" si="107"/>
        <v>0</v>
      </c>
      <c r="AY806" s="56" t="s">
        <v>1748</v>
      </c>
      <c r="AZ806" s="56" t="s">
        <v>1749</v>
      </c>
      <c r="BA806" s="34" t="s">
        <v>1750</v>
      </c>
      <c r="BC806" s="54">
        <f t="shared" si="108"/>
        <v>0</v>
      </c>
      <c r="BD806" s="54">
        <f t="shared" si="109"/>
        <v>0</v>
      </c>
      <c r="BE806" s="54">
        <v>0</v>
      </c>
      <c r="BF806" s="54">
        <f t="shared" si="110"/>
        <v>0</v>
      </c>
      <c r="BH806" s="67">
        <f t="shared" si="111"/>
        <v>0</v>
      </c>
      <c r="BI806" s="67">
        <f t="shared" si="112"/>
        <v>0</v>
      </c>
      <c r="BJ806" s="67">
        <f t="shared" si="113"/>
        <v>0</v>
      </c>
      <c r="BK806" s="67"/>
      <c r="BL806" s="54"/>
      <c r="BW806" s="54">
        <v>21</v>
      </c>
      <c r="BX806" s="66" t="s">
        <v>1758</v>
      </c>
    </row>
    <row r="807" spans="1:76" ht="14.5" x14ac:dyDescent="0.35">
      <c r="A807" s="64" t="s">
        <v>1937</v>
      </c>
      <c r="B807" s="65" t="s">
        <v>1742</v>
      </c>
      <c r="C807" s="65" t="s">
        <v>1759</v>
      </c>
      <c r="D807" s="217" t="s">
        <v>1760</v>
      </c>
      <c r="E807" s="218"/>
      <c r="F807" s="65" t="s">
        <v>481</v>
      </c>
      <c r="G807" s="67">
        <v>52</v>
      </c>
      <c r="H807" s="85">
        <v>0</v>
      </c>
      <c r="I807" s="67">
        <f t="shared" si="90"/>
        <v>0</v>
      </c>
      <c r="J807" s="67">
        <v>0</v>
      </c>
      <c r="K807" s="67">
        <v>0</v>
      </c>
      <c r="L807" s="67">
        <f t="shared" si="91"/>
        <v>0</v>
      </c>
      <c r="M807" s="68" t="s">
        <v>10</v>
      </c>
      <c r="Z807" s="54">
        <f t="shared" si="92"/>
        <v>0</v>
      </c>
      <c r="AB807" s="54">
        <f t="shared" si="93"/>
        <v>0</v>
      </c>
      <c r="AC807" s="54">
        <f t="shared" si="94"/>
        <v>0</v>
      </c>
      <c r="AD807" s="54">
        <f t="shared" si="95"/>
        <v>0</v>
      </c>
      <c r="AE807" s="54">
        <f t="shared" si="96"/>
        <v>0</v>
      </c>
      <c r="AF807" s="54">
        <f t="shared" si="97"/>
        <v>0</v>
      </c>
      <c r="AG807" s="54">
        <f t="shared" si="98"/>
        <v>0</v>
      </c>
      <c r="AH807" s="54">
        <f t="shared" si="99"/>
        <v>0</v>
      </c>
      <c r="AI807" s="34" t="s">
        <v>1742</v>
      </c>
      <c r="AJ807" s="67">
        <f t="shared" si="100"/>
        <v>0</v>
      </c>
      <c r="AK807" s="67">
        <f t="shared" si="101"/>
        <v>0</v>
      </c>
      <c r="AL807" s="67">
        <f t="shared" si="102"/>
        <v>0</v>
      </c>
      <c r="AN807" s="54">
        <v>21</v>
      </c>
      <c r="AO807" s="54">
        <f t="shared" si="103"/>
        <v>0</v>
      </c>
      <c r="AP807" s="54">
        <f t="shared" si="104"/>
        <v>0</v>
      </c>
      <c r="AQ807" s="69" t="s">
        <v>107</v>
      </c>
      <c r="AV807" s="54">
        <f t="shared" si="105"/>
        <v>0</v>
      </c>
      <c r="AW807" s="54">
        <f t="shared" si="106"/>
        <v>0</v>
      </c>
      <c r="AX807" s="54">
        <f t="shared" si="107"/>
        <v>0</v>
      </c>
      <c r="AY807" s="56" t="s">
        <v>1748</v>
      </c>
      <c r="AZ807" s="56" t="s">
        <v>1749</v>
      </c>
      <c r="BA807" s="34" t="s">
        <v>1750</v>
      </c>
      <c r="BC807" s="54">
        <f t="shared" si="108"/>
        <v>0</v>
      </c>
      <c r="BD807" s="54">
        <f t="shared" si="109"/>
        <v>0</v>
      </c>
      <c r="BE807" s="54">
        <v>0</v>
      </c>
      <c r="BF807" s="54">
        <f t="shared" si="110"/>
        <v>0</v>
      </c>
      <c r="BH807" s="67">
        <f t="shared" si="111"/>
        <v>0</v>
      </c>
      <c r="BI807" s="67">
        <f t="shared" si="112"/>
        <v>0</v>
      </c>
      <c r="BJ807" s="67">
        <f t="shared" si="113"/>
        <v>0</v>
      </c>
      <c r="BK807" s="67"/>
      <c r="BL807" s="54"/>
      <c r="BW807" s="54">
        <v>21</v>
      </c>
      <c r="BX807" s="66" t="s">
        <v>1760</v>
      </c>
    </row>
    <row r="808" spans="1:76" ht="14.5" x14ac:dyDescent="0.35">
      <c r="A808" s="64" t="s">
        <v>1938</v>
      </c>
      <c r="B808" s="65" t="s">
        <v>1742</v>
      </c>
      <c r="C808" s="65" t="s">
        <v>1761</v>
      </c>
      <c r="D808" s="217" t="s">
        <v>1762</v>
      </c>
      <c r="E808" s="218"/>
      <c r="F808" s="65" t="s">
        <v>481</v>
      </c>
      <c r="G808" s="67">
        <v>52</v>
      </c>
      <c r="H808" s="85">
        <v>0</v>
      </c>
      <c r="I808" s="67">
        <f t="shared" si="90"/>
        <v>0</v>
      </c>
      <c r="J808" s="67">
        <v>0</v>
      </c>
      <c r="K808" s="67">
        <v>0</v>
      </c>
      <c r="L808" s="67">
        <f t="shared" si="91"/>
        <v>0</v>
      </c>
      <c r="M808" s="68" t="s">
        <v>10</v>
      </c>
      <c r="Z808" s="54">
        <f t="shared" si="92"/>
        <v>0</v>
      </c>
      <c r="AB808" s="54">
        <f t="shared" si="93"/>
        <v>0</v>
      </c>
      <c r="AC808" s="54">
        <f t="shared" si="94"/>
        <v>0</v>
      </c>
      <c r="AD808" s="54">
        <f t="shared" si="95"/>
        <v>0</v>
      </c>
      <c r="AE808" s="54">
        <f t="shared" si="96"/>
        <v>0</v>
      </c>
      <c r="AF808" s="54">
        <f t="shared" si="97"/>
        <v>0</v>
      </c>
      <c r="AG808" s="54">
        <f t="shared" si="98"/>
        <v>0</v>
      </c>
      <c r="AH808" s="54">
        <f t="shared" si="99"/>
        <v>0</v>
      </c>
      <c r="AI808" s="34" t="s">
        <v>1742</v>
      </c>
      <c r="AJ808" s="67">
        <f t="shared" si="100"/>
        <v>0</v>
      </c>
      <c r="AK808" s="67">
        <f t="shared" si="101"/>
        <v>0</v>
      </c>
      <c r="AL808" s="67">
        <f t="shared" si="102"/>
        <v>0</v>
      </c>
      <c r="AN808" s="54">
        <v>21</v>
      </c>
      <c r="AO808" s="54">
        <f t="shared" si="103"/>
        <v>0</v>
      </c>
      <c r="AP808" s="54">
        <f t="shared" si="104"/>
        <v>0</v>
      </c>
      <c r="AQ808" s="69" t="s">
        <v>107</v>
      </c>
      <c r="AV808" s="54">
        <f t="shared" si="105"/>
        <v>0</v>
      </c>
      <c r="AW808" s="54">
        <f t="shared" si="106"/>
        <v>0</v>
      </c>
      <c r="AX808" s="54">
        <f t="shared" si="107"/>
        <v>0</v>
      </c>
      <c r="AY808" s="56" t="s">
        <v>1748</v>
      </c>
      <c r="AZ808" s="56" t="s">
        <v>1749</v>
      </c>
      <c r="BA808" s="34" t="s">
        <v>1750</v>
      </c>
      <c r="BC808" s="54">
        <f t="shared" si="108"/>
        <v>0</v>
      </c>
      <c r="BD808" s="54">
        <f t="shared" si="109"/>
        <v>0</v>
      </c>
      <c r="BE808" s="54">
        <v>0</v>
      </c>
      <c r="BF808" s="54">
        <f t="shared" si="110"/>
        <v>0</v>
      </c>
      <c r="BH808" s="67">
        <f t="shared" si="111"/>
        <v>0</v>
      </c>
      <c r="BI808" s="67">
        <f t="shared" si="112"/>
        <v>0</v>
      </c>
      <c r="BJ808" s="67">
        <f t="shared" si="113"/>
        <v>0</v>
      </c>
      <c r="BK808" s="67"/>
      <c r="BL808" s="54"/>
      <c r="BW808" s="54">
        <v>21</v>
      </c>
      <c r="BX808" s="66" t="s">
        <v>1762</v>
      </c>
    </row>
    <row r="809" spans="1:76" ht="14.5" x14ac:dyDescent="0.35">
      <c r="A809" s="64" t="s">
        <v>1939</v>
      </c>
      <c r="B809" s="65" t="s">
        <v>1742</v>
      </c>
      <c r="C809" s="65" t="s">
        <v>1763</v>
      </c>
      <c r="D809" s="217" t="s">
        <v>1764</v>
      </c>
      <c r="E809" s="218"/>
      <c r="F809" s="65" t="s">
        <v>153</v>
      </c>
      <c r="G809" s="67">
        <v>400</v>
      </c>
      <c r="H809" s="85">
        <v>0</v>
      </c>
      <c r="I809" s="67">
        <f t="shared" si="90"/>
        <v>0</v>
      </c>
      <c r="J809" s="67">
        <v>0</v>
      </c>
      <c r="K809" s="67">
        <v>0</v>
      </c>
      <c r="L809" s="67">
        <f t="shared" si="91"/>
        <v>0</v>
      </c>
      <c r="M809" s="68" t="s">
        <v>10</v>
      </c>
      <c r="Z809" s="54">
        <f t="shared" si="92"/>
        <v>0</v>
      </c>
      <c r="AB809" s="54">
        <f t="shared" si="93"/>
        <v>0</v>
      </c>
      <c r="AC809" s="54">
        <f t="shared" si="94"/>
        <v>0</v>
      </c>
      <c r="AD809" s="54">
        <f t="shared" si="95"/>
        <v>0</v>
      </c>
      <c r="AE809" s="54">
        <f t="shared" si="96"/>
        <v>0</v>
      </c>
      <c r="AF809" s="54">
        <f t="shared" si="97"/>
        <v>0</v>
      </c>
      <c r="AG809" s="54">
        <f t="shared" si="98"/>
        <v>0</v>
      </c>
      <c r="AH809" s="54">
        <f t="shared" si="99"/>
        <v>0</v>
      </c>
      <c r="AI809" s="34" t="s">
        <v>1742</v>
      </c>
      <c r="AJ809" s="67">
        <f t="shared" si="100"/>
        <v>0</v>
      </c>
      <c r="AK809" s="67">
        <f t="shared" si="101"/>
        <v>0</v>
      </c>
      <c r="AL809" s="67">
        <f t="shared" si="102"/>
        <v>0</v>
      </c>
      <c r="AN809" s="54">
        <v>21</v>
      </c>
      <c r="AO809" s="54">
        <f t="shared" si="103"/>
        <v>0</v>
      </c>
      <c r="AP809" s="54">
        <f t="shared" si="104"/>
        <v>0</v>
      </c>
      <c r="AQ809" s="69" t="s">
        <v>107</v>
      </c>
      <c r="AV809" s="54">
        <f t="shared" si="105"/>
        <v>0</v>
      </c>
      <c r="AW809" s="54">
        <f t="shared" si="106"/>
        <v>0</v>
      </c>
      <c r="AX809" s="54">
        <f t="shared" si="107"/>
        <v>0</v>
      </c>
      <c r="AY809" s="56" t="s">
        <v>1748</v>
      </c>
      <c r="AZ809" s="56" t="s">
        <v>1749</v>
      </c>
      <c r="BA809" s="34" t="s">
        <v>1750</v>
      </c>
      <c r="BC809" s="54">
        <f t="shared" si="108"/>
        <v>0</v>
      </c>
      <c r="BD809" s="54">
        <f t="shared" si="109"/>
        <v>0</v>
      </c>
      <c r="BE809" s="54">
        <v>0</v>
      </c>
      <c r="BF809" s="54">
        <f t="shared" si="110"/>
        <v>0</v>
      </c>
      <c r="BH809" s="67">
        <f t="shared" si="111"/>
        <v>0</v>
      </c>
      <c r="BI809" s="67">
        <f t="shared" si="112"/>
        <v>0</v>
      </c>
      <c r="BJ809" s="67">
        <f t="shared" si="113"/>
        <v>0</v>
      </c>
      <c r="BK809" s="67"/>
      <c r="BL809" s="54"/>
      <c r="BW809" s="54">
        <v>21</v>
      </c>
      <c r="BX809" s="66" t="s">
        <v>1764</v>
      </c>
    </row>
    <row r="810" spans="1:76" ht="14.5" x14ac:dyDescent="0.35">
      <c r="A810" s="64" t="s">
        <v>1940</v>
      </c>
      <c r="B810" s="65" t="s">
        <v>1742</v>
      </c>
      <c r="C810" s="65" t="s">
        <v>1765</v>
      </c>
      <c r="D810" s="217" t="s">
        <v>1766</v>
      </c>
      <c r="E810" s="218"/>
      <c r="F810" s="65" t="s">
        <v>481</v>
      </c>
      <c r="G810" s="67">
        <v>76</v>
      </c>
      <c r="H810" s="85">
        <v>0</v>
      </c>
      <c r="I810" s="67">
        <f t="shared" si="90"/>
        <v>0</v>
      </c>
      <c r="J810" s="67">
        <v>0</v>
      </c>
      <c r="K810" s="67">
        <v>0</v>
      </c>
      <c r="L810" s="67">
        <f t="shared" si="91"/>
        <v>0</v>
      </c>
      <c r="M810" s="68" t="s">
        <v>10</v>
      </c>
      <c r="Z810" s="54">
        <f t="shared" si="92"/>
        <v>0</v>
      </c>
      <c r="AB810" s="54">
        <f t="shared" si="93"/>
        <v>0</v>
      </c>
      <c r="AC810" s="54">
        <f t="shared" si="94"/>
        <v>0</v>
      </c>
      <c r="AD810" s="54">
        <f t="shared" si="95"/>
        <v>0</v>
      </c>
      <c r="AE810" s="54">
        <f t="shared" si="96"/>
        <v>0</v>
      </c>
      <c r="AF810" s="54">
        <f t="shared" si="97"/>
        <v>0</v>
      </c>
      <c r="AG810" s="54">
        <f t="shared" si="98"/>
        <v>0</v>
      </c>
      <c r="AH810" s="54">
        <f t="shared" si="99"/>
        <v>0</v>
      </c>
      <c r="AI810" s="34" t="s">
        <v>1742</v>
      </c>
      <c r="AJ810" s="67">
        <f t="shared" si="100"/>
        <v>0</v>
      </c>
      <c r="AK810" s="67">
        <f t="shared" si="101"/>
        <v>0</v>
      </c>
      <c r="AL810" s="67">
        <f t="shared" si="102"/>
        <v>0</v>
      </c>
      <c r="AN810" s="54">
        <v>21</v>
      </c>
      <c r="AO810" s="54">
        <f t="shared" si="103"/>
        <v>0</v>
      </c>
      <c r="AP810" s="54">
        <f t="shared" si="104"/>
        <v>0</v>
      </c>
      <c r="AQ810" s="69" t="s">
        <v>107</v>
      </c>
      <c r="AV810" s="54">
        <f t="shared" si="105"/>
        <v>0</v>
      </c>
      <c r="AW810" s="54">
        <f t="shared" si="106"/>
        <v>0</v>
      </c>
      <c r="AX810" s="54">
        <f t="shared" si="107"/>
        <v>0</v>
      </c>
      <c r="AY810" s="56" t="s">
        <v>1748</v>
      </c>
      <c r="AZ810" s="56" t="s">
        <v>1749</v>
      </c>
      <c r="BA810" s="34" t="s">
        <v>1750</v>
      </c>
      <c r="BC810" s="54">
        <f t="shared" si="108"/>
        <v>0</v>
      </c>
      <c r="BD810" s="54">
        <f t="shared" si="109"/>
        <v>0</v>
      </c>
      <c r="BE810" s="54">
        <v>0</v>
      </c>
      <c r="BF810" s="54">
        <f t="shared" si="110"/>
        <v>0</v>
      </c>
      <c r="BH810" s="67">
        <f t="shared" si="111"/>
        <v>0</v>
      </c>
      <c r="BI810" s="67">
        <f t="shared" si="112"/>
        <v>0</v>
      </c>
      <c r="BJ810" s="67">
        <f t="shared" si="113"/>
        <v>0</v>
      </c>
      <c r="BK810" s="67"/>
      <c r="BL810" s="54"/>
      <c r="BW810" s="54">
        <v>21</v>
      </c>
      <c r="BX810" s="66" t="s">
        <v>1766</v>
      </c>
    </row>
    <row r="811" spans="1:76" ht="14.5" x14ac:dyDescent="0.35">
      <c r="A811" s="64" t="s">
        <v>1941</v>
      </c>
      <c r="B811" s="65" t="s">
        <v>1742</v>
      </c>
      <c r="C811" s="65" t="s">
        <v>1767</v>
      </c>
      <c r="D811" s="217" t="s">
        <v>1768</v>
      </c>
      <c r="E811" s="218"/>
      <c r="F811" s="65" t="s">
        <v>153</v>
      </c>
      <c r="G811" s="67">
        <v>6</v>
      </c>
      <c r="H811" s="85">
        <v>0</v>
      </c>
      <c r="I811" s="67">
        <f t="shared" si="90"/>
        <v>0</v>
      </c>
      <c r="J811" s="67">
        <v>0</v>
      </c>
      <c r="K811" s="67">
        <v>0</v>
      </c>
      <c r="L811" s="67">
        <f t="shared" si="91"/>
        <v>0</v>
      </c>
      <c r="M811" s="68" t="s">
        <v>10</v>
      </c>
      <c r="Z811" s="54">
        <f t="shared" si="92"/>
        <v>0</v>
      </c>
      <c r="AB811" s="54">
        <f t="shared" si="93"/>
        <v>0</v>
      </c>
      <c r="AC811" s="54">
        <f t="shared" si="94"/>
        <v>0</v>
      </c>
      <c r="AD811" s="54">
        <f t="shared" si="95"/>
        <v>0</v>
      </c>
      <c r="AE811" s="54">
        <f t="shared" si="96"/>
        <v>0</v>
      </c>
      <c r="AF811" s="54">
        <f t="shared" si="97"/>
        <v>0</v>
      </c>
      <c r="AG811" s="54">
        <f t="shared" si="98"/>
        <v>0</v>
      </c>
      <c r="AH811" s="54">
        <f t="shared" si="99"/>
        <v>0</v>
      </c>
      <c r="AI811" s="34" t="s">
        <v>1742</v>
      </c>
      <c r="AJ811" s="67">
        <f t="shared" si="100"/>
        <v>0</v>
      </c>
      <c r="AK811" s="67">
        <f t="shared" si="101"/>
        <v>0</v>
      </c>
      <c r="AL811" s="67">
        <f t="shared" si="102"/>
        <v>0</v>
      </c>
      <c r="AN811" s="54">
        <v>21</v>
      </c>
      <c r="AO811" s="54">
        <f t="shared" si="103"/>
        <v>0</v>
      </c>
      <c r="AP811" s="54">
        <f t="shared" si="104"/>
        <v>0</v>
      </c>
      <c r="AQ811" s="69" t="s">
        <v>107</v>
      </c>
      <c r="AV811" s="54">
        <f t="shared" si="105"/>
        <v>0</v>
      </c>
      <c r="AW811" s="54">
        <f t="shared" si="106"/>
        <v>0</v>
      </c>
      <c r="AX811" s="54">
        <f t="shared" si="107"/>
        <v>0</v>
      </c>
      <c r="AY811" s="56" t="s">
        <v>1748</v>
      </c>
      <c r="AZ811" s="56" t="s">
        <v>1749</v>
      </c>
      <c r="BA811" s="34" t="s">
        <v>1750</v>
      </c>
      <c r="BC811" s="54">
        <f t="shared" si="108"/>
        <v>0</v>
      </c>
      <c r="BD811" s="54">
        <f t="shared" si="109"/>
        <v>0</v>
      </c>
      <c r="BE811" s="54">
        <v>0</v>
      </c>
      <c r="BF811" s="54">
        <f t="shared" si="110"/>
        <v>0</v>
      </c>
      <c r="BH811" s="67">
        <f t="shared" si="111"/>
        <v>0</v>
      </c>
      <c r="BI811" s="67">
        <f t="shared" si="112"/>
        <v>0</v>
      </c>
      <c r="BJ811" s="67">
        <f t="shared" si="113"/>
        <v>0</v>
      </c>
      <c r="BK811" s="67"/>
      <c r="BL811" s="54"/>
      <c r="BW811" s="54">
        <v>21</v>
      </c>
      <c r="BX811" s="66" t="s">
        <v>1768</v>
      </c>
    </row>
    <row r="812" spans="1:76" ht="14.5" x14ac:dyDescent="0.35">
      <c r="A812" s="64" t="s">
        <v>1942</v>
      </c>
      <c r="B812" s="65" t="s">
        <v>1742</v>
      </c>
      <c r="C812" s="65" t="s">
        <v>1769</v>
      </c>
      <c r="D812" s="217" t="s">
        <v>1770</v>
      </c>
      <c r="E812" s="218"/>
      <c r="F812" s="65" t="s">
        <v>153</v>
      </c>
      <c r="G812" s="67">
        <v>40</v>
      </c>
      <c r="H812" s="85">
        <v>0</v>
      </c>
      <c r="I812" s="67">
        <f t="shared" si="90"/>
        <v>0</v>
      </c>
      <c r="J812" s="67">
        <v>0</v>
      </c>
      <c r="K812" s="67">
        <v>0</v>
      </c>
      <c r="L812" s="67">
        <f t="shared" si="91"/>
        <v>0</v>
      </c>
      <c r="M812" s="68" t="s">
        <v>10</v>
      </c>
      <c r="Z812" s="54">
        <f t="shared" si="92"/>
        <v>0</v>
      </c>
      <c r="AB812" s="54">
        <f t="shared" si="93"/>
        <v>0</v>
      </c>
      <c r="AC812" s="54">
        <f t="shared" si="94"/>
        <v>0</v>
      </c>
      <c r="AD812" s="54">
        <f t="shared" si="95"/>
        <v>0</v>
      </c>
      <c r="AE812" s="54">
        <f t="shared" si="96"/>
        <v>0</v>
      </c>
      <c r="AF812" s="54">
        <f t="shared" si="97"/>
        <v>0</v>
      </c>
      <c r="AG812" s="54">
        <f t="shared" si="98"/>
        <v>0</v>
      </c>
      <c r="AH812" s="54">
        <f t="shared" si="99"/>
        <v>0</v>
      </c>
      <c r="AI812" s="34" t="s">
        <v>1742</v>
      </c>
      <c r="AJ812" s="67">
        <f t="shared" si="100"/>
        <v>0</v>
      </c>
      <c r="AK812" s="67">
        <f t="shared" si="101"/>
        <v>0</v>
      </c>
      <c r="AL812" s="67">
        <f t="shared" si="102"/>
        <v>0</v>
      </c>
      <c r="AN812" s="54">
        <v>21</v>
      </c>
      <c r="AO812" s="54">
        <f t="shared" si="103"/>
        <v>0</v>
      </c>
      <c r="AP812" s="54">
        <f t="shared" si="104"/>
        <v>0</v>
      </c>
      <c r="AQ812" s="69" t="s">
        <v>107</v>
      </c>
      <c r="AV812" s="54">
        <f t="shared" si="105"/>
        <v>0</v>
      </c>
      <c r="AW812" s="54">
        <f t="shared" si="106"/>
        <v>0</v>
      </c>
      <c r="AX812" s="54">
        <f t="shared" si="107"/>
        <v>0</v>
      </c>
      <c r="AY812" s="56" t="s">
        <v>1748</v>
      </c>
      <c r="AZ812" s="56" t="s">
        <v>1749</v>
      </c>
      <c r="BA812" s="34" t="s">
        <v>1750</v>
      </c>
      <c r="BC812" s="54">
        <f t="shared" si="108"/>
        <v>0</v>
      </c>
      <c r="BD812" s="54">
        <f t="shared" si="109"/>
        <v>0</v>
      </c>
      <c r="BE812" s="54">
        <v>0</v>
      </c>
      <c r="BF812" s="54">
        <f t="shared" si="110"/>
        <v>0</v>
      </c>
      <c r="BH812" s="67">
        <f t="shared" si="111"/>
        <v>0</v>
      </c>
      <c r="BI812" s="67">
        <f t="shared" si="112"/>
        <v>0</v>
      </c>
      <c r="BJ812" s="67">
        <f t="shared" si="113"/>
        <v>0</v>
      </c>
      <c r="BK812" s="67"/>
      <c r="BL812" s="54"/>
      <c r="BW812" s="54">
        <v>21</v>
      </c>
      <c r="BX812" s="66" t="s">
        <v>1770</v>
      </c>
    </row>
    <row r="813" spans="1:76" ht="14.5" x14ac:dyDescent="0.35">
      <c r="A813" s="64" t="s">
        <v>1943</v>
      </c>
      <c r="B813" s="65" t="s">
        <v>1742</v>
      </c>
      <c r="C813" s="65" t="s">
        <v>1771</v>
      </c>
      <c r="D813" s="217" t="s">
        <v>1772</v>
      </c>
      <c r="E813" s="218"/>
      <c r="F813" s="65" t="s">
        <v>481</v>
      </c>
      <c r="G813" s="67">
        <v>38</v>
      </c>
      <c r="H813" s="85">
        <v>0</v>
      </c>
      <c r="I813" s="67">
        <f t="shared" si="90"/>
        <v>0</v>
      </c>
      <c r="J813" s="67">
        <v>0</v>
      </c>
      <c r="K813" s="67">
        <v>0</v>
      </c>
      <c r="L813" s="67">
        <f t="shared" si="91"/>
        <v>0</v>
      </c>
      <c r="M813" s="68" t="s">
        <v>10</v>
      </c>
      <c r="Z813" s="54">
        <f t="shared" si="92"/>
        <v>0</v>
      </c>
      <c r="AB813" s="54">
        <f t="shared" si="93"/>
        <v>0</v>
      </c>
      <c r="AC813" s="54">
        <f t="shared" si="94"/>
        <v>0</v>
      </c>
      <c r="AD813" s="54">
        <f t="shared" si="95"/>
        <v>0</v>
      </c>
      <c r="AE813" s="54">
        <f t="shared" si="96"/>
        <v>0</v>
      </c>
      <c r="AF813" s="54">
        <f t="shared" si="97"/>
        <v>0</v>
      </c>
      <c r="AG813" s="54">
        <f t="shared" si="98"/>
        <v>0</v>
      </c>
      <c r="AH813" s="54">
        <f t="shared" si="99"/>
        <v>0</v>
      </c>
      <c r="AI813" s="34" t="s">
        <v>1742</v>
      </c>
      <c r="AJ813" s="67">
        <f t="shared" si="100"/>
        <v>0</v>
      </c>
      <c r="AK813" s="67">
        <f t="shared" si="101"/>
        <v>0</v>
      </c>
      <c r="AL813" s="67">
        <f t="shared" si="102"/>
        <v>0</v>
      </c>
      <c r="AN813" s="54">
        <v>21</v>
      </c>
      <c r="AO813" s="54">
        <f t="shared" si="103"/>
        <v>0</v>
      </c>
      <c r="AP813" s="54">
        <f t="shared" si="104"/>
        <v>0</v>
      </c>
      <c r="AQ813" s="69" t="s">
        <v>107</v>
      </c>
      <c r="AV813" s="54">
        <f t="shared" si="105"/>
        <v>0</v>
      </c>
      <c r="AW813" s="54">
        <f t="shared" si="106"/>
        <v>0</v>
      </c>
      <c r="AX813" s="54">
        <f t="shared" si="107"/>
        <v>0</v>
      </c>
      <c r="AY813" s="56" t="s">
        <v>1748</v>
      </c>
      <c r="AZ813" s="56" t="s">
        <v>1749</v>
      </c>
      <c r="BA813" s="34" t="s">
        <v>1750</v>
      </c>
      <c r="BC813" s="54">
        <f t="shared" si="108"/>
        <v>0</v>
      </c>
      <c r="BD813" s="54">
        <f t="shared" si="109"/>
        <v>0</v>
      </c>
      <c r="BE813" s="54">
        <v>0</v>
      </c>
      <c r="BF813" s="54">
        <f t="shared" si="110"/>
        <v>0</v>
      </c>
      <c r="BH813" s="67">
        <f t="shared" si="111"/>
        <v>0</v>
      </c>
      <c r="BI813" s="67">
        <f t="shared" si="112"/>
        <v>0</v>
      </c>
      <c r="BJ813" s="67">
        <f t="shared" si="113"/>
        <v>0</v>
      </c>
      <c r="BK813" s="67"/>
      <c r="BL813" s="54"/>
      <c r="BW813" s="54">
        <v>21</v>
      </c>
      <c r="BX813" s="66" t="s">
        <v>1772</v>
      </c>
    </row>
    <row r="814" spans="1:76" ht="14.5" x14ac:dyDescent="0.35">
      <c r="A814" s="64" t="s">
        <v>1944</v>
      </c>
      <c r="B814" s="65" t="s">
        <v>1742</v>
      </c>
      <c r="C814" s="65" t="s">
        <v>1773</v>
      </c>
      <c r="D814" s="217" t="s">
        <v>1774</v>
      </c>
      <c r="E814" s="218"/>
      <c r="F814" s="65" t="s">
        <v>481</v>
      </c>
      <c r="G814" s="67">
        <v>41</v>
      </c>
      <c r="H814" s="85">
        <v>0</v>
      </c>
      <c r="I814" s="67">
        <f t="shared" si="90"/>
        <v>0</v>
      </c>
      <c r="J814" s="67">
        <v>0</v>
      </c>
      <c r="K814" s="67">
        <v>0</v>
      </c>
      <c r="L814" s="67">
        <f t="shared" si="91"/>
        <v>0</v>
      </c>
      <c r="M814" s="68" t="s">
        <v>10</v>
      </c>
      <c r="Z814" s="54">
        <f t="shared" si="92"/>
        <v>0</v>
      </c>
      <c r="AB814" s="54">
        <f t="shared" si="93"/>
        <v>0</v>
      </c>
      <c r="AC814" s="54">
        <f t="shared" si="94"/>
        <v>0</v>
      </c>
      <c r="AD814" s="54">
        <f t="shared" si="95"/>
        <v>0</v>
      </c>
      <c r="AE814" s="54">
        <f t="shared" si="96"/>
        <v>0</v>
      </c>
      <c r="AF814" s="54">
        <f t="shared" si="97"/>
        <v>0</v>
      </c>
      <c r="AG814" s="54">
        <f t="shared" si="98"/>
        <v>0</v>
      </c>
      <c r="AH814" s="54">
        <f t="shared" si="99"/>
        <v>0</v>
      </c>
      <c r="AI814" s="34" t="s">
        <v>1742</v>
      </c>
      <c r="AJ814" s="67">
        <f t="shared" si="100"/>
        <v>0</v>
      </c>
      <c r="AK814" s="67">
        <f t="shared" si="101"/>
        <v>0</v>
      </c>
      <c r="AL814" s="67">
        <f t="shared" si="102"/>
        <v>0</v>
      </c>
      <c r="AN814" s="54">
        <v>21</v>
      </c>
      <c r="AO814" s="54">
        <f t="shared" si="103"/>
        <v>0</v>
      </c>
      <c r="AP814" s="54">
        <f t="shared" si="104"/>
        <v>0</v>
      </c>
      <c r="AQ814" s="69" t="s">
        <v>107</v>
      </c>
      <c r="AV814" s="54">
        <f t="shared" si="105"/>
        <v>0</v>
      </c>
      <c r="AW814" s="54">
        <f t="shared" si="106"/>
        <v>0</v>
      </c>
      <c r="AX814" s="54">
        <f t="shared" si="107"/>
        <v>0</v>
      </c>
      <c r="AY814" s="56" t="s">
        <v>1748</v>
      </c>
      <c r="AZ814" s="56" t="s">
        <v>1749</v>
      </c>
      <c r="BA814" s="34" t="s">
        <v>1750</v>
      </c>
      <c r="BC814" s="54">
        <f t="shared" si="108"/>
        <v>0</v>
      </c>
      <c r="BD814" s="54">
        <f t="shared" si="109"/>
        <v>0</v>
      </c>
      <c r="BE814" s="54">
        <v>0</v>
      </c>
      <c r="BF814" s="54">
        <f t="shared" si="110"/>
        <v>0</v>
      </c>
      <c r="BH814" s="67">
        <f t="shared" si="111"/>
        <v>0</v>
      </c>
      <c r="BI814" s="67">
        <f t="shared" si="112"/>
        <v>0</v>
      </c>
      <c r="BJ814" s="67">
        <f t="shared" si="113"/>
        <v>0</v>
      </c>
      <c r="BK814" s="67"/>
      <c r="BL814" s="54"/>
      <c r="BW814" s="54">
        <v>21</v>
      </c>
      <c r="BX814" s="66" t="s">
        <v>1774</v>
      </c>
    </row>
    <row r="815" spans="1:76" ht="14.5" x14ac:dyDescent="0.35">
      <c r="A815" s="64" t="s">
        <v>1945</v>
      </c>
      <c r="B815" s="65" t="s">
        <v>1742</v>
      </c>
      <c r="C815" s="65" t="s">
        <v>1775</v>
      </c>
      <c r="D815" s="217" t="s">
        <v>1776</v>
      </c>
      <c r="E815" s="218"/>
      <c r="F815" s="65" t="s">
        <v>153</v>
      </c>
      <c r="G815" s="67">
        <v>2200</v>
      </c>
      <c r="H815" s="85">
        <v>0</v>
      </c>
      <c r="I815" s="67">
        <f t="shared" si="90"/>
        <v>0</v>
      </c>
      <c r="J815" s="67">
        <v>0</v>
      </c>
      <c r="K815" s="67">
        <v>0</v>
      </c>
      <c r="L815" s="67">
        <f t="shared" si="91"/>
        <v>0</v>
      </c>
      <c r="M815" s="68" t="s">
        <v>10</v>
      </c>
      <c r="Z815" s="54">
        <f t="shared" si="92"/>
        <v>0</v>
      </c>
      <c r="AB815" s="54">
        <f t="shared" si="93"/>
        <v>0</v>
      </c>
      <c r="AC815" s="54">
        <f t="shared" si="94"/>
        <v>0</v>
      </c>
      <c r="AD815" s="54">
        <f t="shared" si="95"/>
        <v>0</v>
      </c>
      <c r="AE815" s="54">
        <f t="shared" si="96"/>
        <v>0</v>
      </c>
      <c r="AF815" s="54">
        <f t="shared" si="97"/>
        <v>0</v>
      </c>
      <c r="AG815" s="54">
        <f t="shared" si="98"/>
        <v>0</v>
      </c>
      <c r="AH815" s="54">
        <f t="shared" si="99"/>
        <v>0</v>
      </c>
      <c r="AI815" s="34" t="s">
        <v>1742</v>
      </c>
      <c r="AJ815" s="67">
        <f t="shared" si="100"/>
        <v>0</v>
      </c>
      <c r="AK815" s="67">
        <f t="shared" si="101"/>
        <v>0</v>
      </c>
      <c r="AL815" s="67">
        <f t="shared" si="102"/>
        <v>0</v>
      </c>
      <c r="AN815" s="54">
        <v>21</v>
      </c>
      <c r="AO815" s="54">
        <f t="shared" si="103"/>
        <v>0</v>
      </c>
      <c r="AP815" s="54">
        <f t="shared" si="104"/>
        <v>0</v>
      </c>
      <c r="AQ815" s="69" t="s">
        <v>107</v>
      </c>
      <c r="AV815" s="54">
        <f t="shared" si="105"/>
        <v>0</v>
      </c>
      <c r="AW815" s="54">
        <f t="shared" si="106"/>
        <v>0</v>
      </c>
      <c r="AX815" s="54">
        <f t="shared" si="107"/>
        <v>0</v>
      </c>
      <c r="AY815" s="56" t="s">
        <v>1748</v>
      </c>
      <c r="AZ815" s="56" t="s">
        <v>1749</v>
      </c>
      <c r="BA815" s="34" t="s">
        <v>1750</v>
      </c>
      <c r="BC815" s="54">
        <f t="shared" si="108"/>
        <v>0</v>
      </c>
      <c r="BD815" s="54">
        <f t="shared" si="109"/>
        <v>0</v>
      </c>
      <c r="BE815" s="54">
        <v>0</v>
      </c>
      <c r="BF815" s="54">
        <f t="shared" si="110"/>
        <v>0</v>
      </c>
      <c r="BH815" s="67">
        <f t="shared" si="111"/>
        <v>0</v>
      </c>
      <c r="BI815" s="67">
        <f t="shared" si="112"/>
        <v>0</v>
      </c>
      <c r="BJ815" s="67">
        <f t="shared" si="113"/>
        <v>0</v>
      </c>
      <c r="BK815" s="67"/>
      <c r="BL815" s="54"/>
      <c r="BW815" s="54">
        <v>21</v>
      </c>
      <c r="BX815" s="66" t="s">
        <v>1776</v>
      </c>
    </row>
    <row r="816" spans="1:76" ht="14.5" x14ac:dyDescent="0.35">
      <c r="A816" s="64" t="s">
        <v>1946</v>
      </c>
      <c r="B816" s="65" t="s">
        <v>1742</v>
      </c>
      <c r="C816" s="65" t="s">
        <v>1777</v>
      </c>
      <c r="D816" s="217" t="s">
        <v>1778</v>
      </c>
      <c r="E816" s="218"/>
      <c r="F816" s="65" t="s">
        <v>153</v>
      </c>
      <c r="G816" s="67">
        <v>350</v>
      </c>
      <c r="H816" s="85">
        <v>0</v>
      </c>
      <c r="I816" s="67">
        <f t="shared" si="90"/>
        <v>0</v>
      </c>
      <c r="J816" s="67">
        <v>0</v>
      </c>
      <c r="K816" s="67">
        <v>0</v>
      </c>
      <c r="L816" s="67">
        <f t="shared" si="91"/>
        <v>0</v>
      </c>
      <c r="M816" s="68" t="s">
        <v>10</v>
      </c>
      <c r="Z816" s="54">
        <f t="shared" si="92"/>
        <v>0</v>
      </c>
      <c r="AB816" s="54">
        <f t="shared" si="93"/>
        <v>0</v>
      </c>
      <c r="AC816" s="54">
        <f t="shared" si="94"/>
        <v>0</v>
      </c>
      <c r="AD816" s="54">
        <f t="shared" si="95"/>
        <v>0</v>
      </c>
      <c r="AE816" s="54">
        <f t="shared" si="96"/>
        <v>0</v>
      </c>
      <c r="AF816" s="54">
        <f t="shared" si="97"/>
        <v>0</v>
      </c>
      <c r="AG816" s="54">
        <f t="shared" si="98"/>
        <v>0</v>
      </c>
      <c r="AH816" s="54">
        <f t="shared" si="99"/>
        <v>0</v>
      </c>
      <c r="AI816" s="34" t="s">
        <v>1742</v>
      </c>
      <c r="AJ816" s="67">
        <f t="shared" si="100"/>
        <v>0</v>
      </c>
      <c r="AK816" s="67">
        <f t="shared" si="101"/>
        <v>0</v>
      </c>
      <c r="AL816" s="67">
        <f t="shared" si="102"/>
        <v>0</v>
      </c>
      <c r="AN816" s="54">
        <v>21</v>
      </c>
      <c r="AO816" s="54">
        <f t="shared" si="103"/>
        <v>0</v>
      </c>
      <c r="AP816" s="54">
        <f t="shared" si="104"/>
        <v>0</v>
      </c>
      <c r="AQ816" s="69" t="s">
        <v>107</v>
      </c>
      <c r="AV816" s="54">
        <f t="shared" si="105"/>
        <v>0</v>
      </c>
      <c r="AW816" s="54">
        <f t="shared" si="106"/>
        <v>0</v>
      </c>
      <c r="AX816" s="54">
        <f t="shared" si="107"/>
        <v>0</v>
      </c>
      <c r="AY816" s="56" t="s">
        <v>1748</v>
      </c>
      <c r="AZ816" s="56" t="s">
        <v>1749</v>
      </c>
      <c r="BA816" s="34" t="s">
        <v>1750</v>
      </c>
      <c r="BC816" s="54">
        <f t="shared" si="108"/>
        <v>0</v>
      </c>
      <c r="BD816" s="54">
        <f t="shared" si="109"/>
        <v>0</v>
      </c>
      <c r="BE816" s="54">
        <v>0</v>
      </c>
      <c r="BF816" s="54">
        <f t="shared" si="110"/>
        <v>0</v>
      </c>
      <c r="BH816" s="67">
        <f t="shared" si="111"/>
        <v>0</v>
      </c>
      <c r="BI816" s="67">
        <f t="shared" si="112"/>
        <v>0</v>
      </c>
      <c r="BJ816" s="67">
        <f t="shared" si="113"/>
        <v>0</v>
      </c>
      <c r="BK816" s="67"/>
      <c r="BL816" s="54"/>
      <c r="BW816" s="54">
        <v>21</v>
      </c>
      <c r="BX816" s="66" t="s">
        <v>1778</v>
      </c>
    </row>
    <row r="817" spans="1:76" ht="14.5" x14ac:dyDescent="0.35">
      <c r="A817" s="64" t="s">
        <v>1947</v>
      </c>
      <c r="B817" s="65" t="s">
        <v>1742</v>
      </c>
      <c r="C817" s="65" t="s">
        <v>1779</v>
      </c>
      <c r="D817" s="217" t="s">
        <v>1780</v>
      </c>
      <c r="E817" s="218"/>
      <c r="F817" s="65" t="s">
        <v>481</v>
      </c>
      <c r="G817" s="67">
        <v>30</v>
      </c>
      <c r="H817" s="85">
        <v>0</v>
      </c>
      <c r="I817" s="67">
        <f t="shared" si="90"/>
        <v>0</v>
      </c>
      <c r="J817" s="67">
        <v>0</v>
      </c>
      <c r="K817" s="67">
        <v>0</v>
      </c>
      <c r="L817" s="67">
        <f t="shared" si="91"/>
        <v>0</v>
      </c>
      <c r="M817" s="68" t="s">
        <v>10</v>
      </c>
      <c r="Z817" s="54">
        <f t="shared" si="92"/>
        <v>0</v>
      </c>
      <c r="AB817" s="54">
        <f t="shared" si="93"/>
        <v>0</v>
      </c>
      <c r="AC817" s="54">
        <f t="shared" si="94"/>
        <v>0</v>
      </c>
      <c r="AD817" s="54">
        <f t="shared" si="95"/>
        <v>0</v>
      </c>
      <c r="AE817" s="54">
        <f t="shared" si="96"/>
        <v>0</v>
      </c>
      <c r="AF817" s="54">
        <f t="shared" si="97"/>
        <v>0</v>
      </c>
      <c r="AG817" s="54">
        <f t="shared" si="98"/>
        <v>0</v>
      </c>
      <c r="AH817" s="54">
        <f t="shared" si="99"/>
        <v>0</v>
      </c>
      <c r="AI817" s="34" t="s">
        <v>1742</v>
      </c>
      <c r="AJ817" s="67">
        <f t="shared" si="100"/>
        <v>0</v>
      </c>
      <c r="AK817" s="67">
        <f t="shared" si="101"/>
        <v>0</v>
      </c>
      <c r="AL817" s="67">
        <f t="shared" si="102"/>
        <v>0</v>
      </c>
      <c r="AN817" s="54">
        <v>21</v>
      </c>
      <c r="AO817" s="54">
        <f t="shared" si="103"/>
        <v>0</v>
      </c>
      <c r="AP817" s="54">
        <f t="shared" si="104"/>
        <v>0</v>
      </c>
      <c r="AQ817" s="69" t="s">
        <v>107</v>
      </c>
      <c r="AV817" s="54">
        <f t="shared" si="105"/>
        <v>0</v>
      </c>
      <c r="AW817" s="54">
        <f t="shared" si="106"/>
        <v>0</v>
      </c>
      <c r="AX817" s="54">
        <f t="shared" si="107"/>
        <v>0</v>
      </c>
      <c r="AY817" s="56" t="s">
        <v>1748</v>
      </c>
      <c r="AZ817" s="56" t="s">
        <v>1749</v>
      </c>
      <c r="BA817" s="34" t="s">
        <v>1750</v>
      </c>
      <c r="BC817" s="54">
        <f t="shared" si="108"/>
        <v>0</v>
      </c>
      <c r="BD817" s="54">
        <f t="shared" si="109"/>
        <v>0</v>
      </c>
      <c r="BE817" s="54">
        <v>0</v>
      </c>
      <c r="BF817" s="54">
        <f t="shared" si="110"/>
        <v>0</v>
      </c>
      <c r="BH817" s="67">
        <f t="shared" si="111"/>
        <v>0</v>
      </c>
      <c r="BI817" s="67">
        <f t="shared" si="112"/>
        <v>0</v>
      </c>
      <c r="BJ817" s="67">
        <f t="shared" si="113"/>
        <v>0</v>
      </c>
      <c r="BK817" s="67"/>
      <c r="BL817" s="54"/>
      <c r="BW817" s="54">
        <v>21</v>
      </c>
      <c r="BX817" s="66" t="s">
        <v>1780</v>
      </c>
    </row>
    <row r="818" spans="1:76" ht="14.5" x14ac:dyDescent="0.35">
      <c r="A818" s="64" t="s">
        <v>1948</v>
      </c>
      <c r="B818" s="65" t="s">
        <v>1742</v>
      </c>
      <c r="C818" s="65" t="s">
        <v>1781</v>
      </c>
      <c r="D818" s="217" t="s">
        <v>1782</v>
      </c>
      <c r="E818" s="218"/>
      <c r="F818" s="65" t="s">
        <v>481</v>
      </c>
      <c r="G818" s="67">
        <v>25</v>
      </c>
      <c r="H818" s="85">
        <v>0</v>
      </c>
      <c r="I818" s="67">
        <f t="shared" si="90"/>
        <v>0</v>
      </c>
      <c r="J818" s="67">
        <v>0</v>
      </c>
      <c r="K818" s="67">
        <v>0</v>
      </c>
      <c r="L818" s="67">
        <f t="shared" si="91"/>
        <v>0</v>
      </c>
      <c r="M818" s="68" t="s">
        <v>10</v>
      </c>
      <c r="Z818" s="54">
        <f t="shared" si="92"/>
        <v>0</v>
      </c>
      <c r="AB818" s="54">
        <f t="shared" si="93"/>
        <v>0</v>
      </c>
      <c r="AC818" s="54">
        <f t="shared" si="94"/>
        <v>0</v>
      </c>
      <c r="AD818" s="54">
        <f t="shared" si="95"/>
        <v>0</v>
      </c>
      <c r="AE818" s="54">
        <f t="shared" si="96"/>
        <v>0</v>
      </c>
      <c r="AF818" s="54">
        <f t="shared" si="97"/>
        <v>0</v>
      </c>
      <c r="AG818" s="54">
        <f t="shared" si="98"/>
        <v>0</v>
      </c>
      <c r="AH818" s="54">
        <f t="shared" si="99"/>
        <v>0</v>
      </c>
      <c r="AI818" s="34" t="s">
        <v>1742</v>
      </c>
      <c r="AJ818" s="67">
        <f t="shared" si="100"/>
        <v>0</v>
      </c>
      <c r="AK818" s="67">
        <f t="shared" si="101"/>
        <v>0</v>
      </c>
      <c r="AL818" s="67">
        <f t="shared" si="102"/>
        <v>0</v>
      </c>
      <c r="AN818" s="54">
        <v>21</v>
      </c>
      <c r="AO818" s="54">
        <f t="shared" si="103"/>
        <v>0</v>
      </c>
      <c r="AP818" s="54">
        <f t="shared" si="104"/>
        <v>0</v>
      </c>
      <c r="AQ818" s="69" t="s">
        <v>107</v>
      </c>
      <c r="AV818" s="54">
        <f t="shared" si="105"/>
        <v>0</v>
      </c>
      <c r="AW818" s="54">
        <f t="shared" si="106"/>
        <v>0</v>
      </c>
      <c r="AX818" s="54">
        <f t="shared" si="107"/>
        <v>0</v>
      </c>
      <c r="AY818" s="56" t="s">
        <v>1748</v>
      </c>
      <c r="AZ818" s="56" t="s">
        <v>1749</v>
      </c>
      <c r="BA818" s="34" t="s">
        <v>1750</v>
      </c>
      <c r="BC818" s="54">
        <f t="shared" si="108"/>
        <v>0</v>
      </c>
      <c r="BD818" s="54">
        <f t="shared" si="109"/>
        <v>0</v>
      </c>
      <c r="BE818" s="54">
        <v>0</v>
      </c>
      <c r="BF818" s="54">
        <f t="shared" si="110"/>
        <v>0</v>
      </c>
      <c r="BH818" s="67">
        <f t="shared" si="111"/>
        <v>0</v>
      </c>
      <c r="BI818" s="67">
        <f t="shared" si="112"/>
        <v>0</v>
      </c>
      <c r="BJ818" s="67">
        <f t="shared" si="113"/>
        <v>0</v>
      </c>
      <c r="BK818" s="67"/>
      <c r="BL818" s="54"/>
      <c r="BW818" s="54">
        <v>21</v>
      </c>
      <c r="BX818" s="66" t="s">
        <v>1782</v>
      </c>
    </row>
    <row r="819" spans="1:76" ht="14.5" x14ac:dyDescent="0.35">
      <c r="A819" s="64" t="s">
        <v>1949</v>
      </c>
      <c r="B819" s="65" t="s">
        <v>1742</v>
      </c>
      <c r="C819" s="65" t="s">
        <v>1783</v>
      </c>
      <c r="D819" s="217" t="s">
        <v>1784</v>
      </c>
      <c r="E819" s="218"/>
      <c r="F819" s="65" t="s">
        <v>481</v>
      </c>
      <c r="G819" s="67">
        <v>1</v>
      </c>
      <c r="H819" s="85">
        <v>0</v>
      </c>
      <c r="I819" s="67">
        <f t="shared" si="90"/>
        <v>0</v>
      </c>
      <c r="J819" s="67">
        <v>0</v>
      </c>
      <c r="K819" s="67">
        <v>0</v>
      </c>
      <c r="L819" s="67">
        <f t="shared" si="91"/>
        <v>0</v>
      </c>
      <c r="M819" s="68" t="s">
        <v>10</v>
      </c>
      <c r="Z819" s="54">
        <f t="shared" si="92"/>
        <v>0</v>
      </c>
      <c r="AB819" s="54">
        <f t="shared" si="93"/>
        <v>0</v>
      </c>
      <c r="AC819" s="54">
        <f t="shared" si="94"/>
        <v>0</v>
      </c>
      <c r="AD819" s="54">
        <f t="shared" si="95"/>
        <v>0</v>
      </c>
      <c r="AE819" s="54">
        <f t="shared" si="96"/>
        <v>0</v>
      </c>
      <c r="AF819" s="54">
        <f t="shared" si="97"/>
        <v>0</v>
      </c>
      <c r="AG819" s="54">
        <f t="shared" si="98"/>
        <v>0</v>
      </c>
      <c r="AH819" s="54">
        <f t="shared" si="99"/>
        <v>0</v>
      </c>
      <c r="AI819" s="34" t="s">
        <v>1742</v>
      </c>
      <c r="AJ819" s="67">
        <f t="shared" si="100"/>
        <v>0</v>
      </c>
      <c r="AK819" s="67">
        <f t="shared" si="101"/>
        <v>0</v>
      </c>
      <c r="AL819" s="67">
        <f t="shared" si="102"/>
        <v>0</v>
      </c>
      <c r="AN819" s="54">
        <v>21</v>
      </c>
      <c r="AO819" s="54">
        <f t="shared" si="103"/>
        <v>0</v>
      </c>
      <c r="AP819" s="54">
        <f t="shared" si="104"/>
        <v>0</v>
      </c>
      <c r="AQ819" s="69" t="s">
        <v>107</v>
      </c>
      <c r="AV819" s="54">
        <f t="shared" si="105"/>
        <v>0</v>
      </c>
      <c r="AW819" s="54">
        <f t="shared" si="106"/>
        <v>0</v>
      </c>
      <c r="AX819" s="54">
        <f t="shared" si="107"/>
        <v>0</v>
      </c>
      <c r="AY819" s="56" t="s">
        <v>1748</v>
      </c>
      <c r="AZ819" s="56" t="s">
        <v>1749</v>
      </c>
      <c r="BA819" s="34" t="s">
        <v>1750</v>
      </c>
      <c r="BC819" s="54">
        <f t="shared" si="108"/>
        <v>0</v>
      </c>
      <c r="BD819" s="54">
        <f t="shared" si="109"/>
        <v>0</v>
      </c>
      <c r="BE819" s="54">
        <v>0</v>
      </c>
      <c r="BF819" s="54">
        <f t="shared" si="110"/>
        <v>0</v>
      </c>
      <c r="BH819" s="67">
        <f t="shared" si="111"/>
        <v>0</v>
      </c>
      <c r="BI819" s="67">
        <f t="shared" si="112"/>
        <v>0</v>
      </c>
      <c r="BJ819" s="67">
        <f t="shared" si="113"/>
        <v>0</v>
      </c>
      <c r="BK819" s="67"/>
      <c r="BL819" s="54"/>
      <c r="BW819" s="54">
        <v>21</v>
      </c>
      <c r="BX819" s="66" t="s">
        <v>1784</v>
      </c>
    </row>
    <row r="820" spans="1:76" ht="14.5" x14ac:dyDescent="0.35">
      <c r="A820" s="64" t="s">
        <v>1950</v>
      </c>
      <c r="B820" s="65" t="s">
        <v>1742</v>
      </c>
      <c r="C820" s="65" t="s">
        <v>1785</v>
      </c>
      <c r="D820" s="217" t="s">
        <v>1786</v>
      </c>
      <c r="E820" s="218"/>
      <c r="F820" s="65" t="s">
        <v>481</v>
      </c>
      <c r="G820" s="67">
        <v>1</v>
      </c>
      <c r="H820" s="85">
        <v>0</v>
      </c>
      <c r="I820" s="67">
        <f t="shared" si="90"/>
        <v>0</v>
      </c>
      <c r="J820" s="67">
        <v>0</v>
      </c>
      <c r="K820" s="67">
        <v>0</v>
      </c>
      <c r="L820" s="67">
        <f t="shared" si="91"/>
        <v>0</v>
      </c>
      <c r="M820" s="68" t="s">
        <v>10</v>
      </c>
      <c r="Z820" s="54">
        <f t="shared" si="92"/>
        <v>0</v>
      </c>
      <c r="AB820" s="54">
        <f t="shared" si="93"/>
        <v>0</v>
      </c>
      <c r="AC820" s="54">
        <f t="shared" si="94"/>
        <v>0</v>
      </c>
      <c r="AD820" s="54">
        <f t="shared" si="95"/>
        <v>0</v>
      </c>
      <c r="AE820" s="54">
        <f t="shared" si="96"/>
        <v>0</v>
      </c>
      <c r="AF820" s="54">
        <f t="shared" si="97"/>
        <v>0</v>
      </c>
      <c r="AG820" s="54">
        <f t="shared" si="98"/>
        <v>0</v>
      </c>
      <c r="AH820" s="54">
        <f t="shared" si="99"/>
        <v>0</v>
      </c>
      <c r="AI820" s="34" t="s">
        <v>1742</v>
      </c>
      <c r="AJ820" s="67">
        <f t="shared" si="100"/>
        <v>0</v>
      </c>
      <c r="AK820" s="67">
        <f t="shared" si="101"/>
        <v>0</v>
      </c>
      <c r="AL820" s="67">
        <f t="shared" si="102"/>
        <v>0</v>
      </c>
      <c r="AN820" s="54">
        <v>21</v>
      </c>
      <c r="AO820" s="54">
        <f t="shared" si="103"/>
        <v>0</v>
      </c>
      <c r="AP820" s="54">
        <f t="shared" si="104"/>
        <v>0</v>
      </c>
      <c r="AQ820" s="69" t="s">
        <v>107</v>
      </c>
      <c r="AV820" s="54">
        <f t="shared" si="105"/>
        <v>0</v>
      </c>
      <c r="AW820" s="54">
        <f t="shared" si="106"/>
        <v>0</v>
      </c>
      <c r="AX820" s="54">
        <f t="shared" si="107"/>
        <v>0</v>
      </c>
      <c r="AY820" s="56" t="s">
        <v>1748</v>
      </c>
      <c r="AZ820" s="56" t="s">
        <v>1749</v>
      </c>
      <c r="BA820" s="34" t="s">
        <v>1750</v>
      </c>
      <c r="BC820" s="54">
        <f t="shared" si="108"/>
        <v>0</v>
      </c>
      <c r="BD820" s="54">
        <f t="shared" si="109"/>
        <v>0</v>
      </c>
      <c r="BE820" s="54">
        <v>0</v>
      </c>
      <c r="BF820" s="54">
        <f t="shared" si="110"/>
        <v>0</v>
      </c>
      <c r="BH820" s="67">
        <f t="shared" si="111"/>
        <v>0</v>
      </c>
      <c r="BI820" s="67">
        <f t="shared" si="112"/>
        <v>0</v>
      </c>
      <c r="BJ820" s="67">
        <f t="shared" si="113"/>
        <v>0</v>
      </c>
      <c r="BK820" s="67"/>
      <c r="BL820" s="54"/>
      <c r="BW820" s="54">
        <v>21</v>
      </c>
      <c r="BX820" s="66" t="s">
        <v>1786</v>
      </c>
    </row>
    <row r="821" spans="1:76" ht="14.5" x14ac:dyDescent="0.35">
      <c r="A821" s="64" t="s">
        <v>1951</v>
      </c>
      <c r="B821" s="65" t="s">
        <v>1742</v>
      </c>
      <c r="C821" s="65" t="s">
        <v>1787</v>
      </c>
      <c r="D821" s="217" t="s">
        <v>1788</v>
      </c>
      <c r="E821" s="218"/>
      <c r="F821" s="65" t="s">
        <v>481</v>
      </c>
      <c r="G821" s="67">
        <v>1</v>
      </c>
      <c r="H821" s="85">
        <v>0</v>
      </c>
      <c r="I821" s="67">
        <f t="shared" si="90"/>
        <v>0</v>
      </c>
      <c r="J821" s="67">
        <v>0</v>
      </c>
      <c r="K821" s="67">
        <v>0</v>
      </c>
      <c r="L821" s="67">
        <f t="shared" si="91"/>
        <v>0</v>
      </c>
      <c r="M821" s="68" t="s">
        <v>10</v>
      </c>
      <c r="Z821" s="54">
        <f t="shared" si="92"/>
        <v>0</v>
      </c>
      <c r="AB821" s="54">
        <f t="shared" si="93"/>
        <v>0</v>
      </c>
      <c r="AC821" s="54">
        <f t="shared" si="94"/>
        <v>0</v>
      </c>
      <c r="AD821" s="54">
        <f t="shared" si="95"/>
        <v>0</v>
      </c>
      <c r="AE821" s="54">
        <f t="shared" si="96"/>
        <v>0</v>
      </c>
      <c r="AF821" s="54">
        <f t="shared" si="97"/>
        <v>0</v>
      </c>
      <c r="AG821" s="54">
        <f t="shared" si="98"/>
        <v>0</v>
      </c>
      <c r="AH821" s="54">
        <f t="shared" si="99"/>
        <v>0</v>
      </c>
      <c r="AI821" s="34" t="s">
        <v>1742</v>
      </c>
      <c r="AJ821" s="67">
        <f t="shared" si="100"/>
        <v>0</v>
      </c>
      <c r="AK821" s="67">
        <f t="shared" si="101"/>
        <v>0</v>
      </c>
      <c r="AL821" s="67">
        <f t="shared" si="102"/>
        <v>0</v>
      </c>
      <c r="AN821" s="54">
        <v>21</v>
      </c>
      <c r="AO821" s="54">
        <f t="shared" si="103"/>
        <v>0</v>
      </c>
      <c r="AP821" s="54">
        <f t="shared" si="104"/>
        <v>0</v>
      </c>
      <c r="AQ821" s="69" t="s">
        <v>107</v>
      </c>
      <c r="AV821" s="54">
        <f t="shared" si="105"/>
        <v>0</v>
      </c>
      <c r="AW821" s="54">
        <f t="shared" si="106"/>
        <v>0</v>
      </c>
      <c r="AX821" s="54">
        <f t="shared" si="107"/>
        <v>0</v>
      </c>
      <c r="AY821" s="56" t="s">
        <v>1748</v>
      </c>
      <c r="AZ821" s="56" t="s">
        <v>1749</v>
      </c>
      <c r="BA821" s="34" t="s">
        <v>1750</v>
      </c>
      <c r="BC821" s="54">
        <f t="shared" si="108"/>
        <v>0</v>
      </c>
      <c r="BD821" s="54">
        <f t="shared" si="109"/>
        <v>0</v>
      </c>
      <c r="BE821" s="54">
        <v>0</v>
      </c>
      <c r="BF821" s="54">
        <f t="shared" si="110"/>
        <v>0</v>
      </c>
      <c r="BH821" s="67">
        <f t="shared" si="111"/>
        <v>0</v>
      </c>
      <c r="BI821" s="67">
        <f t="shared" si="112"/>
        <v>0</v>
      </c>
      <c r="BJ821" s="67">
        <f t="shared" si="113"/>
        <v>0</v>
      </c>
      <c r="BK821" s="67"/>
      <c r="BL821" s="54"/>
      <c r="BW821" s="54">
        <v>21</v>
      </c>
      <c r="BX821" s="66" t="s">
        <v>1788</v>
      </c>
    </row>
    <row r="822" spans="1:76" ht="14.5" x14ac:dyDescent="0.35">
      <c r="A822" s="64" t="s">
        <v>1952</v>
      </c>
      <c r="B822" s="65" t="s">
        <v>1742</v>
      </c>
      <c r="C822" s="65" t="s">
        <v>1789</v>
      </c>
      <c r="D822" s="217" t="s">
        <v>1790</v>
      </c>
      <c r="E822" s="218"/>
      <c r="F822" s="65" t="s">
        <v>481</v>
      </c>
      <c r="G822" s="67">
        <v>2</v>
      </c>
      <c r="H822" s="85">
        <v>0</v>
      </c>
      <c r="I822" s="67">
        <f t="shared" si="90"/>
        <v>0</v>
      </c>
      <c r="J822" s="67">
        <v>0</v>
      </c>
      <c r="K822" s="67">
        <v>0</v>
      </c>
      <c r="L822" s="67">
        <f t="shared" si="91"/>
        <v>0</v>
      </c>
      <c r="M822" s="68" t="s">
        <v>10</v>
      </c>
      <c r="Z822" s="54">
        <f t="shared" si="92"/>
        <v>0</v>
      </c>
      <c r="AB822" s="54">
        <f t="shared" si="93"/>
        <v>0</v>
      </c>
      <c r="AC822" s="54">
        <f t="shared" si="94"/>
        <v>0</v>
      </c>
      <c r="AD822" s="54">
        <f t="shared" si="95"/>
        <v>0</v>
      </c>
      <c r="AE822" s="54">
        <f t="shared" si="96"/>
        <v>0</v>
      </c>
      <c r="AF822" s="54">
        <f t="shared" si="97"/>
        <v>0</v>
      </c>
      <c r="AG822" s="54">
        <f t="shared" si="98"/>
        <v>0</v>
      </c>
      <c r="AH822" s="54">
        <f t="shared" si="99"/>
        <v>0</v>
      </c>
      <c r="AI822" s="34" t="s">
        <v>1742</v>
      </c>
      <c r="AJ822" s="67">
        <f t="shared" si="100"/>
        <v>0</v>
      </c>
      <c r="AK822" s="67">
        <f t="shared" si="101"/>
        <v>0</v>
      </c>
      <c r="AL822" s="67">
        <f t="shared" si="102"/>
        <v>0</v>
      </c>
      <c r="AN822" s="54">
        <v>21</v>
      </c>
      <c r="AO822" s="54">
        <f t="shared" si="103"/>
        <v>0</v>
      </c>
      <c r="AP822" s="54">
        <f t="shared" si="104"/>
        <v>0</v>
      </c>
      <c r="AQ822" s="69" t="s">
        <v>107</v>
      </c>
      <c r="AV822" s="54">
        <f t="shared" si="105"/>
        <v>0</v>
      </c>
      <c r="AW822" s="54">
        <f t="shared" si="106"/>
        <v>0</v>
      </c>
      <c r="AX822" s="54">
        <f t="shared" si="107"/>
        <v>0</v>
      </c>
      <c r="AY822" s="56" t="s">
        <v>1748</v>
      </c>
      <c r="AZ822" s="56" t="s">
        <v>1749</v>
      </c>
      <c r="BA822" s="34" t="s">
        <v>1750</v>
      </c>
      <c r="BC822" s="54">
        <f t="shared" si="108"/>
        <v>0</v>
      </c>
      <c r="BD822" s="54">
        <f t="shared" si="109"/>
        <v>0</v>
      </c>
      <c r="BE822" s="54">
        <v>0</v>
      </c>
      <c r="BF822" s="54">
        <f t="shared" si="110"/>
        <v>0</v>
      </c>
      <c r="BH822" s="67">
        <f t="shared" si="111"/>
        <v>0</v>
      </c>
      <c r="BI822" s="67">
        <f t="shared" si="112"/>
        <v>0</v>
      </c>
      <c r="BJ822" s="67">
        <f t="shared" si="113"/>
        <v>0</v>
      </c>
      <c r="BK822" s="67"/>
      <c r="BL822" s="54"/>
      <c r="BW822" s="54">
        <v>21</v>
      </c>
      <c r="BX822" s="66" t="s">
        <v>1790</v>
      </c>
    </row>
    <row r="823" spans="1:76" ht="14.5" x14ac:dyDescent="0.35">
      <c r="A823" s="64" t="s">
        <v>1953</v>
      </c>
      <c r="B823" s="65" t="s">
        <v>1742</v>
      </c>
      <c r="C823" s="65" t="s">
        <v>1791</v>
      </c>
      <c r="D823" s="217" t="s">
        <v>1792</v>
      </c>
      <c r="E823" s="218"/>
      <c r="F823" s="65" t="s">
        <v>481</v>
      </c>
      <c r="G823" s="67">
        <v>8</v>
      </c>
      <c r="H823" s="85">
        <v>0</v>
      </c>
      <c r="I823" s="67">
        <f t="shared" si="90"/>
        <v>0</v>
      </c>
      <c r="J823" s="67">
        <v>0</v>
      </c>
      <c r="K823" s="67">
        <v>0</v>
      </c>
      <c r="L823" s="67">
        <f t="shared" si="91"/>
        <v>0</v>
      </c>
      <c r="M823" s="68" t="s">
        <v>10</v>
      </c>
      <c r="Z823" s="54">
        <f t="shared" si="92"/>
        <v>0</v>
      </c>
      <c r="AB823" s="54">
        <f t="shared" si="93"/>
        <v>0</v>
      </c>
      <c r="AC823" s="54">
        <f t="shared" si="94"/>
        <v>0</v>
      </c>
      <c r="AD823" s="54">
        <f t="shared" si="95"/>
        <v>0</v>
      </c>
      <c r="AE823" s="54">
        <f t="shared" si="96"/>
        <v>0</v>
      </c>
      <c r="AF823" s="54">
        <f t="shared" si="97"/>
        <v>0</v>
      </c>
      <c r="AG823" s="54">
        <f t="shared" si="98"/>
        <v>0</v>
      </c>
      <c r="AH823" s="54">
        <f t="shared" si="99"/>
        <v>0</v>
      </c>
      <c r="AI823" s="34" t="s">
        <v>1742</v>
      </c>
      <c r="AJ823" s="67">
        <f t="shared" si="100"/>
        <v>0</v>
      </c>
      <c r="AK823" s="67">
        <f t="shared" si="101"/>
        <v>0</v>
      </c>
      <c r="AL823" s="67">
        <f t="shared" si="102"/>
        <v>0</v>
      </c>
      <c r="AN823" s="54">
        <v>21</v>
      </c>
      <c r="AO823" s="54">
        <f t="shared" si="103"/>
        <v>0</v>
      </c>
      <c r="AP823" s="54">
        <f t="shared" si="104"/>
        <v>0</v>
      </c>
      <c r="AQ823" s="69" t="s">
        <v>107</v>
      </c>
      <c r="AV823" s="54">
        <f t="shared" si="105"/>
        <v>0</v>
      </c>
      <c r="AW823" s="54">
        <f t="shared" si="106"/>
        <v>0</v>
      </c>
      <c r="AX823" s="54">
        <f t="shared" si="107"/>
        <v>0</v>
      </c>
      <c r="AY823" s="56" t="s">
        <v>1748</v>
      </c>
      <c r="AZ823" s="56" t="s">
        <v>1749</v>
      </c>
      <c r="BA823" s="34" t="s">
        <v>1750</v>
      </c>
      <c r="BC823" s="54">
        <f t="shared" si="108"/>
        <v>0</v>
      </c>
      <c r="BD823" s="54">
        <f t="shared" si="109"/>
        <v>0</v>
      </c>
      <c r="BE823" s="54">
        <v>0</v>
      </c>
      <c r="BF823" s="54">
        <f t="shared" si="110"/>
        <v>0</v>
      </c>
      <c r="BH823" s="67">
        <f t="shared" si="111"/>
        <v>0</v>
      </c>
      <c r="BI823" s="67">
        <f t="shared" si="112"/>
        <v>0</v>
      </c>
      <c r="BJ823" s="67">
        <f t="shared" si="113"/>
        <v>0</v>
      </c>
      <c r="BK823" s="67"/>
      <c r="BL823" s="54"/>
      <c r="BW823" s="54">
        <v>21</v>
      </c>
      <c r="BX823" s="66" t="s">
        <v>1792</v>
      </c>
    </row>
    <row r="824" spans="1:76" ht="14.5" x14ac:dyDescent="0.35">
      <c r="A824" s="64" t="s">
        <v>1954</v>
      </c>
      <c r="B824" s="65" t="s">
        <v>1742</v>
      </c>
      <c r="C824" s="65" t="s">
        <v>1793</v>
      </c>
      <c r="D824" s="217" t="s">
        <v>1794</v>
      </c>
      <c r="E824" s="218"/>
      <c r="F824" s="65" t="s">
        <v>481</v>
      </c>
      <c r="G824" s="67">
        <v>8</v>
      </c>
      <c r="H824" s="85">
        <v>0</v>
      </c>
      <c r="I824" s="67">
        <f t="shared" si="90"/>
        <v>0</v>
      </c>
      <c r="J824" s="67">
        <v>0</v>
      </c>
      <c r="K824" s="67">
        <v>0</v>
      </c>
      <c r="L824" s="67">
        <f t="shared" si="91"/>
        <v>0</v>
      </c>
      <c r="M824" s="68" t="s">
        <v>10</v>
      </c>
      <c r="Z824" s="54">
        <f t="shared" si="92"/>
        <v>0</v>
      </c>
      <c r="AB824" s="54">
        <f t="shared" si="93"/>
        <v>0</v>
      </c>
      <c r="AC824" s="54">
        <f t="shared" si="94"/>
        <v>0</v>
      </c>
      <c r="AD824" s="54">
        <f t="shared" si="95"/>
        <v>0</v>
      </c>
      <c r="AE824" s="54">
        <f t="shared" si="96"/>
        <v>0</v>
      </c>
      <c r="AF824" s="54">
        <f t="shared" si="97"/>
        <v>0</v>
      </c>
      <c r="AG824" s="54">
        <f t="shared" si="98"/>
        <v>0</v>
      </c>
      <c r="AH824" s="54">
        <f t="shared" si="99"/>
        <v>0</v>
      </c>
      <c r="AI824" s="34" t="s">
        <v>1742</v>
      </c>
      <c r="AJ824" s="67">
        <f t="shared" si="100"/>
        <v>0</v>
      </c>
      <c r="AK824" s="67">
        <f t="shared" si="101"/>
        <v>0</v>
      </c>
      <c r="AL824" s="67">
        <f t="shared" si="102"/>
        <v>0</v>
      </c>
      <c r="AN824" s="54">
        <v>21</v>
      </c>
      <c r="AO824" s="54">
        <f t="shared" si="103"/>
        <v>0</v>
      </c>
      <c r="AP824" s="54">
        <f t="shared" si="104"/>
        <v>0</v>
      </c>
      <c r="AQ824" s="69" t="s">
        <v>107</v>
      </c>
      <c r="AV824" s="54">
        <f t="shared" si="105"/>
        <v>0</v>
      </c>
      <c r="AW824" s="54">
        <f t="shared" si="106"/>
        <v>0</v>
      </c>
      <c r="AX824" s="54">
        <f t="shared" si="107"/>
        <v>0</v>
      </c>
      <c r="AY824" s="56" t="s">
        <v>1748</v>
      </c>
      <c r="AZ824" s="56" t="s">
        <v>1749</v>
      </c>
      <c r="BA824" s="34" t="s">
        <v>1750</v>
      </c>
      <c r="BC824" s="54">
        <f t="shared" si="108"/>
        <v>0</v>
      </c>
      <c r="BD824" s="54">
        <f t="shared" si="109"/>
        <v>0</v>
      </c>
      <c r="BE824" s="54">
        <v>0</v>
      </c>
      <c r="BF824" s="54">
        <f t="shared" si="110"/>
        <v>0</v>
      </c>
      <c r="BH824" s="67">
        <f t="shared" si="111"/>
        <v>0</v>
      </c>
      <c r="BI824" s="67">
        <f t="shared" si="112"/>
        <v>0</v>
      </c>
      <c r="BJ824" s="67">
        <f t="shared" si="113"/>
        <v>0</v>
      </c>
      <c r="BK824" s="67"/>
      <c r="BL824" s="54"/>
      <c r="BW824" s="54">
        <v>21</v>
      </c>
      <c r="BX824" s="66" t="s">
        <v>1794</v>
      </c>
    </row>
    <row r="825" spans="1:76" ht="14.5" x14ac:dyDescent="0.35">
      <c r="A825" s="64" t="s">
        <v>1955</v>
      </c>
      <c r="B825" s="65" t="s">
        <v>1742</v>
      </c>
      <c r="C825" s="65" t="s">
        <v>1795</v>
      </c>
      <c r="D825" s="217" t="s">
        <v>1796</v>
      </c>
      <c r="E825" s="218"/>
      <c r="F825" s="65" t="s">
        <v>481</v>
      </c>
      <c r="G825" s="67">
        <v>12</v>
      </c>
      <c r="H825" s="85">
        <v>0</v>
      </c>
      <c r="I825" s="67">
        <f t="shared" si="90"/>
        <v>0</v>
      </c>
      <c r="J825" s="67">
        <v>0</v>
      </c>
      <c r="K825" s="67">
        <v>0</v>
      </c>
      <c r="L825" s="67">
        <f t="shared" si="91"/>
        <v>0</v>
      </c>
      <c r="M825" s="68" t="s">
        <v>10</v>
      </c>
      <c r="Z825" s="54">
        <f t="shared" si="92"/>
        <v>0</v>
      </c>
      <c r="AB825" s="54">
        <f t="shared" si="93"/>
        <v>0</v>
      </c>
      <c r="AC825" s="54">
        <f t="shared" si="94"/>
        <v>0</v>
      </c>
      <c r="AD825" s="54">
        <f t="shared" si="95"/>
        <v>0</v>
      </c>
      <c r="AE825" s="54">
        <f t="shared" si="96"/>
        <v>0</v>
      </c>
      <c r="AF825" s="54">
        <f t="shared" si="97"/>
        <v>0</v>
      </c>
      <c r="AG825" s="54">
        <f t="shared" si="98"/>
        <v>0</v>
      </c>
      <c r="AH825" s="54">
        <f t="shared" si="99"/>
        <v>0</v>
      </c>
      <c r="AI825" s="34" t="s">
        <v>1742</v>
      </c>
      <c r="AJ825" s="67">
        <f t="shared" si="100"/>
        <v>0</v>
      </c>
      <c r="AK825" s="67">
        <f t="shared" si="101"/>
        <v>0</v>
      </c>
      <c r="AL825" s="67">
        <f t="shared" si="102"/>
        <v>0</v>
      </c>
      <c r="AN825" s="54">
        <v>21</v>
      </c>
      <c r="AO825" s="54">
        <f t="shared" si="103"/>
        <v>0</v>
      </c>
      <c r="AP825" s="54">
        <f t="shared" si="104"/>
        <v>0</v>
      </c>
      <c r="AQ825" s="69" t="s">
        <v>107</v>
      </c>
      <c r="AV825" s="54">
        <f t="shared" si="105"/>
        <v>0</v>
      </c>
      <c r="AW825" s="54">
        <f t="shared" si="106"/>
        <v>0</v>
      </c>
      <c r="AX825" s="54">
        <f t="shared" si="107"/>
        <v>0</v>
      </c>
      <c r="AY825" s="56" t="s">
        <v>1748</v>
      </c>
      <c r="AZ825" s="56" t="s">
        <v>1749</v>
      </c>
      <c r="BA825" s="34" t="s">
        <v>1750</v>
      </c>
      <c r="BC825" s="54">
        <f t="shared" si="108"/>
        <v>0</v>
      </c>
      <c r="BD825" s="54">
        <f t="shared" si="109"/>
        <v>0</v>
      </c>
      <c r="BE825" s="54">
        <v>0</v>
      </c>
      <c r="BF825" s="54">
        <f t="shared" si="110"/>
        <v>0</v>
      </c>
      <c r="BH825" s="67">
        <f t="shared" si="111"/>
        <v>0</v>
      </c>
      <c r="BI825" s="67">
        <f t="shared" si="112"/>
        <v>0</v>
      </c>
      <c r="BJ825" s="67">
        <f t="shared" si="113"/>
        <v>0</v>
      </c>
      <c r="BK825" s="67"/>
      <c r="BL825" s="54"/>
      <c r="BW825" s="54">
        <v>21</v>
      </c>
      <c r="BX825" s="66" t="s">
        <v>1796</v>
      </c>
    </row>
    <row r="826" spans="1:76" ht="14.5" x14ac:dyDescent="0.35">
      <c r="A826" s="64" t="s">
        <v>1956</v>
      </c>
      <c r="B826" s="65" t="s">
        <v>1742</v>
      </c>
      <c r="C826" s="65" t="s">
        <v>1797</v>
      </c>
      <c r="D826" s="217" t="s">
        <v>1798</v>
      </c>
      <c r="E826" s="218"/>
      <c r="F826" s="65" t="s">
        <v>481</v>
      </c>
      <c r="G826" s="67">
        <v>1</v>
      </c>
      <c r="H826" s="85">
        <v>0</v>
      </c>
      <c r="I826" s="67">
        <f t="shared" si="90"/>
        <v>0</v>
      </c>
      <c r="J826" s="67">
        <v>0</v>
      </c>
      <c r="K826" s="67">
        <v>0</v>
      </c>
      <c r="L826" s="67">
        <f t="shared" si="91"/>
        <v>0</v>
      </c>
      <c r="M826" s="68" t="s">
        <v>10</v>
      </c>
      <c r="Z826" s="54">
        <f t="shared" si="92"/>
        <v>0</v>
      </c>
      <c r="AB826" s="54">
        <f t="shared" si="93"/>
        <v>0</v>
      </c>
      <c r="AC826" s="54">
        <f t="shared" si="94"/>
        <v>0</v>
      </c>
      <c r="AD826" s="54">
        <f t="shared" si="95"/>
        <v>0</v>
      </c>
      <c r="AE826" s="54">
        <f t="shared" si="96"/>
        <v>0</v>
      </c>
      <c r="AF826" s="54">
        <f t="shared" si="97"/>
        <v>0</v>
      </c>
      <c r="AG826" s="54">
        <f t="shared" si="98"/>
        <v>0</v>
      </c>
      <c r="AH826" s="54">
        <f t="shared" si="99"/>
        <v>0</v>
      </c>
      <c r="AI826" s="34" t="s">
        <v>1742</v>
      </c>
      <c r="AJ826" s="67">
        <f t="shared" si="100"/>
        <v>0</v>
      </c>
      <c r="AK826" s="67">
        <f t="shared" si="101"/>
        <v>0</v>
      </c>
      <c r="AL826" s="67">
        <f t="shared" si="102"/>
        <v>0</v>
      </c>
      <c r="AN826" s="54">
        <v>21</v>
      </c>
      <c r="AO826" s="54">
        <f t="shared" si="103"/>
        <v>0</v>
      </c>
      <c r="AP826" s="54">
        <f t="shared" si="104"/>
        <v>0</v>
      </c>
      <c r="AQ826" s="69" t="s">
        <v>107</v>
      </c>
      <c r="AV826" s="54">
        <f t="shared" si="105"/>
        <v>0</v>
      </c>
      <c r="AW826" s="54">
        <f t="shared" si="106"/>
        <v>0</v>
      </c>
      <c r="AX826" s="54">
        <f t="shared" si="107"/>
        <v>0</v>
      </c>
      <c r="AY826" s="56" t="s">
        <v>1748</v>
      </c>
      <c r="AZ826" s="56" t="s">
        <v>1749</v>
      </c>
      <c r="BA826" s="34" t="s">
        <v>1750</v>
      </c>
      <c r="BC826" s="54">
        <f t="shared" si="108"/>
        <v>0</v>
      </c>
      <c r="BD826" s="54">
        <f t="shared" si="109"/>
        <v>0</v>
      </c>
      <c r="BE826" s="54">
        <v>0</v>
      </c>
      <c r="BF826" s="54">
        <f t="shared" si="110"/>
        <v>0</v>
      </c>
      <c r="BH826" s="67">
        <f t="shared" si="111"/>
        <v>0</v>
      </c>
      <c r="BI826" s="67">
        <f t="shared" si="112"/>
        <v>0</v>
      </c>
      <c r="BJ826" s="67">
        <f t="shared" si="113"/>
        <v>0</v>
      </c>
      <c r="BK826" s="67"/>
      <c r="BL826" s="54"/>
      <c r="BW826" s="54">
        <v>21</v>
      </c>
      <c r="BX826" s="66" t="s">
        <v>1798</v>
      </c>
    </row>
    <row r="827" spans="1:76" ht="14.5" x14ac:dyDescent="0.35">
      <c r="A827" s="1" t="s">
        <v>1957</v>
      </c>
      <c r="B827" s="2" t="s">
        <v>1742</v>
      </c>
      <c r="C827" s="2" t="s">
        <v>1799</v>
      </c>
      <c r="D827" s="155" t="s">
        <v>1800</v>
      </c>
      <c r="E827" s="153"/>
      <c r="F827" s="2" t="s">
        <v>581</v>
      </c>
      <c r="G827" s="54">
        <v>1</v>
      </c>
      <c r="H827" s="84">
        <v>0</v>
      </c>
      <c r="I827" s="54">
        <f t="shared" si="90"/>
        <v>0</v>
      </c>
      <c r="J827" s="54">
        <v>0</v>
      </c>
      <c r="K827" s="54">
        <v>0</v>
      </c>
      <c r="L827" s="54">
        <f t="shared" si="91"/>
        <v>0</v>
      </c>
      <c r="M827" s="55" t="s">
        <v>111</v>
      </c>
      <c r="Z827" s="54">
        <f t="shared" si="92"/>
        <v>0</v>
      </c>
      <c r="AB827" s="54">
        <f t="shared" si="93"/>
        <v>0</v>
      </c>
      <c r="AC827" s="54">
        <f t="shared" si="94"/>
        <v>0</v>
      </c>
      <c r="AD827" s="54">
        <f t="shared" si="95"/>
        <v>0</v>
      </c>
      <c r="AE827" s="54">
        <f t="shared" si="96"/>
        <v>0</v>
      </c>
      <c r="AF827" s="54">
        <f t="shared" si="97"/>
        <v>0</v>
      </c>
      <c r="AG827" s="54">
        <f t="shared" si="98"/>
        <v>0</v>
      </c>
      <c r="AH827" s="54">
        <f t="shared" si="99"/>
        <v>0</v>
      </c>
      <c r="AI827" s="34" t="s">
        <v>1742</v>
      </c>
      <c r="AJ827" s="54">
        <f t="shared" si="100"/>
        <v>0</v>
      </c>
      <c r="AK827" s="54">
        <f t="shared" si="101"/>
        <v>0</v>
      </c>
      <c r="AL827" s="54">
        <f t="shared" si="102"/>
        <v>0</v>
      </c>
      <c r="AN827" s="54">
        <v>21</v>
      </c>
      <c r="AO827" s="54">
        <f>H827*0</f>
        <v>0</v>
      </c>
      <c r="AP827" s="54">
        <f>H827*(1-0)</f>
        <v>0</v>
      </c>
      <c r="AQ827" s="56" t="s">
        <v>119</v>
      </c>
      <c r="AV827" s="54">
        <f t="shared" si="105"/>
        <v>0</v>
      </c>
      <c r="AW827" s="54">
        <f t="shared" si="106"/>
        <v>0</v>
      </c>
      <c r="AX827" s="54">
        <f t="shared" si="107"/>
        <v>0</v>
      </c>
      <c r="AY827" s="56" t="s">
        <v>1748</v>
      </c>
      <c r="AZ827" s="56" t="s">
        <v>1749</v>
      </c>
      <c r="BA827" s="34" t="s">
        <v>1750</v>
      </c>
      <c r="BC827" s="54">
        <f t="shared" si="108"/>
        <v>0</v>
      </c>
      <c r="BD827" s="54">
        <f t="shared" si="109"/>
        <v>0</v>
      </c>
      <c r="BE827" s="54">
        <v>0</v>
      </c>
      <c r="BF827" s="54">
        <f t="shared" si="110"/>
        <v>0</v>
      </c>
      <c r="BH827" s="54">
        <f t="shared" si="111"/>
        <v>0</v>
      </c>
      <c r="BI827" s="54">
        <f t="shared" si="112"/>
        <v>0</v>
      </c>
      <c r="BJ827" s="54">
        <f t="shared" si="113"/>
        <v>0</v>
      </c>
      <c r="BK827" s="54"/>
      <c r="BL827" s="54"/>
      <c r="BW827" s="54">
        <v>21</v>
      </c>
      <c r="BX827" s="3" t="s">
        <v>1800</v>
      </c>
    </row>
    <row r="828" spans="1:76" ht="14.5" x14ac:dyDescent="0.35">
      <c r="A828" s="1" t="s">
        <v>1958</v>
      </c>
      <c r="B828" s="2" t="s">
        <v>1742</v>
      </c>
      <c r="C828" s="2" t="s">
        <v>1801</v>
      </c>
      <c r="D828" s="155" t="s">
        <v>1802</v>
      </c>
      <c r="E828" s="153"/>
      <c r="F828" s="2" t="s">
        <v>581</v>
      </c>
      <c r="G828" s="54">
        <v>1</v>
      </c>
      <c r="H828" s="84">
        <v>0</v>
      </c>
      <c r="I828" s="54">
        <f t="shared" si="90"/>
        <v>0</v>
      </c>
      <c r="J828" s="54">
        <v>0</v>
      </c>
      <c r="K828" s="54">
        <v>0</v>
      </c>
      <c r="L828" s="54">
        <f t="shared" si="91"/>
        <v>0</v>
      </c>
      <c r="M828" s="55" t="s">
        <v>10</v>
      </c>
      <c r="Z828" s="54">
        <f t="shared" si="92"/>
        <v>0</v>
      </c>
      <c r="AB828" s="54">
        <f t="shared" si="93"/>
        <v>0</v>
      </c>
      <c r="AC828" s="54">
        <f t="shared" si="94"/>
        <v>0</v>
      </c>
      <c r="AD828" s="54">
        <f t="shared" si="95"/>
        <v>0</v>
      </c>
      <c r="AE828" s="54">
        <f t="shared" si="96"/>
        <v>0</v>
      </c>
      <c r="AF828" s="54">
        <f t="shared" si="97"/>
        <v>0</v>
      </c>
      <c r="AG828" s="54">
        <f t="shared" si="98"/>
        <v>0</v>
      </c>
      <c r="AH828" s="54">
        <f t="shared" si="99"/>
        <v>0</v>
      </c>
      <c r="AI828" s="34" t="s">
        <v>1742</v>
      </c>
      <c r="AJ828" s="54">
        <f t="shared" si="100"/>
        <v>0</v>
      </c>
      <c r="AK828" s="54">
        <f t="shared" si="101"/>
        <v>0</v>
      </c>
      <c r="AL828" s="54">
        <f t="shared" si="102"/>
        <v>0</v>
      </c>
      <c r="AN828" s="54">
        <v>21</v>
      </c>
      <c r="AO828" s="54">
        <f>H828*0</f>
        <v>0</v>
      </c>
      <c r="AP828" s="54">
        <f>H828*(1-0)</f>
        <v>0</v>
      </c>
      <c r="AQ828" s="56" t="s">
        <v>107</v>
      </c>
      <c r="AV828" s="54">
        <f t="shared" si="105"/>
        <v>0</v>
      </c>
      <c r="AW828" s="54">
        <f t="shared" si="106"/>
        <v>0</v>
      </c>
      <c r="AX828" s="54">
        <f t="shared" si="107"/>
        <v>0</v>
      </c>
      <c r="AY828" s="56" t="s">
        <v>1748</v>
      </c>
      <c r="AZ828" s="56" t="s">
        <v>1749</v>
      </c>
      <c r="BA828" s="34" t="s">
        <v>1750</v>
      </c>
      <c r="BC828" s="54">
        <f t="shared" si="108"/>
        <v>0</v>
      </c>
      <c r="BD828" s="54">
        <f t="shared" si="109"/>
        <v>0</v>
      </c>
      <c r="BE828" s="54">
        <v>0</v>
      </c>
      <c r="BF828" s="54">
        <f t="shared" si="110"/>
        <v>0</v>
      </c>
      <c r="BH828" s="54">
        <f t="shared" si="111"/>
        <v>0</v>
      </c>
      <c r="BI828" s="54">
        <f t="shared" si="112"/>
        <v>0</v>
      </c>
      <c r="BJ828" s="54">
        <f t="shared" si="113"/>
        <v>0</v>
      </c>
      <c r="BK828" s="54"/>
      <c r="BL828" s="54"/>
      <c r="BW828" s="54">
        <v>21</v>
      </c>
      <c r="BX828" s="3" t="s">
        <v>1802</v>
      </c>
    </row>
    <row r="829" spans="1:76" ht="14.5" x14ac:dyDescent="0.35">
      <c r="A829" s="1" t="s">
        <v>1959</v>
      </c>
      <c r="B829" s="2" t="s">
        <v>1742</v>
      </c>
      <c r="C829" s="2" t="s">
        <v>1804</v>
      </c>
      <c r="D829" s="155" t="s">
        <v>1805</v>
      </c>
      <c r="E829" s="153"/>
      <c r="F829" s="2" t="s">
        <v>581</v>
      </c>
      <c r="G829" s="54">
        <v>1</v>
      </c>
      <c r="H829" s="84">
        <v>0</v>
      </c>
      <c r="I829" s="54">
        <f t="shared" si="90"/>
        <v>0</v>
      </c>
      <c r="J829" s="54">
        <v>0</v>
      </c>
      <c r="K829" s="54">
        <v>0</v>
      </c>
      <c r="L829" s="54">
        <f t="shared" si="91"/>
        <v>0</v>
      </c>
      <c r="M829" s="55" t="s">
        <v>111</v>
      </c>
      <c r="Z829" s="54">
        <f t="shared" si="92"/>
        <v>0</v>
      </c>
      <c r="AB829" s="54">
        <f t="shared" si="93"/>
        <v>0</v>
      </c>
      <c r="AC829" s="54">
        <f t="shared" si="94"/>
        <v>0</v>
      </c>
      <c r="AD829" s="54">
        <f t="shared" si="95"/>
        <v>0</v>
      </c>
      <c r="AE829" s="54">
        <f t="shared" si="96"/>
        <v>0</v>
      </c>
      <c r="AF829" s="54">
        <f t="shared" si="97"/>
        <v>0</v>
      </c>
      <c r="AG829" s="54">
        <f t="shared" si="98"/>
        <v>0</v>
      </c>
      <c r="AH829" s="54">
        <f t="shared" si="99"/>
        <v>0</v>
      </c>
      <c r="AI829" s="34" t="s">
        <v>1742</v>
      </c>
      <c r="AJ829" s="54">
        <f t="shared" si="100"/>
        <v>0</v>
      </c>
      <c r="AK829" s="54">
        <f t="shared" si="101"/>
        <v>0</v>
      </c>
      <c r="AL829" s="54">
        <f t="shared" si="102"/>
        <v>0</v>
      </c>
      <c r="AN829" s="54">
        <v>21</v>
      </c>
      <c r="AO829" s="54">
        <f>H829*0</f>
        <v>0</v>
      </c>
      <c r="AP829" s="54">
        <f>H829*(1-0)</f>
        <v>0</v>
      </c>
      <c r="AQ829" s="56" t="s">
        <v>119</v>
      </c>
      <c r="AV829" s="54">
        <f t="shared" si="105"/>
        <v>0</v>
      </c>
      <c r="AW829" s="54">
        <f t="shared" si="106"/>
        <v>0</v>
      </c>
      <c r="AX829" s="54">
        <f t="shared" si="107"/>
        <v>0</v>
      </c>
      <c r="AY829" s="56" t="s">
        <v>1748</v>
      </c>
      <c r="AZ829" s="56" t="s">
        <v>1749</v>
      </c>
      <c r="BA829" s="34" t="s">
        <v>1750</v>
      </c>
      <c r="BC829" s="54">
        <f t="shared" si="108"/>
        <v>0</v>
      </c>
      <c r="BD829" s="54">
        <f t="shared" si="109"/>
        <v>0</v>
      </c>
      <c r="BE829" s="54">
        <v>0</v>
      </c>
      <c r="BF829" s="54">
        <f t="shared" si="110"/>
        <v>0</v>
      </c>
      <c r="BH829" s="54">
        <f t="shared" si="111"/>
        <v>0</v>
      </c>
      <c r="BI829" s="54">
        <f t="shared" si="112"/>
        <v>0</v>
      </c>
      <c r="BJ829" s="54">
        <f t="shared" si="113"/>
        <v>0</v>
      </c>
      <c r="BK829" s="54"/>
      <c r="BL829" s="54"/>
      <c r="BW829" s="54">
        <v>21</v>
      </c>
      <c r="BX829" s="3" t="s">
        <v>1805</v>
      </c>
    </row>
    <row r="830" spans="1:76" ht="14.5" x14ac:dyDescent="0.35">
      <c r="A830" s="86" t="s">
        <v>10</v>
      </c>
      <c r="B830" s="87" t="s">
        <v>1809</v>
      </c>
      <c r="C830" s="87" t="s">
        <v>10</v>
      </c>
      <c r="D830" s="234" t="s">
        <v>1810</v>
      </c>
      <c r="E830" s="235"/>
      <c r="F830" s="88" t="s">
        <v>84</v>
      </c>
      <c r="G830" s="88" t="s">
        <v>84</v>
      </c>
      <c r="H830" s="89" t="s">
        <v>84</v>
      </c>
      <c r="I830" s="90">
        <f>I831+I836</f>
        <v>0</v>
      </c>
      <c r="J830" s="91" t="s">
        <v>10</v>
      </c>
      <c r="K830" s="91" t="s">
        <v>10</v>
      </c>
      <c r="L830" s="90">
        <f>L831+L836</f>
        <v>0</v>
      </c>
      <c r="M830" s="92" t="s">
        <v>10</v>
      </c>
    </row>
    <row r="831" spans="1:76" ht="14.5" x14ac:dyDescent="0.35">
      <c r="A831" s="50" t="s">
        <v>10</v>
      </c>
      <c r="B831" s="51" t="s">
        <v>1809</v>
      </c>
      <c r="C831" s="51" t="s">
        <v>1811</v>
      </c>
      <c r="D831" s="206" t="s">
        <v>1812</v>
      </c>
      <c r="E831" s="207"/>
      <c r="F831" s="52" t="s">
        <v>84</v>
      </c>
      <c r="G831" s="52" t="s">
        <v>84</v>
      </c>
      <c r="H831" s="83" t="s">
        <v>84</v>
      </c>
      <c r="I831" s="27">
        <f>SUM(I832:I835)</f>
        <v>0</v>
      </c>
      <c r="J831" s="34" t="s">
        <v>10</v>
      </c>
      <c r="K831" s="34" t="s">
        <v>10</v>
      </c>
      <c r="L831" s="27">
        <f>SUM(L832:L835)</f>
        <v>0</v>
      </c>
      <c r="M831" s="53" t="s">
        <v>10</v>
      </c>
      <c r="AI831" s="34" t="s">
        <v>1809</v>
      </c>
      <c r="AS831" s="27">
        <f>SUM(AJ832:AJ835)</f>
        <v>0</v>
      </c>
      <c r="AT831" s="27">
        <f>SUM(AK832:AK835)</f>
        <v>0</v>
      </c>
      <c r="AU831" s="27">
        <f>SUM(AL832:AL835)</f>
        <v>0</v>
      </c>
    </row>
    <row r="832" spans="1:76" ht="14.5" x14ac:dyDescent="0.35">
      <c r="A832" s="1" t="s">
        <v>1960</v>
      </c>
      <c r="B832" s="2" t="s">
        <v>1809</v>
      </c>
      <c r="C832" s="2" t="s">
        <v>1813</v>
      </c>
      <c r="D832" s="155" t="s">
        <v>34</v>
      </c>
      <c r="E832" s="153"/>
      <c r="F832" s="2" t="s">
        <v>1814</v>
      </c>
      <c r="G832" s="54">
        <v>1</v>
      </c>
      <c r="H832" s="84">
        <v>0</v>
      </c>
      <c r="I832" s="54">
        <f>G832*H832</f>
        <v>0</v>
      </c>
      <c r="J832" s="54">
        <v>0</v>
      </c>
      <c r="K832" s="54">
        <v>0</v>
      </c>
      <c r="L832" s="54">
        <f>G832*J832</f>
        <v>0</v>
      </c>
      <c r="M832" s="55" t="s">
        <v>10</v>
      </c>
      <c r="Z832" s="54">
        <f>IF(AQ832="5",BJ832,0)</f>
        <v>0</v>
      </c>
      <c r="AB832" s="54">
        <f>IF(AQ832="1",BH832,0)</f>
        <v>0</v>
      </c>
      <c r="AC832" s="54">
        <f>IF(AQ832="1",BI832,0)</f>
        <v>0</v>
      </c>
      <c r="AD832" s="54">
        <f>IF(AQ832="7",BH832,0)</f>
        <v>0</v>
      </c>
      <c r="AE832" s="54">
        <f>IF(AQ832="7",BI832,0)</f>
        <v>0</v>
      </c>
      <c r="AF832" s="54">
        <f>IF(AQ832="2",BH832,0)</f>
        <v>0</v>
      </c>
      <c r="AG832" s="54">
        <f>IF(AQ832="2",BI832,0)</f>
        <v>0</v>
      </c>
      <c r="AH832" s="54">
        <f>IF(AQ832="0",BJ832,0)</f>
        <v>0</v>
      </c>
      <c r="AI832" s="34" t="s">
        <v>1809</v>
      </c>
      <c r="AJ832" s="54">
        <f>IF(AN832=0,I832,0)</f>
        <v>0</v>
      </c>
      <c r="AK832" s="54">
        <f>IF(AN832=12,I832,0)</f>
        <v>0</v>
      </c>
      <c r="AL832" s="54">
        <f>IF(AN832=21,I832,0)</f>
        <v>0</v>
      </c>
      <c r="AN832" s="54">
        <v>21</v>
      </c>
      <c r="AO832" s="54">
        <f>H832*0</f>
        <v>0</v>
      </c>
      <c r="AP832" s="54">
        <f>H832*(1-0)</f>
        <v>0</v>
      </c>
      <c r="AQ832" s="56" t="s">
        <v>107</v>
      </c>
      <c r="AV832" s="54">
        <f>AW832+AX832</f>
        <v>0</v>
      </c>
      <c r="AW832" s="54">
        <f>G832*AO832</f>
        <v>0</v>
      </c>
      <c r="AX832" s="54">
        <f>G832*AP832</f>
        <v>0</v>
      </c>
      <c r="AY832" s="56" t="s">
        <v>1815</v>
      </c>
      <c r="AZ832" s="56" t="s">
        <v>1816</v>
      </c>
      <c r="BA832" s="34" t="s">
        <v>1817</v>
      </c>
      <c r="BC832" s="54">
        <f>AW832+AX832</f>
        <v>0</v>
      </c>
      <c r="BD832" s="54">
        <f>H832/(100-BE832)*100</f>
        <v>0</v>
      </c>
      <c r="BE832" s="54">
        <v>0</v>
      </c>
      <c r="BF832" s="54">
        <f>L832</f>
        <v>0</v>
      </c>
      <c r="BH832" s="54">
        <f>G832*AO832</f>
        <v>0</v>
      </c>
      <c r="BI832" s="54">
        <f>G832*AP832</f>
        <v>0</v>
      </c>
      <c r="BJ832" s="54">
        <f>G832*H832</f>
        <v>0</v>
      </c>
      <c r="BK832" s="54"/>
      <c r="BL832" s="54"/>
      <c r="BW832" s="54">
        <v>21</v>
      </c>
      <c r="BX832" s="3" t="s">
        <v>34</v>
      </c>
    </row>
    <row r="833" spans="1:76" ht="14.5" x14ac:dyDescent="0.35">
      <c r="A833" s="1" t="s">
        <v>1961</v>
      </c>
      <c r="B833" s="2" t="s">
        <v>1809</v>
      </c>
      <c r="C833" s="2" t="s">
        <v>1819</v>
      </c>
      <c r="D833" s="155" t="s">
        <v>1820</v>
      </c>
      <c r="E833" s="153"/>
      <c r="F833" s="2" t="s">
        <v>1814</v>
      </c>
      <c r="G833" s="54">
        <v>1</v>
      </c>
      <c r="H833" s="84">
        <v>0</v>
      </c>
      <c r="I833" s="54">
        <f>G833*H833</f>
        <v>0</v>
      </c>
      <c r="J833" s="54">
        <v>0</v>
      </c>
      <c r="K833" s="54">
        <v>0</v>
      </c>
      <c r="L833" s="54">
        <f>G833*J833</f>
        <v>0</v>
      </c>
      <c r="M833" s="55" t="s">
        <v>10</v>
      </c>
      <c r="Z833" s="54">
        <f>IF(AQ833="5",BJ833,0)</f>
        <v>0</v>
      </c>
      <c r="AB833" s="54">
        <f>IF(AQ833="1",BH833,0)</f>
        <v>0</v>
      </c>
      <c r="AC833" s="54">
        <f>IF(AQ833="1",BI833,0)</f>
        <v>0</v>
      </c>
      <c r="AD833" s="54">
        <f>IF(AQ833="7",BH833,0)</f>
        <v>0</v>
      </c>
      <c r="AE833" s="54">
        <f>IF(AQ833="7",BI833,0)</f>
        <v>0</v>
      </c>
      <c r="AF833" s="54">
        <f>IF(AQ833="2",BH833,0)</f>
        <v>0</v>
      </c>
      <c r="AG833" s="54">
        <f>IF(AQ833="2",BI833,0)</f>
        <v>0</v>
      </c>
      <c r="AH833" s="54">
        <f>IF(AQ833="0",BJ833,0)</f>
        <v>0</v>
      </c>
      <c r="AI833" s="34" t="s">
        <v>1809</v>
      </c>
      <c r="AJ833" s="54">
        <f>IF(AN833=0,I833,0)</f>
        <v>0</v>
      </c>
      <c r="AK833" s="54">
        <f>IF(AN833=12,I833,0)</f>
        <v>0</v>
      </c>
      <c r="AL833" s="54">
        <f>IF(AN833=21,I833,0)</f>
        <v>0</v>
      </c>
      <c r="AN833" s="54">
        <v>21</v>
      </c>
      <c r="AO833" s="54">
        <f>H833*0</f>
        <v>0</v>
      </c>
      <c r="AP833" s="54">
        <f>H833*(1-0)</f>
        <v>0</v>
      </c>
      <c r="AQ833" s="56" t="s">
        <v>107</v>
      </c>
      <c r="AV833" s="54">
        <f>AW833+AX833</f>
        <v>0</v>
      </c>
      <c r="AW833" s="54">
        <f>G833*AO833</f>
        <v>0</v>
      </c>
      <c r="AX833" s="54">
        <f>G833*AP833</f>
        <v>0</v>
      </c>
      <c r="AY833" s="56" t="s">
        <v>1815</v>
      </c>
      <c r="AZ833" s="56" t="s">
        <v>1816</v>
      </c>
      <c r="BA833" s="34" t="s">
        <v>1817</v>
      </c>
      <c r="BC833" s="54">
        <f>AW833+AX833</f>
        <v>0</v>
      </c>
      <c r="BD833" s="54">
        <f>H833/(100-BE833)*100</f>
        <v>0</v>
      </c>
      <c r="BE833" s="54">
        <v>0</v>
      </c>
      <c r="BF833" s="54">
        <f>L833</f>
        <v>0</v>
      </c>
      <c r="BH833" s="54">
        <f>G833*AO833</f>
        <v>0</v>
      </c>
      <c r="BI833" s="54">
        <f>G833*AP833</f>
        <v>0</v>
      </c>
      <c r="BJ833" s="54">
        <f>G833*H833</f>
        <v>0</v>
      </c>
      <c r="BK833" s="54"/>
      <c r="BL833" s="54"/>
      <c r="BW833" s="54">
        <v>21</v>
      </c>
      <c r="BX833" s="3" t="s">
        <v>1820</v>
      </c>
    </row>
    <row r="834" spans="1:76" ht="14.5" x14ac:dyDescent="0.35">
      <c r="A834" s="1" t="s">
        <v>1962</v>
      </c>
      <c r="B834" s="2" t="s">
        <v>1809</v>
      </c>
      <c r="C834" s="2" t="s">
        <v>1822</v>
      </c>
      <c r="D834" s="155" t="s">
        <v>1823</v>
      </c>
      <c r="E834" s="153"/>
      <c r="F834" s="2" t="s">
        <v>1814</v>
      </c>
      <c r="G834" s="54">
        <v>1</v>
      </c>
      <c r="H834" s="84">
        <v>0</v>
      </c>
      <c r="I834" s="54">
        <f>G834*H834</f>
        <v>0</v>
      </c>
      <c r="J834" s="54">
        <v>0</v>
      </c>
      <c r="K834" s="54">
        <v>0</v>
      </c>
      <c r="L834" s="54">
        <f>G834*J834</f>
        <v>0</v>
      </c>
      <c r="M834" s="55" t="s">
        <v>10</v>
      </c>
      <c r="Z834" s="54">
        <f>IF(AQ834="5",BJ834,0)</f>
        <v>0</v>
      </c>
      <c r="AB834" s="54">
        <f>IF(AQ834="1",BH834,0)</f>
        <v>0</v>
      </c>
      <c r="AC834" s="54">
        <f>IF(AQ834="1",BI834,0)</f>
        <v>0</v>
      </c>
      <c r="AD834" s="54">
        <f>IF(AQ834="7",BH834,0)</f>
        <v>0</v>
      </c>
      <c r="AE834" s="54">
        <f>IF(AQ834="7",BI834,0)</f>
        <v>0</v>
      </c>
      <c r="AF834" s="54">
        <f>IF(AQ834="2",BH834,0)</f>
        <v>0</v>
      </c>
      <c r="AG834" s="54">
        <f>IF(AQ834="2",BI834,0)</f>
        <v>0</v>
      </c>
      <c r="AH834" s="54">
        <f>IF(AQ834="0",BJ834,0)</f>
        <v>0</v>
      </c>
      <c r="AI834" s="34" t="s">
        <v>1809</v>
      </c>
      <c r="AJ834" s="54">
        <f>IF(AN834=0,I834,0)</f>
        <v>0</v>
      </c>
      <c r="AK834" s="54">
        <f>IF(AN834=12,I834,0)</f>
        <v>0</v>
      </c>
      <c r="AL834" s="54">
        <f>IF(AN834=21,I834,0)</f>
        <v>0</v>
      </c>
      <c r="AN834" s="54">
        <v>21</v>
      </c>
      <c r="AO834" s="54">
        <f>H834*0</f>
        <v>0</v>
      </c>
      <c r="AP834" s="54">
        <f>H834*(1-0)</f>
        <v>0</v>
      </c>
      <c r="AQ834" s="56" t="s">
        <v>107</v>
      </c>
      <c r="AV834" s="54">
        <f>AW834+AX834</f>
        <v>0</v>
      </c>
      <c r="AW834" s="54">
        <f>G834*AO834</f>
        <v>0</v>
      </c>
      <c r="AX834" s="54">
        <f>G834*AP834</f>
        <v>0</v>
      </c>
      <c r="AY834" s="56" t="s">
        <v>1815</v>
      </c>
      <c r="AZ834" s="56" t="s">
        <v>1816</v>
      </c>
      <c r="BA834" s="34" t="s">
        <v>1817</v>
      </c>
      <c r="BC834" s="54">
        <f>AW834+AX834</f>
        <v>0</v>
      </c>
      <c r="BD834" s="54">
        <f>H834/(100-BE834)*100</f>
        <v>0</v>
      </c>
      <c r="BE834" s="54">
        <v>0</v>
      </c>
      <c r="BF834" s="54">
        <f>L834</f>
        <v>0</v>
      </c>
      <c r="BH834" s="54">
        <f>G834*AO834</f>
        <v>0</v>
      </c>
      <c r="BI834" s="54">
        <f>G834*AP834</f>
        <v>0</v>
      </c>
      <c r="BJ834" s="54">
        <f>G834*H834</f>
        <v>0</v>
      </c>
      <c r="BK834" s="54"/>
      <c r="BL834" s="54"/>
      <c r="BW834" s="54">
        <v>21</v>
      </c>
      <c r="BX834" s="3" t="s">
        <v>1823</v>
      </c>
    </row>
    <row r="835" spans="1:76" ht="14.5" x14ac:dyDescent="0.35">
      <c r="A835" s="1" t="s">
        <v>1963</v>
      </c>
      <c r="B835" s="2" t="s">
        <v>1809</v>
      </c>
      <c r="C835" s="2" t="s">
        <v>1825</v>
      </c>
      <c r="D835" s="155" t="s">
        <v>1533</v>
      </c>
      <c r="E835" s="153"/>
      <c r="F835" s="2" t="s">
        <v>1814</v>
      </c>
      <c r="G835" s="54">
        <v>1</v>
      </c>
      <c r="H835" s="84">
        <v>0</v>
      </c>
      <c r="I835" s="54">
        <f>G835*H835</f>
        <v>0</v>
      </c>
      <c r="J835" s="54">
        <v>0</v>
      </c>
      <c r="K835" s="54">
        <v>0</v>
      </c>
      <c r="L835" s="54">
        <f>G835*J835</f>
        <v>0</v>
      </c>
      <c r="M835" s="55" t="s">
        <v>10</v>
      </c>
      <c r="Z835" s="54">
        <f>IF(AQ835="5",BJ835,0)</f>
        <v>0</v>
      </c>
      <c r="AB835" s="54">
        <f>IF(AQ835="1",BH835,0)</f>
        <v>0</v>
      </c>
      <c r="AC835" s="54">
        <f>IF(AQ835="1",BI835,0)</f>
        <v>0</v>
      </c>
      <c r="AD835" s="54">
        <f>IF(AQ835="7",BH835,0)</f>
        <v>0</v>
      </c>
      <c r="AE835" s="54">
        <f>IF(AQ835="7",BI835,0)</f>
        <v>0</v>
      </c>
      <c r="AF835" s="54">
        <f>IF(AQ835="2",BH835,0)</f>
        <v>0</v>
      </c>
      <c r="AG835" s="54">
        <f>IF(AQ835="2",BI835,0)</f>
        <v>0</v>
      </c>
      <c r="AH835" s="54">
        <f>IF(AQ835="0",BJ835,0)</f>
        <v>0</v>
      </c>
      <c r="AI835" s="34" t="s">
        <v>1809</v>
      </c>
      <c r="AJ835" s="54">
        <f>IF(AN835=0,I835,0)</f>
        <v>0</v>
      </c>
      <c r="AK835" s="54">
        <f>IF(AN835=12,I835,0)</f>
        <v>0</v>
      </c>
      <c r="AL835" s="54">
        <f>IF(AN835=21,I835,0)</f>
        <v>0</v>
      </c>
      <c r="AN835" s="54">
        <v>21</v>
      </c>
      <c r="AO835" s="54">
        <f>H835*0</f>
        <v>0</v>
      </c>
      <c r="AP835" s="54">
        <f>H835*(1-0)</f>
        <v>0</v>
      </c>
      <c r="AQ835" s="56" t="s">
        <v>107</v>
      </c>
      <c r="AV835" s="54">
        <f>AW835+AX835</f>
        <v>0</v>
      </c>
      <c r="AW835" s="54">
        <f>G835*AO835</f>
        <v>0</v>
      </c>
      <c r="AX835" s="54">
        <f>G835*AP835</f>
        <v>0</v>
      </c>
      <c r="AY835" s="56" t="s">
        <v>1815</v>
      </c>
      <c r="AZ835" s="56" t="s">
        <v>1816</v>
      </c>
      <c r="BA835" s="34" t="s">
        <v>1817</v>
      </c>
      <c r="BC835" s="54">
        <f>AW835+AX835</f>
        <v>0</v>
      </c>
      <c r="BD835" s="54">
        <f>H835/(100-BE835)*100</f>
        <v>0</v>
      </c>
      <c r="BE835" s="54">
        <v>0</v>
      </c>
      <c r="BF835" s="54">
        <f>L835</f>
        <v>0</v>
      </c>
      <c r="BH835" s="54">
        <f>G835*AO835</f>
        <v>0</v>
      </c>
      <c r="BI835" s="54">
        <f>G835*AP835</f>
        <v>0</v>
      </c>
      <c r="BJ835" s="54">
        <f>G835*H835</f>
        <v>0</v>
      </c>
      <c r="BK835" s="54"/>
      <c r="BL835" s="54"/>
      <c r="BW835" s="54">
        <v>21</v>
      </c>
      <c r="BX835" s="3" t="s">
        <v>1533</v>
      </c>
    </row>
    <row r="836" spans="1:76" ht="14.5" x14ac:dyDescent="0.35">
      <c r="A836" s="50" t="s">
        <v>10</v>
      </c>
      <c r="B836" s="51" t="s">
        <v>1809</v>
      </c>
      <c r="C836" s="51" t="s">
        <v>1827</v>
      </c>
      <c r="D836" s="206" t="s">
        <v>1828</v>
      </c>
      <c r="E836" s="207"/>
      <c r="F836" s="52" t="s">
        <v>84</v>
      </c>
      <c r="G836" s="52" t="s">
        <v>84</v>
      </c>
      <c r="H836" s="83" t="s">
        <v>84</v>
      </c>
      <c r="I836" s="27">
        <f>SUM(I837:I841)</f>
        <v>0</v>
      </c>
      <c r="J836" s="34" t="s">
        <v>10</v>
      </c>
      <c r="K836" s="34" t="s">
        <v>10</v>
      </c>
      <c r="L836" s="27">
        <f>SUM(L837:L841)</f>
        <v>0</v>
      </c>
      <c r="M836" s="53" t="s">
        <v>10</v>
      </c>
      <c r="AI836" s="34" t="s">
        <v>1809</v>
      </c>
      <c r="AS836" s="27">
        <f>SUM(AJ837:AJ841)</f>
        <v>0</v>
      </c>
      <c r="AT836" s="27">
        <f>SUM(AK837:AK841)</f>
        <v>0</v>
      </c>
      <c r="AU836" s="27">
        <f>SUM(AL837:AL841)</f>
        <v>0</v>
      </c>
    </row>
    <row r="837" spans="1:76" ht="14.5" x14ac:dyDescent="0.35">
      <c r="A837" s="1" t="s">
        <v>1964</v>
      </c>
      <c r="B837" s="2" t="s">
        <v>1809</v>
      </c>
      <c r="C837" s="2" t="s">
        <v>1829</v>
      </c>
      <c r="D837" s="155" t="s">
        <v>1830</v>
      </c>
      <c r="E837" s="153"/>
      <c r="F837" s="2" t="s">
        <v>1814</v>
      </c>
      <c r="G837" s="54">
        <v>1</v>
      </c>
      <c r="H837" s="84">
        <v>0</v>
      </c>
      <c r="I837" s="54">
        <f>G837*H837</f>
        <v>0</v>
      </c>
      <c r="J837" s="54">
        <v>0</v>
      </c>
      <c r="K837" s="54">
        <v>0</v>
      </c>
      <c r="L837" s="54">
        <f>G837*J837</f>
        <v>0</v>
      </c>
      <c r="M837" s="55" t="s">
        <v>10</v>
      </c>
      <c r="Z837" s="54">
        <f>IF(AQ837="5",BJ837,0)</f>
        <v>0</v>
      </c>
      <c r="AB837" s="54">
        <f>IF(AQ837="1",BH837,0)</f>
        <v>0</v>
      </c>
      <c r="AC837" s="54">
        <f>IF(AQ837="1",BI837,0)</f>
        <v>0</v>
      </c>
      <c r="AD837" s="54">
        <f>IF(AQ837="7",BH837,0)</f>
        <v>0</v>
      </c>
      <c r="AE837" s="54">
        <f>IF(AQ837="7",BI837,0)</f>
        <v>0</v>
      </c>
      <c r="AF837" s="54">
        <f>IF(AQ837="2",BH837,0)</f>
        <v>0</v>
      </c>
      <c r="AG837" s="54">
        <f>IF(AQ837="2",BI837,0)</f>
        <v>0</v>
      </c>
      <c r="AH837" s="54">
        <f>IF(AQ837="0",BJ837,0)</f>
        <v>0</v>
      </c>
      <c r="AI837" s="34" t="s">
        <v>1809</v>
      </c>
      <c r="AJ837" s="54">
        <f>IF(AN837=0,I837,0)</f>
        <v>0</v>
      </c>
      <c r="AK837" s="54">
        <f>IF(AN837=12,I837,0)</f>
        <v>0</v>
      </c>
      <c r="AL837" s="54">
        <f>IF(AN837=21,I837,0)</f>
        <v>0</v>
      </c>
      <c r="AN837" s="54">
        <v>21</v>
      </c>
      <c r="AO837" s="54">
        <f>H837*0</f>
        <v>0</v>
      </c>
      <c r="AP837" s="54">
        <f>H837*(1-0)</f>
        <v>0</v>
      </c>
      <c r="AQ837" s="56" t="s">
        <v>107</v>
      </c>
      <c r="AV837" s="54">
        <f>AW837+AX837</f>
        <v>0</v>
      </c>
      <c r="AW837" s="54">
        <f>G837*AO837</f>
        <v>0</v>
      </c>
      <c r="AX837" s="54">
        <f>G837*AP837</f>
        <v>0</v>
      </c>
      <c r="AY837" s="56" t="s">
        <v>1831</v>
      </c>
      <c r="AZ837" s="56" t="s">
        <v>1816</v>
      </c>
      <c r="BA837" s="34" t="s">
        <v>1817</v>
      </c>
      <c r="BC837" s="54">
        <f>AW837+AX837</f>
        <v>0</v>
      </c>
      <c r="BD837" s="54">
        <f>H837/(100-BE837)*100</f>
        <v>0</v>
      </c>
      <c r="BE837" s="54">
        <v>0</v>
      </c>
      <c r="BF837" s="54">
        <f>L837</f>
        <v>0</v>
      </c>
      <c r="BH837" s="54">
        <f>G837*AO837</f>
        <v>0</v>
      </c>
      <c r="BI837" s="54">
        <f>G837*AP837</f>
        <v>0</v>
      </c>
      <c r="BJ837" s="54">
        <f>G837*H837</f>
        <v>0</v>
      </c>
      <c r="BK837" s="54"/>
      <c r="BL837" s="54"/>
      <c r="BW837" s="54">
        <v>21</v>
      </c>
      <c r="BX837" s="3" t="s">
        <v>1830</v>
      </c>
    </row>
    <row r="838" spans="1:76" ht="14.5" x14ac:dyDescent="0.35">
      <c r="A838" s="1" t="s">
        <v>1965</v>
      </c>
      <c r="B838" s="2" t="s">
        <v>1809</v>
      </c>
      <c r="C838" s="2" t="s">
        <v>1833</v>
      </c>
      <c r="D838" s="155" t="s">
        <v>1834</v>
      </c>
      <c r="E838" s="153"/>
      <c r="F838" s="2" t="s">
        <v>1814</v>
      </c>
      <c r="G838" s="54">
        <v>1</v>
      </c>
      <c r="H838" s="84">
        <v>0</v>
      </c>
      <c r="I838" s="54">
        <f>G838*H838</f>
        <v>0</v>
      </c>
      <c r="J838" s="54">
        <v>0</v>
      </c>
      <c r="K838" s="54">
        <v>0</v>
      </c>
      <c r="L838" s="54">
        <f>G838*J838</f>
        <v>0</v>
      </c>
      <c r="M838" s="55" t="s">
        <v>10</v>
      </c>
      <c r="Z838" s="54">
        <f>IF(AQ838="5",BJ838,0)</f>
        <v>0</v>
      </c>
      <c r="AB838" s="54">
        <f>IF(AQ838="1",BH838,0)</f>
        <v>0</v>
      </c>
      <c r="AC838" s="54">
        <f>IF(AQ838="1",BI838,0)</f>
        <v>0</v>
      </c>
      <c r="AD838" s="54">
        <f>IF(AQ838="7",BH838,0)</f>
        <v>0</v>
      </c>
      <c r="AE838" s="54">
        <f>IF(AQ838="7",BI838,0)</f>
        <v>0</v>
      </c>
      <c r="AF838" s="54">
        <f>IF(AQ838="2",BH838,0)</f>
        <v>0</v>
      </c>
      <c r="AG838" s="54">
        <f>IF(AQ838="2",BI838,0)</f>
        <v>0</v>
      </c>
      <c r="AH838" s="54">
        <f>IF(AQ838="0",BJ838,0)</f>
        <v>0</v>
      </c>
      <c r="AI838" s="34" t="s">
        <v>1809</v>
      </c>
      <c r="AJ838" s="54">
        <f>IF(AN838=0,I838,0)</f>
        <v>0</v>
      </c>
      <c r="AK838" s="54">
        <f>IF(AN838=12,I838,0)</f>
        <v>0</v>
      </c>
      <c r="AL838" s="54">
        <f>IF(AN838=21,I838,0)</f>
        <v>0</v>
      </c>
      <c r="AN838" s="54">
        <v>21</v>
      </c>
      <c r="AO838" s="54">
        <f>H838*0</f>
        <v>0</v>
      </c>
      <c r="AP838" s="54">
        <f>H838*(1-0)</f>
        <v>0</v>
      </c>
      <c r="AQ838" s="56" t="s">
        <v>107</v>
      </c>
      <c r="AV838" s="54">
        <f>AW838+AX838</f>
        <v>0</v>
      </c>
      <c r="AW838" s="54">
        <f>G838*AO838</f>
        <v>0</v>
      </c>
      <c r="AX838" s="54">
        <f>G838*AP838</f>
        <v>0</v>
      </c>
      <c r="AY838" s="56" t="s">
        <v>1831</v>
      </c>
      <c r="AZ838" s="56" t="s">
        <v>1816</v>
      </c>
      <c r="BA838" s="34" t="s">
        <v>1817</v>
      </c>
      <c r="BC838" s="54">
        <f>AW838+AX838</f>
        <v>0</v>
      </c>
      <c r="BD838" s="54">
        <f>H838/(100-BE838)*100</f>
        <v>0</v>
      </c>
      <c r="BE838" s="54">
        <v>0</v>
      </c>
      <c r="BF838" s="54">
        <f>L838</f>
        <v>0</v>
      </c>
      <c r="BH838" s="54">
        <f>G838*AO838</f>
        <v>0</v>
      </c>
      <c r="BI838" s="54">
        <f>G838*AP838</f>
        <v>0</v>
      </c>
      <c r="BJ838" s="54">
        <f>G838*H838</f>
        <v>0</v>
      </c>
      <c r="BK838" s="54"/>
      <c r="BL838" s="54"/>
      <c r="BW838" s="54">
        <v>21</v>
      </c>
      <c r="BX838" s="3" t="s">
        <v>1834</v>
      </c>
    </row>
    <row r="839" spans="1:76" ht="14.5" x14ac:dyDescent="0.35">
      <c r="A839" s="1" t="s">
        <v>1966</v>
      </c>
      <c r="B839" s="2" t="s">
        <v>1809</v>
      </c>
      <c r="C839" s="2" t="s">
        <v>1836</v>
      </c>
      <c r="D839" s="155" t="s">
        <v>1837</v>
      </c>
      <c r="E839" s="153"/>
      <c r="F839" s="2" t="s">
        <v>1814</v>
      </c>
      <c r="G839" s="54">
        <v>1</v>
      </c>
      <c r="H839" s="84">
        <v>0</v>
      </c>
      <c r="I839" s="54">
        <f>G839*H839</f>
        <v>0</v>
      </c>
      <c r="J839" s="54">
        <v>0</v>
      </c>
      <c r="K839" s="54">
        <v>0</v>
      </c>
      <c r="L839" s="54">
        <f>G839*J839</f>
        <v>0</v>
      </c>
      <c r="M839" s="55" t="s">
        <v>10</v>
      </c>
      <c r="Z839" s="54">
        <f>IF(AQ839="5",BJ839,0)</f>
        <v>0</v>
      </c>
      <c r="AB839" s="54">
        <f>IF(AQ839="1",BH839,0)</f>
        <v>0</v>
      </c>
      <c r="AC839" s="54">
        <f>IF(AQ839="1",BI839,0)</f>
        <v>0</v>
      </c>
      <c r="AD839" s="54">
        <f>IF(AQ839="7",BH839,0)</f>
        <v>0</v>
      </c>
      <c r="AE839" s="54">
        <f>IF(AQ839="7",BI839,0)</f>
        <v>0</v>
      </c>
      <c r="AF839" s="54">
        <f>IF(AQ839="2",BH839,0)</f>
        <v>0</v>
      </c>
      <c r="AG839" s="54">
        <f>IF(AQ839="2",BI839,0)</f>
        <v>0</v>
      </c>
      <c r="AH839" s="54">
        <f>IF(AQ839="0",BJ839,0)</f>
        <v>0</v>
      </c>
      <c r="AI839" s="34" t="s">
        <v>1809</v>
      </c>
      <c r="AJ839" s="54">
        <f>IF(AN839=0,I839,0)</f>
        <v>0</v>
      </c>
      <c r="AK839" s="54">
        <f>IF(AN839=12,I839,0)</f>
        <v>0</v>
      </c>
      <c r="AL839" s="54">
        <f>IF(AN839=21,I839,0)</f>
        <v>0</v>
      </c>
      <c r="AN839" s="54">
        <v>21</v>
      </c>
      <c r="AO839" s="54">
        <f>H839*0</f>
        <v>0</v>
      </c>
      <c r="AP839" s="54">
        <f>H839*(1-0)</f>
        <v>0</v>
      </c>
      <c r="AQ839" s="56" t="s">
        <v>107</v>
      </c>
      <c r="AV839" s="54">
        <f>AW839+AX839</f>
        <v>0</v>
      </c>
      <c r="AW839" s="54">
        <f>G839*AO839</f>
        <v>0</v>
      </c>
      <c r="AX839" s="54">
        <f>G839*AP839</f>
        <v>0</v>
      </c>
      <c r="AY839" s="56" t="s">
        <v>1831</v>
      </c>
      <c r="AZ839" s="56" t="s">
        <v>1816</v>
      </c>
      <c r="BA839" s="34" t="s">
        <v>1817</v>
      </c>
      <c r="BC839" s="54">
        <f>AW839+AX839</f>
        <v>0</v>
      </c>
      <c r="BD839" s="54">
        <f>H839/(100-BE839)*100</f>
        <v>0</v>
      </c>
      <c r="BE839" s="54">
        <v>0</v>
      </c>
      <c r="BF839" s="54">
        <f>L839</f>
        <v>0</v>
      </c>
      <c r="BH839" s="54">
        <f>G839*AO839</f>
        <v>0</v>
      </c>
      <c r="BI839" s="54">
        <f>G839*AP839</f>
        <v>0</v>
      </c>
      <c r="BJ839" s="54">
        <f>G839*H839</f>
        <v>0</v>
      </c>
      <c r="BK839" s="54"/>
      <c r="BL839" s="54"/>
      <c r="BW839" s="54">
        <v>21</v>
      </c>
      <c r="BX839" s="3" t="s">
        <v>1837</v>
      </c>
    </row>
    <row r="840" spans="1:76" ht="14.5" x14ac:dyDescent="0.35">
      <c r="A840" s="1" t="s">
        <v>1967</v>
      </c>
      <c r="B840" s="2" t="s">
        <v>1809</v>
      </c>
      <c r="C840" s="2" t="s">
        <v>1839</v>
      </c>
      <c r="D840" s="155" t="s">
        <v>1840</v>
      </c>
      <c r="E840" s="153"/>
      <c r="F840" s="2" t="s">
        <v>1814</v>
      </c>
      <c r="G840" s="54">
        <v>1</v>
      </c>
      <c r="H840" s="84">
        <v>0</v>
      </c>
      <c r="I840" s="54">
        <f>G840*H840</f>
        <v>0</v>
      </c>
      <c r="J840" s="54">
        <v>0</v>
      </c>
      <c r="K840" s="54">
        <v>0</v>
      </c>
      <c r="L840" s="54">
        <f>G840*J840</f>
        <v>0</v>
      </c>
      <c r="M840" s="55" t="s">
        <v>10</v>
      </c>
      <c r="Z840" s="54">
        <f>IF(AQ840="5",BJ840,0)</f>
        <v>0</v>
      </c>
      <c r="AB840" s="54">
        <f>IF(AQ840="1",BH840,0)</f>
        <v>0</v>
      </c>
      <c r="AC840" s="54">
        <f>IF(AQ840="1",BI840,0)</f>
        <v>0</v>
      </c>
      <c r="AD840" s="54">
        <f>IF(AQ840="7",BH840,0)</f>
        <v>0</v>
      </c>
      <c r="AE840" s="54">
        <f>IF(AQ840="7",BI840,0)</f>
        <v>0</v>
      </c>
      <c r="AF840" s="54">
        <f>IF(AQ840="2",BH840,0)</f>
        <v>0</v>
      </c>
      <c r="AG840" s="54">
        <f>IF(AQ840="2",BI840,0)</f>
        <v>0</v>
      </c>
      <c r="AH840" s="54">
        <f>IF(AQ840="0",BJ840,0)</f>
        <v>0</v>
      </c>
      <c r="AI840" s="34" t="s">
        <v>1809</v>
      </c>
      <c r="AJ840" s="54">
        <f>IF(AN840=0,I840,0)</f>
        <v>0</v>
      </c>
      <c r="AK840" s="54">
        <f>IF(AN840=12,I840,0)</f>
        <v>0</v>
      </c>
      <c r="AL840" s="54">
        <f>IF(AN840=21,I840,0)</f>
        <v>0</v>
      </c>
      <c r="AN840" s="54">
        <v>21</v>
      </c>
      <c r="AO840" s="54">
        <f>H840*0</f>
        <v>0</v>
      </c>
      <c r="AP840" s="54">
        <f>H840*(1-0)</f>
        <v>0</v>
      </c>
      <c r="AQ840" s="56" t="s">
        <v>107</v>
      </c>
      <c r="AV840" s="54">
        <f>AW840+AX840</f>
        <v>0</v>
      </c>
      <c r="AW840" s="54">
        <f>G840*AO840</f>
        <v>0</v>
      </c>
      <c r="AX840" s="54">
        <f>G840*AP840</f>
        <v>0</v>
      </c>
      <c r="AY840" s="56" t="s">
        <v>1831</v>
      </c>
      <c r="AZ840" s="56" t="s">
        <v>1816</v>
      </c>
      <c r="BA840" s="34" t="s">
        <v>1817</v>
      </c>
      <c r="BC840" s="54">
        <f>AW840+AX840</f>
        <v>0</v>
      </c>
      <c r="BD840" s="54">
        <f>H840/(100-BE840)*100</f>
        <v>0</v>
      </c>
      <c r="BE840" s="54">
        <v>0</v>
      </c>
      <c r="BF840" s="54">
        <f>L840</f>
        <v>0</v>
      </c>
      <c r="BH840" s="54">
        <f>G840*AO840</f>
        <v>0</v>
      </c>
      <c r="BI840" s="54">
        <f>G840*AP840</f>
        <v>0</v>
      </c>
      <c r="BJ840" s="54">
        <f>G840*H840</f>
        <v>0</v>
      </c>
      <c r="BK840" s="54"/>
      <c r="BL840" s="54"/>
      <c r="BW840" s="54">
        <v>21</v>
      </c>
      <c r="BX840" s="3" t="s">
        <v>1840</v>
      </c>
    </row>
    <row r="841" spans="1:76" ht="14.5" x14ac:dyDescent="0.35">
      <c r="A841" s="4" t="s">
        <v>1968</v>
      </c>
      <c r="B841" s="5" t="s">
        <v>1809</v>
      </c>
      <c r="C841" s="5" t="s">
        <v>1842</v>
      </c>
      <c r="D841" s="225" t="s">
        <v>1843</v>
      </c>
      <c r="E841" s="159"/>
      <c r="F841" s="5" t="s">
        <v>1814</v>
      </c>
      <c r="G841" s="78">
        <v>1</v>
      </c>
      <c r="H841" s="93">
        <v>0</v>
      </c>
      <c r="I841" s="78">
        <f>G841*H841</f>
        <v>0</v>
      </c>
      <c r="J841" s="78">
        <v>0</v>
      </c>
      <c r="K841" s="78">
        <v>0</v>
      </c>
      <c r="L841" s="78">
        <f>G841*J841</f>
        <v>0</v>
      </c>
      <c r="M841" s="79" t="s">
        <v>10</v>
      </c>
      <c r="Z841" s="54">
        <f>IF(AQ841="5",BJ841,0)</f>
        <v>0</v>
      </c>
      <c r="AB841" s="54">
        <f>IF(AQ841="1",BH841,0)</f>
        <v>0</v>
      </c>
      <c r="AC841" s="54">
        <f>IF(AQ841="1",BI841,0)</f>
        <v>0</v>
      </c>
      <c r="AD841" s="54">
        <f>IF(AQ841="7",BH841,0)</f>
        <v>0</v>
      </c>
      <c r="AE841" s="54">
        <f>IF(AQ841="7",BI841,0)</f>
        <v>0</v>
      </c>
      <c r="AF841" s="54">
        <f>IF(AQ841="2",BH841,0)</f>
        <v>0</v>
      </c>
      <c r="AG841" s="54">
        <f>IF(AQ841="2",BI841,0)</f>
        <v>0</v>
      </c>
      <c r="AH841" s="54">
        <f>IF(AQ841="0",BJ841,0)</f>
        <v>0</v>
      </c>
      <c r="AI841" s="34" t="s">
        <v>1809</v>
      </c>
      <c r="AJ841" s="54">
        <f>IF(AN841=0,I841,0)</f>
        <v>0</v>
      </c>
      <c r="AK841" s="54">
        <f>IF(AN841=12,I841,0)</f>
        <v>0</v>
      </c>
      <c r="AL841" s="54">
        <f>IF(AN841=21,I841,0)</f>
        <v>0</v>
      </c>
      <c r="AN841" s="54">
        <v>21</v>
      </c>
      <c r="AO841" s="54">
        <f>H841*0</f>
        <v>0</v>
      </c>
      <c r="AP841" s="54">
        <f>H841*(1-0)</f>
        <v>0</v>
      </c>
      <c r="AQ841" s="56" t="s">
        <v>107</v>
      </c>
      <c r="AV841" s="54">
        <f>AW841+AX841</f>
        <v>0</v>
      </c>
      <c r="AW841" s="54">
        <f>G841*AO841</f>
        <v>0</v>
      </c>
      <c r="AX841" s="54">
        <f>G841*AP841</f>
        <v>0</v>
      </c>
      <c r="AY841" s="56" t="s">
        <v>1831</v>
      </c>
      <c r="AZ841" s="56" t="s">
        <v>1816</v>
      </c>
      <c r="BA841" s="34" t="s">
        <v>1817</v>
      </c>
      <c r="BC841" s="54">
        <f>AW841+AX841</f>
        <v>0</v>
      </c>
      <c r="BD841" s="54">
        <f>H841/(100-BE841)*100</f>
        <v>0</v>
      </c>
      <c r="BE841" s="54">
        <v>0</v>
      </c>
      <c r="BF841" s="54">
        <f>L841</f>
        <v>0</v>
      </c>
      <c r="BH841" s="54">
        <f>G841*AO841</f>
        <v>0</v>
      </c>
      <c r="BI841" s="54">
        <f>G841*AP841</f>
        <v>0</v>
      </c>
      <c r="BJ841" s="54">
        <f>G841*H841</f>
        <v>0</v>
      </c>
      <c r="BK841" s="54"/>
      <c r="BL841" s="54"/>
      <c r="BW841" s="54">
        <v>21</v>
      </c>
      <c r="BX841" s="3" t="s">
        <v>1843</v>
      </c>
    </row>
    <row r="842" spans="1:76" ht="14.5" x14ac:dyDescent="0.35">
      <c r="I842" s="76">
        <f>I13+I48+I69+I101+I110+I119+I139+I177+I260+I297+I303+I325+I374+I378+I424+I430+I479+I524+I556+I576+I611+I621+I624+I668+I682+I684+I691+I696+I698+I712+I790+I801+I831+I836</f>
        <v>0</v>
      </c>
    </row>
    <row r="843" spans="1:76" ht="14.5" x14ac:dyDescent="0.35">
      <c r="A843" s="77" t="s">
        <v>55</v>
      </c>
    </row>
    <row r="844" spans="1:76" ht="12.75" customHeight="1" x14ac:dyDescent="0.35">
      <c r="A844" s="155" t="s">
        <v>10</v>
      </c>
      <c r="B844" s="153"/>
      <c r="C844" s="153"/>
      <c r="D844" s="153"/>
      <c r="E844" s="153"/>
      <c r="F844" s="153"/>
      <c r="G844" s="153"/>
      <c r="H844" s="153"/>
      <c r="I844" s="153"/>
      <c r="J844" s="153"/>
      <c r="K844" s="153"/>
      <c r="L844" s="153"/>
      <c r="M844" s="153"/>
    </row>
  </sheetData>
  <sheetProtection password="E512" sheet="1"/>
  <mergeCells count="388">
    <mergeCell ref="D841:E841"/>
    <mergeCell ref="A844:M844"/>
    <mergeCell ref="D836:E836"/>
    <mergeCell ref="D837:E837"/>
    <mergeCell ref="D838:E838"/>
    <mergeCell ref="D839:E839"/>
    <mergeCell ref="D840:E840"/>
    <mergeCell ref="D831:E831"/>
    <mergeCell ref="D832:E832"/>
    <mergeCell ref="D833:E833"/>
    <mergeCell ref="D834:E834"/>
    <mergeCell ref="D835:E835"/>
    <mergeCell ref="D826:E826"/>
    <mergeCell ref="D827:E827"/>
    <mergeCell ref="D828:E828"/>
    <mergeCell ref="D829:E829"/>
    <mergeCell ref="D830:E830"/>
    <mergeCell ref="D821:E821"/>
    <mergeCell ref="D822:E822"/>
    <mergeCell ref="D823:E823"/>
    <mergeCell ref="D824:E824"/>
    <mergeCell ref="D825:E825"/>
    <mergeCell ref="D816:E816"/>
    <mergeCell ref="D817:E817"/>
    <mergeCell ref="D818:E818"/>
    <mergeCell ref="D819:E819"/>
    <mergeCell ref="D820:E820"/>
    <mergeCell ref="D811:E811"/>
    <mergeCell ref="D812:E812"/>
    <mergeCell ref="D813:E813"/>
    <mergeCell ref="D814:E814"/>
    <mergeCell ref="D815:E815"/>
    <mergeCell ref="D806:E806"/>
    <mergeCell ref="D807:E807"/>
    <mergeCell ref="D808:E808"/>
    <mergeCell ref="D809:E809"/>
    <mergeCell ref="D810:E810"/>
    <mergeCell ref="D801:E801"/>
    <mergeCell ref="D802:E802"/>
    <mergeCell ref="D803:E803"/>
    <mergeCell ref="D804:E804"/>
    <mergeCell ref="D805:E805"/>
    <mergeCell ref="D796:E796"/>
    <mergeCell ref="D797:E797"/>
    <mergeCell ref="D798:E798"/>
    <mergeCell ref="D799:E799"/>
    <mergeCell ref="D800:E800"/>
    <mergeCell ref="D791:E791"/>
    <mergeCell ref="D792:E792"/>
    <mergeCell ref="D793:E793"/>
    <mergeCell ref="D794:E794"/>
    <mergeCell ref="D795:E795"/>
    <mergeCell ref="D781:E781"/>
    <mergeCell ref="D782:E782"/>
    <mergeCell ref="D784:E784"/>
    <mergeCell ref="D787:E787"/>
    <mergeCell ref="D790:E790"/>
    <mergeCell ref="D776:E776"/>
    <mergeCell ref="D777:E777"/>
    <mergeCell ref="D778:E778"/>
    <mergeCell ref="D779:E779"/>
    <mergeCell ref="D780:E780"/>
    <mergeCell ref="D771:E771"/>
    <mergeCell ref="D772:E772"/>
    <mergeCell ref="D773:E773"/>
    <mergeCell ref="D774:E774"/>
    <mergeCell ref="D775:E775"/>
    <mergeCell ref="D765:E765"/>
    <mergeCell ref="D766:E766"/>
    <mergeCell ref="D768:E768"/>
    <mergeCell ref="D769:E769"/>
    <mergeCell ref="D770:E770"/>
    <mergeCell ref="D750:E750"/>
    <mergeCell ref="D753:E753"/>
    <mergeCell ref="D755:E755"/>
    <mergeCell ref="D757:E757"/>
    <mergeCell ref="D763:E763"/>
    <mergeCell ref="D745:E745"/>
    <mergeCell ref="D746:E746"/>
    <mergeCell ref="D747:E747"/>
    <mergeCell ref="D748:E748"/>
    <mergeCell ref="D749:E749"/>
    <mergeCell ref="D740:E740"/>
    <mergeCell ref="D741:E741"/>
    <mergeCell ref="D742:E742"/>
    <mergeCell ref="D743:E743"/>
    <mergeCell ref="D744:E744"/>
    <mergeCell ref="D735:E735"/>
    <mergeCell ref="D736:E736"/>
    <mergeCell ref="D737:E737"/>
    <mergeCell ref="D738:E738"/>
    <mergeCell ref="D739:E739"/>
    <mergeCell ref="D730:E730"/>
    <mergeCell ref="D731:E731"/>
    <mergeCell ref="D732:E732"/>
    <mergeCell ref="D733:E733"/>
    <mergeCell ref="D734:E734"/>
    <mergeCell ref="D725:E725"/>
    <mergeCell ref="D726:E726"/>
    <mergeCell ref="D727:E727"/>
    <mergeCell ref="D728:E728"/>
    <mergeCell ref="D729:E729"/>
    <mergeCell ref="D719:E719"/>
    <mergeCell ref="D720:E720"/>
    <mergeCell ref="D722:E722"/>
    <mergeCell ref="D723:E723"/>
    <mergeCell ref="D724:E724"/>
    <mergeCell ref="D711:E711"/>
    <mergeCell ref="D712:E712"/>
    <mergeCell ref="D713:E713"/>
    <mergeCell ref="D716:E716"/>
    <mergeCell ref="D718:E718"/>
    <mergeCell ref="D704:E704"/>
    <mergeCell ref="D705:E705"/>
    <mergeCell ref="D706:E706"/>
    <mergeCell ref="D709:E709"/>
    <mergeCell ref="D710:E710"/>
    <mergeCell ref="D699:E699"/>
    <mergeCell ref="D700:E700"/>
    <mergeCell ref="D701:E701"/>
    <mergeCell ref="D702:E702"/>
    <mergeCell ref="D703:E703"/>
    <mergeCell ref="D694:E694"/>
    <mergeCell ref="D695:E695"/>
    <mergeCell ref="D696:E696"/>
    <mergeCell ref="D697:E697"/>
    <mergeCell ref="D698:E698"/>
    <mergeCell ref="D689:E689"/>
    <mergeCell ref="D690:E690"/>
    <mergeCell ref="D691:E691"/>
    <mergeCell ref="D692:E692"/>
    <mergeCell ref="D693:E693"/>
    <mergeCell ref="D683:E683"/>
    <mergeCell ref="D684:E684"/>
    <mergeCell ref="D685:E685"/>
    <mergeCell ref="D686:E686"/>
    <mergeCell ref="D688:E688"/>
    <mergeCell ref="D674:E674"/>
    <mergeCell ref="D675:E675"/>
    <mergeCell ref="D680:E680"/>
    <mergeCell ref="D681:E681"/>
    <mergeCell ref="D682:E682"/>
    <mergeCell ref="D665:E665"/>
    <mergeCell ref="D666:E666"/>
    <mergeCell ref="D668:E668"/>
    <mergeCell ref="D669:E669"/>
    <mergeCell ref="D673:E673"/>
    <mergeCell ref="D627:E627"/>
    <mergeCell ref="D636:E636"/>
    <mergeCell ref="D645:E645"/>
    <mergeCell ref="D650:E650"/>
    <mergeCell ref="D656:E656"/>
    <mergeCell ref="D619:E619"/>
    <mergeCell ref="D621:E621"/>
    <mergeCell ref="D622:E622"/>
    <mergeCell ref="D624:E624"/>
    <mergeCell ref="D625:E625"/>
    <mergeCell ref="D587:E587"/>
    <mergeCell ref="D608:E608"/>
    <mergeCell ref="D611:E611"/>
    <mergeCell ref="D612:E612"/>
    <mergeCell ref="D616:E616"/>
    <mergeCell ref="D557:E557"/>
    <mergeCell ref="D561:E561"/>
    <mergeCell ref="D567:E567"/>
    <mergeCell ref="D576:E576"/>
    <mergeCell ref="D577:E577"/>
    <mergeCell ref="D542:E542"/>
    <mergeCell ref="D544:E544"/>
    <mergeCell ref="D549:E549"/>
    <mergeCell ref="D555:E555"/>
    <mergeCell ref="D556:E556"/>
    <mergeCell ref="D523:E523"/>
    <mergeCell ref="D524:E524"/>
    <mergeCell ref="D525:E525"/>
    <mergeCell ref="D531:E531"/>
    <mergeCell ref="D533:E533"/>
    <mergeCell ref="D497:E497"/>
    <mergeCell ref="D500:E500"/>
    <mergeCell ref="D505:E505"/>
    <mergeCell ref="D512:E512"/>
    <mergeCell ref="D515:E515"/>
    <mergeCell ref="D478:E478"/>
    <mergeCell ref="D479:E479"/>
    <mergeCell ref="D480:E480"/>
    <mergeCell ref="D486:E486"/>
    <mergeCell ref="D493:E493"/>
    <mergeCell ref="D460:E460"/>
    <mergeCell ref="D463:E463"/>
    <mergeCell ref="D466:E466"/>
    <mergeCell ref="D472:E472"/>
    <mergeCell ref="D475:E475"/>
    <mergeCell ref="D431:E431"/>
    <mergeCell ref="D438:E438"/>
    <mergeCell ref="D443:E443"/>
    <mergeCell ref="D448:E448"/>
    <mergeCell ref="D452:E452"/>
    <mergeCell ref="D421:E421"/>
    <mergeCell ref="D422:E422"/>
    <mergeCell ref="D424:E424"/>
    <mergeCell ref="D425:E425"/>
    <mergeCell ref="D430:E430"/>
    <mergeCell ref="D409:E409"/>
    <mergeCell ref="D411:E411"/>
    <mergeCell ref="D413:E413"/>
    <mergeCell ref="D415:E415"/>
    <mergeCell ref="D419:E419"/>
    <mergeCell ref="D399:E399"/>
    <mergeCell ref="D401:E401"/>
    <mergeCell ref="D403:E403"/>
    <mergeCell ref="D405:E405"/>
    <mergeCell ref="D407:E407"/>
    <mergeCell ref="D386:E386"/>
    <mergeCell ref="D390:E390"/>
    <mergeCell ref="D393:E393"/>
    <mergeCell ref="D395:E395"/>
    <mergeCell ref="D397:E397"/>
    <mergeCell ref="D375:E375"/>
    <mergeCell ref="D377:E377"/>
    <mergeCell ref="D378:E378"/>
    <mergeCell ref="D379:E379"/>
    <mergeCell ref="D382:E382"/>
    <mergeCell ref="D368:E368"/>
    <mergeCell ref="D370:E370"/>
    <mergeCell ref="D372:E372"/>
    <mergeCell ref="D373:E373"/>
    <mergeCell ref="D374:E374"/>
    <mergeCell ref="D346:E346"/>
    <mergeCell ref="D352:E352"/>
    <mergeCell ref="D358:E358"/>
    <mergeCell ref="D364:E364"/>
    <mergeCell ref="D366:E366"/>
    <mergeCell ref="D325:E325"/>
    <mergeCell ref="D326:E326"/>
    <mergeCell ref="D332:E332"/>
    <mergeCell ref="D338:E338"/>
    <mergeCell ref="D344:E344"/>
    <mergeCell ref="D316:E316"/>
    <mergeCell ref="D318:E318"/>
    <mergeCell ref="D320:E320"/>
    <mergeCell ref="D322:E322"/>
    <mergeCell ref="D324:E324"/>
    <mergeCell ref="D306:E306"/>
    <mergeCell ref="D308:E308"/>
    <mergeCell ref="D310:E310"/>
    <mergeCell ref="D312:E312"/>
    <mergeCell ref="D314:E314"/>
    <mergeCell ref="D298:E298"/>
    <mergeCell ref="D300:E300"/>
    <mergeCell ref="D302:E302"/>
    <mergeCell ref="D303:E303"/>
    <mergeCell ref="D304:E304"/>
    <mergeCell ref="D291:E291"/>
    <mergeCell ref="D293:E293"/>
    <mergeCell ref="D294:E294"/>
    <mergeCell ref="D296:E296"/>
    <mergeCell ref="D297:E297"/>
    <mergeCell ref="D281:E281"/>
    <mergeCell ref="D283:E283"/>
    <mergeCell ref="D285:E285"/>
    <mergeCell ref="D287:E287"/>
    <mergeCell ref="D289:E289"/>
    <mergeCell ref="D271:E271"/>
    <mergeCell ref="D273:E273"/>
    <mergeCell ref="D275:E275"/>
    <mergeCell ref="D277:E277"/>
    <mergeCell ref="D279:E279"/>
    <mergeCell ref="D261:E261"/>
    <mergeCell ref="D263:E263"/>
    <mergeCell ref="D265:E265"/>
    <mergeCell ref="D267:E267"/>
    <mergeCell ref="D269:E269"/>
    <mergeCell ref="D250:E250"/>
    <mergeCell ref="D254:E254"/>
    <mergeCell ref="D258:E258"/>
    <mergeCell ref="D259:E259"/>
    <mergeCell ref="D260:E260"/>
    <mergeCell ref="D240:E240"/>
    <mergeCell ref="D242:E242"/>
    <mergeCell ref="D244:E244"/>
    <mergeCell ref="D246:E246"/>
    <mergeCell ref="D248:E248"/>
    <mergeCell ref="D228:E228"/>
    <mergeCell ref="D231:E231"/>
    <mergeCell ref="D234:E234"/>
    <mergeCell ref="D236:E236"/>
    <mergeCell ref="D238:E238"/>
    <mergeCell ref="D213:E213"/>
    <mergeCell ref="D216:E216"/>
    <mergeCell ref="D219:E219"/>
    <mergeCell ref="D222:E222"/>
    <mergeCell ref="D225:E225"/>
    <mergeCell ref="D195:E195"/>
    <mergeCell ref="D200:E200"/>
    <mergeCell ref="D203:E203"/>
    <mergeCell ref="D206:E206"/>
    <mergeCell ref="D209:E209"/>
    <mergeCell ref="D178:E178"/>
    <mergeCell ref="D182:E182"/>
    <mergeCell ref="D186:E186"/>
    <mergeCell ref="D189:E189"/>
    <mergeCell ref="D192:E192"/>
    <mergeCell ref="D167:E167"/>
    <mergeCell ref="D170:E170"/>
    <mergeCell ref="D174:E174"/>
    <mergeCell ref="D176:E176"/>
    <mergeCell ref="D177:E177"/>
    <mergeCell ref="D156:E156"/>
    <mergeCell ref="D158:E158"/>
    <mergeCell ref="D161:E161"/>
    <mergeCell ref="D163:E163"/>
    <mergeCell ref="D165:E165"/>
    <mergeCell ref="D145:E145"/>
    <mergeCell ref="D147:E147"/>
    <mergeCell ref="D150:E150"/>
    <mergeCell ref="D152:E152"/>
    <mergeCell ref="D154:E154"/>
    <mergeCell ref="D136:E136"/>
    <mergeCell ref="D138:E138"/>
    <mergeCell ref="D139:E139"/>
    <mergeCell ref="D140:E140"/>
    <mergeCell ref="D143:E143"/>
    <mergeCell ref="D119:E119"/>
    <mergeCell ref="D120:E120"/>
    <mergeCell ref="D125:E125"/>
    <mergeCell ref="D131:E131"/>
    <mergeCell ref="D134:E134"/>
    <mergeCell ref="D102:E102"/>
    <mergeCell ref="D105:E105"/>
    <mergeCell ref="D110:E110"/>
    <mergeCell ref="D111:E111"/>
    <mergeCell ref="D115:E115"/>
    <mergeCell ref="D83:E83"/>
    <mergeCell ref="D92:E92"/>
    <mergeCell ref="D97:E97"/>
    <mergeCell ref="D101:E101"/>
    <mergeCell ref="D64:E64"/>
    <mergeCell ref="D67:E67"/>
    <mergeCell ref="D69:E69"/>
    <mergeCell ref="D70:E70"/>
    <mergeCell ref="D75:E75"/>
    <mergeCell ref="D55:E55"/>
    <mergeCell ref="D58:E58"/>
    <mergeCell ref="D61:E61"/>
    <mergeCell ref="D36:E36"/>
    <mergeCell ref="D42:E42"/>
    <mergeCell ref="D44:E44"/>
    <mergeCell ref="D46:E46"/>
    <mergeCell ref="D48:E48"/>
    <mergeCell ref="D78:E78"/>
    <mergeCell ref="D30:E30"/>
    <mergeCell ref="D33:E33"/>
    <mergeCell ref="D11:E11"/>
    <mergeCell ref="J10:L10"/>
    <mergeCell ref="D12:E12"/>
    <mergeCell ref="D13:E13"/>
    <mergeCell ref="D14:E14"/>
    <mergeCell ref="D49:E49"/>
    <mergeCell ref="D52:E52"/>
    <mergeCell ref="D10:E10"/>
    <mergeCell ref="D17:E17"/>
    <mergeCell ref="D19:E19"/>
    <mergeCell ref="D27:E27"/>
    <mergeCell ref="A1:M1"/>
    <mergeCell ref="A2:B3"/>
    <mergeCell ref="A4:B5"/>
    <mergeCell ref="A6:B7"/>
    <mergeCell ref="A8:B9"/>
    <mergeCell ref="E2:E3"/>
    <mergeCell ref="E4:E5"/>
    <mergeCell ref="E6:E7"/>
    <mergeCell ref="E8:E9"/>
    <mergeCell ref="G2:H3"/>
    <mergeCell ref="G4:H5"/>
    <mergeCell ref="G6:H7"/>
    <mergeCell ref="G8:H9"/>
    <mergeCell ref="C2:D3"/>
    <mergeCell ref="C4:D5"/>
    <mergeCell ref="C6:D7"/>
    <mergeCell ref="I2:M3"/>
    <mergeCell ref="I4:M5"/>
    <mergeCell ref="I6:M7"/>
    <mergeCell ref="I8:M9"/>
    <mergeCell ref="C8:D9"/>
    <mergeCell ref="F2:F3"/>
    <mergeCell ref="F4:F5"/>
    <mergeCell ref="F6:F7"/>
    <mergeCell ref="F8:F9"/>
  </mergeCells>
  <pageMargins left="0.393999993801117" right="0.393999993801117" top="0.59100002050399802" bottom="0.59100002050399802"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activeCell="C19" sqref="C19"/>
    </sheetView>
  </sheetViews>
  <sheetFormatPr defaultColWidth="12.1796875" defaultRowHeight="15" customHeight="1" x14ac:dyDescent="0.35"/>
  <cols>
    <col min="1" max="1" width="9.1796875" customWidth="1"/>
    <col min="2" max="2" width="12.81640625" customWidth="1"/>
    <col min="3" max="3" width="27.1796875" customWidth="1"/>
    <col min="4" max="4" width="10" customWidth="1"/>
    <col min="5" max="5" width="14" customWidth="1"/>
    <col min="6" max="6" width="27.1796875" customWidth="1"/>
    <col min="7" max="7" width="9.1796875" customWidth="1"/>
    <col min="8" max="8" width="12.81640625" customWidth="1"/>
    <col min="9" max="9" width="27.1796875" customWidth="1"/>
  </cols>
  <sheetData>
    <row r="1" spans="1:9" ht="54.75" customHeight="1" x14ac:dyDescent="0.35">
      <c r="A1" s="150" t="s">
        <v>0</v>
      </c>
      <c r="B1" s="151"/>
      <c r="C1" s="151"/>
      <c r="D1" s="151"/>
      <c r="E1" s="151"/>
      <c r="F1" s="151"/>
      <c r="G1" s="151"/>
      <c r="H1" s="151"/>
      <c r="I1" s="151"/>
    </row>
    <row r="2" spans="1:9" ht="14.5" x14ac:dyDescent="0.35">
      <c r="A2" s="106" t="s">
        <v>1</v>
      </c>
      <c r="B2" s="107"/>
      <c r="C2" s="110" t="str">
        <f>'Stavební rozpočet'!C2</f>
        <v>SOŠ,SOU Třešť - Rekonstrukce 4NP DM</v>
      </c>
      <c r="D2" s="111"/>
      <c r="E2" s="113" t="s">
        <v>2</v>
      </c>
      <c r="F2" s="113" t="str">
        <f>'Stavební rozpočet'!I2</f>
        <v>Kraj Vysočina</v>
      </c>
      <c r="G2" s="107"/>
      <c r="H2" s="113" t="s">
        <v>3</v>
      </c>
      <c r="I2" s="114" t="s">
        <v>4</v>
      </c>
    </row>
    <row r="3" spans="1:9" ht="15" customHeight="1" x14ac:dyDescent="0.35">
      <c r="A3" s="152"/>
      <c r="B3" s="153"/>
      <c r="C3" s="158"/>
      <c r="D3" s="158"/>
      <c r="E3" s="153"/>
      <c r="F3" s="153"/>
      <c r="G3" s="153"/>
      <c r="H3" s="153"/>
      <c r="I3" s="156"/>
    </row>
    <row r="4" spans="1:9" ht="14.5" x14ac:dyDescent="0.35">
      <c r="A4" s="154" t="s">
        <v>5</v>
      </c>
      <c r="B4" s="153"/>
      <c r="C4" s="155" t="str">
        <f>'Stavební rozpočet'!C4</f>
        <v xml:space="preserve"> </v>
      </c>
      <c r="D4" s="153"/>
      <c r="E4" s="155" t="s">
        <v>6</v>
      </c>
      <c r="F4" s="155" t="str">
        <f>'Stavební rozpočet'!I4</f>
        <v>Ing. Miroslav Korecký</v>
      </c>
      <c r="G4" s="153"/>
      <c r="H4" s="155" t="s">
        <v>3</v>
      </c>
      <c r="I4" s="156" t="s">
        <v>7</v>
      </c>
    </row>
    <row r="5" spans="1:9" ht="15" customHeight="1" x14ac:dyDescent="0.35">
      <c r="A5" s="152"/>
      <c r="B5" s="153"/>
      <c r="C5" s="153"/>
      <c r="D5" s="153"/>
      <c r="E5" s="153"/>
      <c r="F5" s="153"/>
      <c r="G5" s="153"/>
      <c r="H5" s="153"/>
      <c r="I5" s="156"/>
    </row>
    <row r="6" spans="1:9" ht="14.5" x14ac:dyDescent="0.35">
      <c r="A6" s="154" t="s">
        <v>8</v>
      </c>
      <c r="B6" s="153"/>
      <c r="C6" s="155" t="str">
        <f>'Stavební rozpočet'!C6</f>
        <v>Domov mládeže - Rekonstrukce 4NP</v>
      </c>
      <c r="D6" s="153"/>
      <c r="E6" s="155" t="s">
        <v>9</v>
      </c>
      <c r="F6" s="155" t="str">
        <f>'Stavební rozpočet'!I6</f>
        <v> </v>
      </c>
      <c r="G6" s="153"/>
      <c r="H6" s="155" t="s">
        <v>3</v>
      </c>
      <c r="I6" s="156" t="s">
        <v>10</v>
      </c>
    </row>
    <row r="7" spans="1:9" ht="15" customHeight="1" x14ac:dyDescent="0.35">
      <c r="A7" s="152"/>
      <c r="B7" s="153"/>
      <c r="C7" s="153"/>
      <c r="D7" s="153"/>
      <c r="E7" s="153"/>
      <c r="F7" s="153"/>
      <c r="G7" s="153"/>
      <c r="H7" s="153"/>
      <c r="I7" s="156"/>
    </row>
    <row r="8" spans="1:9" ht="14.5" x14ac:dyDescent="0.35">
      <c r="A8" s="154" t="s">
        <v>11</v>
      </c>
      <c r="B8" s="153"/>
      <c r="C8" s="155" t="str">
        <f>'Stavební rozpočet'!F4</f>
        <v>22.01.2025</v>
      </c>
      <c r="D8" s="153"/>
      <c r="E8" s="155" t="s">
        <v>12</v>
      </c>
      <c r="F8" s="155" t="str">
        <f>'Stavební rozpočet'!F6</f>
        <v xml:space="preserve"> </v>
      </c>
      <c r="G8" s="153"/>
      <c r="H8" s="153" t="s">
        <v>13</v>
      </c>
      <c r="I8" s="157">
        <v>206</v>
      </c>
    </row>
    <row r="9" spans="1:9" ht="14.5" x14ac:dyDescent="0.35">
      <c r="A9" s="152"/>
      <c r="B9" s="153"/>
      <c r="C9" s="153"/>
      <c r="D9" s="153"/>
      <c r="E9" s="153"/>
      <c r="F9" s="153"/>
      <c r="G9" s="153"/>
      <c r="H9" s="153"/>
      <c r="I9" s="156"/>
    </row>
    <row r="10" spans="1:9" ht="14.5" x14ac:dyDescent="0.35">
      <c r="A10" s="154" t="s">
        <v>14</v>
      </c>
      <c r="B10" s="153"/>
      <c r="C10" s="155" t="str">
        <f>'Stavební rozpočet'!C8</f>
        <v>801753</v>
      </c>
      <c r="D10" s="153"/>
      <c r="E10" s="155" t="s">
        <v>15</v>
      </c>
      <c r="F10" s="155" t="str">
        <f>'Stavební rozpočet'!I8</f>
        <v>Ing. Miroslav Korecký</v>
      </c>
      <c r="G10" s="153"/>
      <c r="H10" s="153" t="s">
        <v>16</v>
      </c>
      <c r="I10" s="160" t="str">
        <f>'Stavební rozpočet'!F8</f>
        <v>22.01.2025</v>
      </c>
    </row>
    <row r="11" spans="1:9" ht="14.5" x14ac:dyDescent="0.35">
      <c r="A11" s="165"/>
      <c r="B11" s="159"/>
      <c r="C11" s="159"/>
      <c r="D11" s="159"/>
      <c r="E11" s="159"/>
      <c r="F11" s="159"/>
      <c r="G11" s="159"/>
      <c r="H11" s="159"/>
      <c r="I11" s="161"/>
    </row>
    <row r="12" spans="1:9" ht="23" x14ac:dyDescent="0.35">
      <c r="A12" s="162" t="s">
        <v>17</v>
      </c>
      <c r="B12" s="162"/>
      <c r="C12" s="162"/>
      <c r="D12" s="162"/>
      <c r="E12" s="162"/>
      <c r="F12" s="162"/>
      <c r="G12" s="162"/>
      <c r="H12" s="162"/>
      <c r="I12" s="162"/>
    </row>
    <row r="13" spans="1:9" ht="26.25" customHeight="1" x14ac:dyDescent="0.35">
      <c r="A13" s="6" t="s">
        <v>18</v>
      </c>
      <c r="B13" s="163" t="s">
        <v>19</v>
      </c>
      <c r="C13" s="164"/>
      <c r="D13" s="7" t="s">
        <v>20</v>
      </c>
      <c r="E13" s="163" t="s">
        <v>21</v>
      </c>
      <c r="F13" s="164"/>
      <c r="G13" s="7" t="s">
        <v>22</v>
      </c>
      <c r="H13" s="163" t="s">
        <v>23</v>
      </c>
      <c r="I13" s="164"/>
    </row>
    <row r="14" spans="1:9" ht="15.5" x14ac:dyDescent="0.35">
      <c r="A14" s="8" t="s">
        <v>24</v>
      </c>
      <c r="B14" s="9" t="s">
        <v>25</v>
      </c>
      <c r="C14" s="10">
        <f>SUM('Stavební rozpočet (D11-D14)'!AB12:AB885)</f>
        <v>0</v>
      </c>
      <c r="D14" s="169" t="s">
        <v>26</v>
      </c>
      <c r="E14" s="127"/>
      <c r="F14" s="10">
        <f>'VORN objektu (D11-D14)'!I15</f>
        <v>0</v>
      </c>
      <c r="G14" s="169" t="s">
        <v>27</v>
      </c>
      <c r="H14" s="127"/>
      <c r="I14" s="11">
        <f>'VORN objektu (D11-D14)'!I21</f>
        <v>0</v>
      </c>
    </row>
    <row r="15" spans="1:9" ht="15.5" x14ac:dyDescent="0.35">
      <c r="A15" s="12" t="s">
        <v>10</v>
      </c>
      <c r="B15" s="9" t="s">
        <v>28</v>
      </c>
      <c r="C15" s="10">
        <f>SUM('Stavební rozpočet (D11-D14)'!AC12:AC885)</f>
        <v>0</v>
      </c>
      <c r="D15" s="169" t="s">
        <v>29</v>
      </c>
      <c r="E15" s="127"/>
      <c r="F15" s="10">
        <f>'VORN objektu (D11-D14)'!I16</f>
        <v>0</v>
      </c>
      <c r="G15" s="169" t="s">
        <v>30</v>
      </c>
      <c r="H15" s="127"/>
      <c r="I15" s="11">
        <f>'VORN objektu (D11-D14)'!I22</f>
        <v>0</v>
      </c>
    </row>
    <row r="16" spans="1:9" ht="15.5" x14ac:dyDescent="0.35">
      <c r="A16" s="8" t="s">
        <v>31</v>
      </c>
      <c r="B16" s="9" t="s">
        <v>25</v>
      </c>
      <c r="C16" s="10">
        <f>SUM('Stavební rozpočet (D11-D14)'!AD12:AD885)</f>
        <v>0</v>
      </c>
      <c r="D16" s="169" t="s">
        <v>32</v>
      </c>
      <c r="E16" s="127"/>
      <c r="F16" s="10">
        <f>'VORN objektu (D11-D14)'!I17</f>
        <v>0</v>
      </c>
      <c r="G16" s="169" t="s">
        <v>33</v>
      </c>
      <c r="H16" s="127"/>
      <c r="I16" s="11">
        <f>'VORN objektu (D11-D14)'!I23</f>
        <v>0</v>
      </c>
    </row>
    <row r="17" spans="1:9" ht="15.5" x14ac:dyDescent="0.35">
      <c r="A17" s="12" t="s">
        <v>10</v>
      </c>
      <c r="B17" s="9" t="s">
        <v>28</v>
      </c>
      <c r="C17" s="10">
        <f>SUM('Stavební rozpočet (D11-D14)'!AE12:AE885)</f>
        <v>0</v>
      </c>
      <c r="D17" s="169" t="s">
        <v>10</v>
      </c>
      <c r="E17" s="127"/>
      <c r="F17" s="11" t="s">
        <v>10</v>
      </c>
      <c r="G17" s="169" t="s">
        <v>34</v>
      </c>
      <c r="H17" s="127"/>
      <c r="I17" s="11">
        <f>'VORN objektu (D11-D14)'!I24</f>
        <v>0</v>
      </c>
    </row>
    <row r="18" spans="1:9" ht="15.5" x14ac:dyDescent="0.35">
      <c r="A18" s="8" t="s">
        <v>35</v>
      </c>
      <c r="B18" s="9" t="s">
        <v>25</v>
      </c>
      <c r="C18" s="10">
        <f>SUM('Stavební rozpočet (D11-D14)'!AF12:AF885)</f>
        <v>0</v>
      </c>
      <c r="D18" s="169" t="s">
        <v>10</v>
      </c>
      <c r="E18" s="127"/>
      <c r="F18" s="11" t="s">
        <v>10</v>
      </c>
      <c r="G18" s="169" t="s">
        <v>36</v>
      </c>
      <c r="H18" s="127"/>
      <c r="I18" s="11">
        <f>'VORN objektu (D11-D14)'!I25</f>
        <v>0</v>
      </c>
    </row>
    <row r="19" spans="1:9" ht="15.5" x14ac:dyDescent="0.35">
      <c r="A19" s="12" t="s">
        <v>10</v>
      </c>
      <c r="B19" s="9" t="s">
        <v>28</v>
      </c>
      <c r="C19" s="10">
        <f>SUM('Stavební rozpočet (D11-D14)'!AG12:AG885)</f>
        <v>0</v>
      </c>
      <c r="D19" s="169" t="s">
        <v>10</v>
      </c>
      <c r="E19" s="127"/>
      <c r="F19" s="11" t="s">
        <v>10</v>
      </c>
      <c r="G19" s="169" t="s">
        <v>37</v>
      </c>
      <c r="H19" s="127"/>
      <c r="I19" s="11">
        <f>'VORN objektu (D11-D14)'!I26</f>
        <v>0</v>
      </c>
    </row>
    <row r="20" spans="1:9" ht="15.5" x14ac:dyDescent="0.35">
      <c r="A20" s="128" t="s">
        <v>38</v>
      </c>
      <c r="B20" s="129"/>
      <c r="C20" s="10">
        <f>SUM('Stavební rozpočet (D11-D14)'!AH12:AH885)</f>
        <v>0</v>
      </c>
      <c r="D20" s="169" t="s">
        <v>10</v>
      </c>
      <c r="E20" s="127"/>
      <c r="F20" s="11" t="s">
        <v>10</v>
      </c>
      <c r="G20" s="169" t="s">
        <v>10</v>
      </c>
      <c r="H20" s="127"/>
      <c r="I20" s="11" t="s">
        <v>10</v>
      </c>
    </row>
    <row r="21" spans="1:9" ht="15.5" x14ac:dyDescent="0.35">
      <c r="A21" s="166" t="s">
        <v>39</v>
      </c>
      <c r="B21" s="167"/>
      <c r="C21" s="13">
        <f>SUM('Stavební rozpočet (D11-D14)'!Z12:Z885)</f>
        <v>0</v>
      </c>
      <c r="D21" s="170" t="s">
        <v>10</v>
      </c>
      <c r="E21" s="171"/>
      <c r="F21" s="14" t="s">
        <v>10</v>
      </c>
      <c r="G21" s="170" t="s">
        <v>10</v>
      </c>
      <c r="H21" s="171"/>
      <c r="I21" s="14" t="s">
        <v>10</v>
      </c>
    </row>
    <row r="22" spans="1:9" ht="16.5" customHeight="1" x14ac:dyDescent="0.35">
      <c r="A22" s="137" t="s">
        <v>40</v>
      </c>
      <c r="B22" s="168"/>
      <c r="C22" s="15">
        <f>SUM(C14:C21)</f>
        <v>0</v>
      </c>
      <c r="D22" s="172" t="s">
        <v>41</v>
      </c>
      <c r="E22" s="168"/>
      <c r="F22" s="15">
        <f>SUM(F14:F21)</f>
        <v>0</v>
      </c>
      <c r="G22" s="172" t="s">
        <v>42</v>
      </c>
      <c r="H22" s="168"/>
      <c r="I22" s="15">
        <f>SUM(I14:I21)</f>
        <v>0</v>
      </c>
    </row>
    <row r="23" spans="1:9" ht="15.5" x14ac:dyDescent="0.35">
      <c r="G23" s="128" t="s">
        <v>43</v>
      </c>
      <c r="H23" s="129"/>
      <c r="I23" s="10">
        <f>'VORN objektu (D11-D14)'!I36</f>
        <v>0</v>
      </c>
    </row>
    <row r="25" spans="1:9" ht="15.5" x14ac:dyDescent="0.35">
      <c r="A25" s="141" t="s">
        <v>44</v>
      </c>
      <c r="B25" s="132"/>
      <c r="C25" s="16">
        <f>SUM('Stavební rozpočet (D11-D14)'!AJ12:AJ885)</f>
        <v>0</v>
      </c>
    </row>
    <row r="26" spans="1:9" ht="15.5" x14ac:dyDescent="0.35">
      <c r="A26" s="130" t="s">
        <v>45</v>
      </c>
      <c r="B26" s="131"/>
      <c r="C26" s="17">
        <f>SUM('Stavební rozpočet (D11-D14)'!AK12:AK885)</f>
        <v>0</v>
      </c>
      <c r="D26" s="173" t="s">
        <v>46</v>
      </c>
      <c r="E26" s="132"/>
      <c r="F26" s="16">
        <f>ROUND(C26*(12/100),2)</f>
        <v>0</v>
      </c>
      <c r="G26" s="173" t="s">
        <v>47</v>
      </c>
      <c r="H26" s="132"/>
      <c r="I26" s="16">
        <f>SUM(C25:C27)</f>
        <v>0</v>
      </c>
    </row>
    <row r="27" spans="1:9" ht="15.5" x14ac:dyDescent="0.35">
      <c r="A27" s="130" t="s">
        <v>48</v>
      </c>
      <c r="B27" s="131"/>
      <c r="C27" s="17">
        <f>SUM('Stavební rozpočet (D11-D14)'!AL12:AL885)+(F22+I22+F23+I23+I24)</f>
        <v>0</v>
      </c>
      <c r="D27" s="174" t="s">
        <v>49</v>
      </c>
      <c r="E27" s="131"/>
      <c r="F27" s="17">
        <f>ROUND(C27*(21/100),2)</f>
        <v>0</v>
      </c>
      <c r="G27" s="174" t="s">
        <v>50</v>
      </c>
      <c r="H27" s="131"/>
      <c r="I27" s="17">
        <f>SUM(F26:F27)+I26</f>
        <v>0</v>
      </c>
    </row>
    <row r="29" spans="1:9" ht="15.5" x14ac:dyDescent="0.35">
      <c r="A29" s="142" t="s">
        <v>51</v>
      </c>
      <c r="B29" s="175"/>
      <c r="C29" s="144"/>
      <c r="D29" s="177" t="s">
        <v>52</v>
      </c>
      <c r="E29" s="175"/>
      <c r="F29" s="144"/>
      <c r="G29" s="177" t="s">
        <v>53</v>
      </c>
      <c r="H29" s="175"/>
      <c r="I29" s="144"/>
    </row>
    <row r="30" spans="1:9" ht="15.5" x14ac:dyDescent="0.35">
      <c r="A30" s="145" t="s">
        <v>10</v>
      </c>
      <c r="B30" s="176"/>
      <c r="C30" s="146"/>
      <c r="D30" s="178" t="s">
        <v>10</v>
      </c>
      <c r="E30" s="176"/>
      <c r="F30" s="146"/>
      <c r="G30" s="178" t="s">
        <v>10</v>
      </c>
      <c r="H30" s="176"/>
      <c r="I30" s="146"/>
    </row>
    <row r="31" spans="1:9" ht="15.5" x14ac:dyDescent="0.35">
      <c r="A31" s="145" t="s">
        <v>10</v>
      </c>
      <c r="B31" s="176"/>
      <c r="C31" s="146"/>
      <c r="D31" s="178" t="s">
        <v>10</v>
      </c>
      <c r="E31" s="176"/>
      <c r="F31" s="146"/>
      <c r="G31" s="178" t="s">
        <v>10</v>
      </c>
      <c r="H31" s="176"/>
      <c r="I31" s="146"/>
    </row>
    <row r="32" spans="1:9" ht="15.5" x14ac:dyDescent="0.35">
      <c r="A32" s="145" t="s">
        <v>10</v>
      </c>
      <c r="B32" s="176"/>
      <c r="C32" s="146"/>
      <c r="D32" s="178" t="s">
        <v>10</v>
      </c>
      <c r="E32" s="176"/>
      <c r="F32" s="146"/>
      <c r="G32" s="178" t="s">
        <v>10</v>
      </c>
      <c r="H32" s="176"/>
      <c r="I32" s="146"/>
    </row>
    <row r="33" spans="1:9" ht="15.5" x14ac:dyDescent="0.35">
      <c r="A33" s="147" t="s">
        <v>54</v>
      </c>
      <c r="B33" s="180"/>
      <c r="C33" s="149"/>
      <c r="D33" s="179" t="s">
        <v>54</v>
      </c>
      <c r="E33" s="180"/>
      <c r="F33" s="149"/>
      <c r="G33" s="179" t="s">
        <v>54</v>
      </c>
      <c r="H33" s="180"/>
      <c r="I33" s="149"/>
    </row>
    <row r="34" spans="1:9" ht="14.5" x14ac:dyDescent="0.35">
      <c r="A34" s="18" t="s">
        <v>55</v>
      </c>
    </row>
    <row r="35" spans="1:9" ht="12.75" customHeight="1" x14ac:dyDescent="0.35">
      <c r="A35" s="155" t="s">
        <v>10</v>
      </c>
      <c r="B35" s="153"/>
      <c r="C35" s="153"/>
      <c r="D35" s="153"/>
      <c r="E35" s="153"/>
      <c r="F35" s="153"/>
      <c r="G35" s="153"/>
      <c r="H35" s="153"/>
      <c r="I35" s="153"/>
    </row>
  </sheetData>
  <sheetProtection password="E512" sheet="1"/>
  <mergeCells count="80">
    <mergeCell ref="D32:F32"/>
    <mergeCell ref="D33:F33"/>
    <mergeCell ref="G32:I32"/>
    <mergeCell ref="G33:I33"/>
    <mergeCell ref="A35:I35"/>
    <mergeCell ref="A32:C32"/>
    <mergeCell ref="A33:C33"/>
    <mergeCell ref="G26:H26"/>
    <mergeCell ref="G27:H27"/>
    <mergeCell ref="A29:C29"/>
    <mergeCell ref="A30:C30"/>
    <mergeCell ref="A31:C31"/>
    <mergeCell ref="G29:I29"/>
    <mergeCell ref="G30:I30"/>
    <mergeCell ref="G31:I31"/>
    <mergeCell ref="D29:F29"/>
    <mergeCell ref="D30:F30"/>
    <mergeCell ref="D31:F31"/>
    <mergeCell ref="A25:B25"/>
    <mergeCell ref="A26:B26"/>
    <mergeCell ref="A27:B27"/>
    <mergeCell ref="D26:E26"/>
    <mergeCell ref="D27:E27"/>
    <mergeCell ref="G19:H19"/>
    <mergeCell ref="G20:H20"/>
    <mergeCell ref="G21:H21"/>
    <mergeCell ref="G22:H22"/>
    <mergeCell ref="G23:H23"/>
    <mergeCell ref="G14:H14"/>
    <mergeCell ref="G15:H15"/>
    <mergeCell ref="G16:H16"/>
    <mergeCell ref="G17:H17"/>
    <mergeCell ref="G18:H18"/>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A36" sqref="A36:E36"/>
    </sheetView>
  </sheetViews>
  <sheetFormatPr defaultColWidth="12.1796875" defaultRowHeight="15" customHeight="1" x14ac:dyDescent="0.35"/>
  <cols>
    <col min="1" max="1" width="9.1796875" customWidth="1"/>
    <col min="2" max="2" width="12.81640625" customWidth="1"/>
    <col min="3" max="3" width="22.81640625" customWidth="1"/>
    <col min="4" max="4" width="10" customWidth="1"/>
    <col min="5" max="5" width="14" customWidth="1"/>
    <col min="6" max="6" width="22.81640625" customWidth="1"/>
    <col min="7" max="7" width="9.1796875" customWidth="1"/>
    <col min="8" max="8" width="17.1796875" customWidth="1"/>
    <col min="9" max="9" width="22.81640625" customWidth="1"/>
  </cols>
  <sheetData>
    <row r="1" spans="1:9" ht="54.75" customHeight="1" x14ac:dyDescent="0.35">
      <c r="A1" s="150" t="s">
        <v>56</v>
      </c>
      <c r="B1" s="151"/>
      <c r="C1" s="151"/>
      <c r="D1" s="151"/>
      <c r="E1" s="151"/>
      <c r="F1" s="151"/>
      <c r="G1" s="151"/>
      <c r="H1" s="151"/>
      <c r="I1" s="151"/>
    </row>
    <row r="2" spans="1:9" ht="14.5" x14ac:dyDescent="0.35">
      <c r="A2" s="106" t="s">
        <v>1</v>
      </c>
      <c r="B2" s="107"/>
      <c r="C2" s="110" t="str">
        <f>'Stavební rozpočet'!C2</f>
        <v>SOŠ,SOU Třešť - Rekonstrukce 4NP DM</v>
      </c>
      <c r="D2" s="111"/>
      <c r="E2" s="113" t="s">
        <v>2</v>
      </c>
      <c r="F2" s="113" t="str">
        <f>'Stavební rozpočet'!I2</f>
        <v>Kraj Vysočina</v>
      </c>
      <c r="G2" s="107"/>
      <c r="H2" s="113" t="s">
        <v>3</v>
      </c>
      <c r="I2" s="114" t="s">
        <v>4</v>
      </c>
    </row>
    <row r="3" spans="1:9" ht="15" customHeight="1" x14ac:dyDescent="0.35">
      <c r="A3" s="152"/>
      <c r="B3" s="153"/>
      <c r="C3" s="158"/>
      <c r="D3" s="158"/>
      <c r="E3" s="153"/>
      <c r="F3" s="153"/>
      <c r="G3" s="153"/>
      <c r="H3" s="153"/>
      <c r="I3" s="156"/>
    </row>
    <row r="4" spans="1:9" ht="14.5" x14ac:dyDescent="0.35">
      <c r="A4" s="154" t="s">
        <v>5</v>
      </c>
      <c r="B4" s="153"/>
      <c r="C4" s="155" t="str">
        <f>'Stavební rozpočet'!C4</f>
        <v xml:space="preserve"> </v>
      </c>
      <c r="D4" s="153"/>
      <c r="E4" s="155" t="s">
        <v>6</v>
      </c>
      <c r="F4" s="155" t="str">
        <f>'Stavební rozpočet'!I4</f>
        <v>Ing. Miroslav Korecký</v>
      </c>
      <c r="G4" s="153"/>
      <c r="H4" s="155" t="s">
        <v>3</v>
      </c>
      <c r="I4" s="156" t="s">
        <v>7</v>
      </c>
    </row>
    <row r="5" spans="1:9" ht="15" customHeight="1" x14ac:dyDescent="0.35">
      <c r="A5" s="152"/>
      <c r="B5" s="153"/>
      <c r="C5" s="153"/>
      <c r="D5" s="153"/>
      <c r="E5" s="153"/>
      <c r="F5" s="153"/>
      <c r="G5" s="153"/>
      <c r="H5" s="153"/>
      <c r="I5" s="156"/>
    </row>
    <row r="6" spans="1:9" ht="14.5" x14ac:dyDescent="0.35">
      <c r="A6" s="154" t="s">
        <v>8</v>
      </c>
      <c r="B6" s="153"/>
      <c r="C6" s="155" t="str">
        <f>'Stavební rozpočet'!C6</f>
        <v>Domov mládeže - Rekonstrukce 4NP</v>
      </c>
      <c r="D6" s="153"/>
      <c r="E6" s="155" t="s">
        <v>9</v>
      </c>
      <c r="F6" s="155" t="str">
        <f>'Stavební rozpočet'!I6</f>
        <v> </v>
      </c>
      <c r="G6" s="153"/>
      <c r="H6" s="155" t="s">
        <v>3</v>
      </c>
      <c r="I6" s="156" t="s">
        <v>10</v>
      </c>
    </row>
    <row r="7" spans="1:9" ht="15" customHeight="1" x14ac:dyDescent="0.35">
      <c r="A7" s="152"/>
      <c r="B7" s="153"/>
      <c r="C7" s="153"/>
      <c r="D7" s="153"/>
      <c r="E7" s="153"/>
      <c r="F7" s="153"/>
      <c r="G7" s="153"/>
      <c r="H7" s="153"/>
      <c r="I7" s="156"/>
    </row>
    <row r="8" spans="1:9" ht="14.5" x14ac:dyDescent="0.35">
      <c r="A8" s="154" t="s">
        <v>11</v>
      </c>
      <c r="B8" s="153"/>
      <c r="C8" s="155" t="str">
        <f>'Stavební rozpočet'!F4</f>
        <v>22.01.2025</v>
      </c>
      <c r="D8" s="153"/>
      <c r="E8" s="155" t="s">
        <v>12</v>
      </c>
      <c r="F8" s="155" t="str">
        <f>'Stavební rozpočet'!F6</f>
        <v xml:space="preserve"> </v>
      </c>
      <c r="G8" s="153"/>
      <c r="H8" s="153" t="s">
        <v>13</v>
      </c>
      <c r="I8" s="157">
        <v>206</v>
      </c>
    </row>
    <row r="9" spans="1:9" ht="14.5" x14ac:dyDescent="0.35">
      <c r="A9" s="152"/>
      <c r="B9" s="153"/>
      <c r="C9" s="153"/>
      <c r="D9" s="153"/>
      <c r="E9" s="153"/>
      <c r="F9" s="153"/>
      <c r="G9" s="153"/>
      <c r="H9" s="153"/>
      <c r="I9" s="156"/>
    </row>
    <row r="10" spans="1:9" ht="14.5" x14ac:dyDescent="0.35">
      <c r="A10" s="154" t="s">
        <v>14</v>
      </c>
      <c r="B10" s="153"/>
      <c r="C10" s="155" t="str">
        <f>'Stavební rozpočet'!C8</f>
        <v>801753</v>
      </c>
      <c r="D10" s="153"/>
      <c r="E10" s="155" t="s">
        <v>15</v>
      </c>
      <c r="F10" s="155" t="str">
        <f>'Stavební rozpočet'!I8</f>
        <v>Ing. Miroslav Korecký</v>
      </c>
      <c r="G10" s="153"/>
      <c r="H10" s="153" t="s">
        <v>16</v>
      </c>
      <c r="I10" s="160" t="str">
        <f>'Stavební rozpočet'!F8</f>
        <v>22.01.2025</v>
      </c>
    </row>
    <row r="11" spans="1:9" ht="14.5" x14ac:dyDescent="0.35">
      <c r="A11" s="165"/>
      <c r="B11" s="159"/>
      <c r="C11" s="159"/>
      <c r="D11" s="159"/>
      <c r="E11" s="159"/>
      <c r="F11" s="159"/>
      <c r="G11" s="159"/>
      <c r="H11" s="159"/>
      <c r="I11" s="161"/>
    </row>
    <row r="13" spans="1:9" ht="15.5" x14ac:dyDescent="0.35">
      <c r="A13" s="181" t="s">
        <v>57</v>
      </c>
      <c r="B13" s="181"/>
      <c r="C13" s="181"/>
      <c r="D13" s="181"/>
      <c r="E13" s="181"/>
    </row>
    <row r="14" spans="1:9" ht="14.5" x14ac:dyDescent="0.35">
      <c r="A14" s="182" t="s">
        <v>58</v>
      </c>
      <c r="B14" s="183"/>
      <c r="C14" s="183"/>
      <c r="D14" s="183"/>
      <c r="E14" s="184"/>
      <c r="F14" s="19" t="s">
        <v>59</v>
      </c>
      <c r="G14" s="19" t="s">
        <v>60</v>
      </c>
      <c r="H14" s="19" t="s">
        <v>61</v>
      </c>
      <c r="I14" s="19" t="s">
        <v>59</v>
      </c>
    </row>
    <row r="15" spans="1:9" ht="14.5" x14ac:dyDescent="0.35">
      <c r="A15" s="121" t="s">
        <v>26</v>
      </c>
      <c r="B15" s="122"/>
      <c r="C15" s="122"/>
      <c r="D15" s="122"/>
      <c r="E15" s="119"/>
      <c r="F15" s="20">
        <v>0</v>
      </c>
      <c r="G15" s="21" t="s">
        <v>10</v>
      </c>
      <c r="H15" s="21" t="s">
        <v>10</v>
      </c>
      <c r="I15" s="20">
        <f>F15</f>
        <v>0</v>
      </c>
    </row>
    <row r="16" spans="1:9" ht="14.5" x14ac:dyDescent="0.35">
      <c r="A16" s="121" t="s">
        <v>29</v>
      </c>
      <c r="B16" s="122"/>
      <c r="C16" s="122"/>
      <c r="D16" s="122"/>
      <c r="E16" s="119"/>
      <c r="F16" s="20">
        <v>0</v>
      </c>
      <c r="G16" s="21" t="s">
        <v>10</v>
      </c>
      <c r="H16" s="21" t="s">
        <v>10</v>
      </c>
      <c r="I16" s="20">
        <f>F16</f>
        <v>0</v>
      </c>
    </row>
    <row r="17" spans="1:9" ht="14.5" x14ac:dyDescent="0.35">
      <c r="A17" s="185" t="s">
        <v>32</v>
      </c>
      <c r="B17" s="186"/>
      <c r="C17" s="186"/>
      <c r="D17" s="186"/>
      <c r="E17" s="187"/>
      <c r="F17" s="22">
        <v>0</v>
      </c>
      <c r="G17" s="23" t="s">
        <v>10</v>
      </c>
      <c r="H17" s="23" t="s">
        <v>10</v>
      </c>
      <c r="I17" s="22">
        <f>F17</f>
        <v>0</v>
      </c>
    </row>
    <row r="18" spans="1:9" ht="14.5" x14ac:dyDescent="0.35">
      <c r="A18" s="188" t="s">
        <v>62</v>
      </c>
      <c r="B18" s="189"/>
      <c r="C18" s="189"/>
      <c r="D18" s="189"/>
      <c r="E18" s="190"/>
      <c r="F18" s="24" t="s">
        <v>10</v>
      </c>
      <c r="G18" s="25" t="s">
        <v>10</v>
      </c>
      <c r="H18" s="25" t="s">
        <v>10</v>
      </c>
      <c r="I18" s="26">
        <f>SUM(I15:I17)</f>
        <v>0</v>
      </c>
    </row>
    <row r="20" spans="1:9" ht="14.5" x14ac:dyDescent="0.35">
      <c r="A20" s="182" t="s">
        <v>23</v>
      </c>
      <c r="B20" s="183"/>
      <c r="C20" s="183"/>
      <c r="D20" s="183"/>
      <c r="E20" s="184"/>
      <c r="F20" s="19" t="s">
        <v>59</v>
      </c>
      <c r="G20" s="19" t="s">
        <v>60</v>
      </c>
      <c r="H20" s="19" t="s">
        <v>61</v>
      </c>
      <c r="I20" s="19" t="s">
        <v>59</v>
      </c>
    </row>
    <row r="21" spans="1:9" ht="14.5" x14ac:dyDescent="0.35">
      <c r="A21" s="121" t="s">
        <v>27</v>
      </c>
      <c r="B21" s="122"/>
      <c r="C21" s="122"/>
      <c r="D21" s="122"/>
      <c r="E21" s="119"/>
      <c r="F21" s="20">
        <v>0</v>
      </c>
      <c r="G21" s="21" t="s">
        <v>10</v>
      </c>
      <c r="H21" s="21" t="s">
        <v>10</v>
      </c>
      <c r="I21" s="20">
        <f t="shared" ref="I21:I26" si="0">F21</f>
        <v>0</v>
      </c>
    </row>
    <row r="22" spans="1:9" ht="14.5" x14ac:dyDescent="0.35">
      <c r="A22" s="121" t="s">
        <v>30</v>
      </c>
      <c r="B22" s="122"/>
      <c r="C22" s="122"/>
      <c r="D22" s="122"/>
      <c r="E22" s="119"/>
      <c r="F22" s="20">
        <v>0</v>
      </c>
      <c r="G22" s="21" t="s">
        <v>10</v>
      </c>
      <c r="H22" s="21" t="s">
        <v>10</v>
      </c>
      <c r="I22" s="20">
        <f t="shared" si="0"/>
        <v>0</v>
      </c>
    </row>
    <row r="23" spans="1:9" ht="14.5" x14ac:dyDescent="0.35">
      <c r="A23" s="121" t="s">
        <v>33</v>
      </c>
      <c r="B23" s="122"/>
      <c r="C23" s="122"/>
      <c r="D23" s="122"/>
      <c r="E23" s="119"/>
      <c r="F23" s="20">
        <v>0</v>
      </c>
      <c r="G23" s="21" t="s">
        <v>10</v>
      </c>
      <c r="H23" s="21" t="s">
        <v>10</v>
      </c>
      <c r="I23" s="20">
        <f t="shared" si="0"/>
        <v>0</v>
      </c>
    </row>
    <row r="24" spans="1:9" ht="14.5" x14ac:dyDescent="0.35">
      <c r="A24" s="121" t="s">
        <v>34</v>
      </c>
      <c r="B24" s="122"/>
      <c r="C24" s="122"/>
      <c r="D24" s="122"/>
      <c r="E24" s="119"/>
      <c r="F24" s="20">
        <v>0</v>
      </c>
      <c r="G24" s="21" t="s">
        <v>10</v>
      </c>
      <c r="H24" s="21" t="s">
        <v>10</v>
      </c>
      <c r="I24" s="20">
        <f t="shared" si="0"/>
        <v>0</v>
      </c>
    </row>
    <row r="25" spans="1:9" ht="14.5" x14ac:dyDescent="0.35">
      <c r="A25" s="121" t="s">
        <v>36</v>
      </c>
      <c r="B25" s="122"/>
      <c r="C25" s="122"/>
      <c r="D25" s="122"/>
      <c r="E25" s="119"/>
      <c r="F25" s="20">
        <v>0</v>
      </c>
      <c r="G25" s="21" t="s">
        <v>10</v>
      </c>
      <c r="H25" s="21" t="s">
        <v>10</v>
      </c>
      <c r="I25" s="20">
        <f t="shared" si="0"/>
        <v>0</v>
      </c>
    </row>
    <row r="26" spans="1:9" ht="14.5" x14ac:dyDescent="0.35">
      <c r="A26" s="185" t="s">
        <v>37</v>
      </c>
      <c r="B26" s="186"/>
      <c r="C26" s="186"/>
      <c r="D26" s="186"/>
      <c r="E26" s="187"/>
      <c r="F26" s="22">
        <v>0</v>
      </c>
      <c r="G26" s="23" t="s">
        <v>10</v>
      </c>
      <c r="H26" s="23" t="s">
        <v>10</v>
      </c>
      <c r="I26" s="22">
        <f t="shared" si="0"/>
        <v>0</v>
      </c>
    </row>
    <row r="27" spans="1:9" ht="14.5" x14ac:dyDescent="0.35">
      <c r="A27" s="188" t="s">
        <v>63</v>
      </c>
      <c r="B27" s="189"/>
      <c r="C27" s="189"/>
      <c r="D27" s="189"/>
      <c r="E27" s="190"/>
      <c r="F27" s="24" t="s">
        <v>10</v>
      </c>
      <c r="G27" s="25" t="s">
        <v>10</v>
      </c>
      <c r="H27" s="25" t="s">
        <v>10</v>
      </c>
      <c r="I27" s="26">
        <f>SUM(I21:I26)</f>
        <v>0</v>
      </c>
    </row>
    <row r="29" spans="1:9" ht="15.5" x14ac:dyDescent="0.35">
      <c r="A29" s="191" t="s">
        <v>64</v>
      </c>
      <c r="B29" s="192"/>
      <c r="C29" s="192"/>
      <c r="D29" s="192"/>
      <c r="E29" s="193"/>
      <c r="F29" s="194">
        <f>I18+I27</f>
        <v>0</v>
      </c>
      <c r="G29" s="195"/>
      <c r="H29" s="195"/>
      <c r="I29" s="196"/>
    </row>
    <row r="33" spans="1:9" ht="15.5" x14ac:dyDescent="0.35">
      <c r="A33" s="181" t="s">
        <v>65</v>
      </c>
      <c r="B33" s="181"/>
      <c r="C33" s="181"/>
      <c r="D33" s="181"/>
      <c r="E33" s="181"/>
    </row>
    <row r="34" spans="1:9" ht="14.5" x14ac:dyDescent="0.35">
      <c r="A34" s="182" t="s">
        <v>66</v>
      </c>
      <c r="B34" s="183"/>
      <c r="C34" s="183"/>
      <c r="D34" s="183"/>
      <c r="E34" s="184"/>
      <c r="F34" s="19" t="s">
        <v>59</v>
      </c>
      <c r="G34" s="19" t="s">
        <v>60</v>
      </c>
      <c r="H34" s="19" t="s">
        <v>61</v>
      </c>
      <c r="I34" s="19" t="s">
        <v>59</v>
      </c>
    </row>
    <row r="35" spans="1:9" ht="14.5" x14ac:dyDescent="0.35">
      <c r="A35" s="185" t="s">
        <v>10</v>
      </c>
      <c r="B35" s="186"/>
      <c r="C35" s="186"/>
      <c r="D35" s="186"/>
      <c r="E35" s="187"/>
      <c r="F35" s="22">
        <v>0</v>
      </c>
      <c r="G35" s="23" t="s">
        <v>10</v>
      </c>
      <c r="H35" s="23" t="s">
        <v>10</v>
      </c>
      <c r="I35" s="22">
        <f>F35</f>
        <v>0</v>
      </c>
    </row>
    <row r="36" spans="1:9" ht="14.5" x14ac:dyDescent="0.35">
      <c r="A36" s="188" t="s">
        <v>67</v>
      </c>
      <c r="B36" s="189"/>
      <c r="C36" s="189"/>
      <c r="D36" s="189"/>
      <c r="E36" s="190"/>
      <c r="F36" s="24" t="s">
        <v>10</v>
      </c>
      <c r="G36" s="25" t="s">
        <v>10</v>
      </c>
      <c r="H36" s="25" t="s">
        <v>10</v>
      </c>
      <c r="I36" s="26">
        <f>SUM(I35:I35)</f>
        <v>0</v>
      </c>
    </row>
  </sheetData>
  <sheetProtection password="E512" sheet="1"/>
  <mergeCells count="51">
    <mergeCell ref="A36:E36"/>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88"/>
  <sheetViews>
    <sheetView zoomScale="130" zoomScaleNormal="130" workbookViewId="0">
      <pane ySplit="11" topLeftCell="A12" activePane="bottomLeft" state="frozen"/>
      <selection pane="bottomLeft" activeCell="I177" sqref="I177"/>
    </sheetView>
  </sheetViews>
  <sheetFormatPr defaultColWidth="12.1796875" defaultRowHeight="15" customHeight="1" x14ac:dyDescent="0.35"/>
  <cols>
    <col min="1" max="1" width="3.1796875" customWidth="1"/>
    <col min="2" max="2" width="12.1796875" customWidth="1"/>
    <col min="3" max="3" width="17.81640625" customWidth="1"/>
    <col min="4" max="4" width="42.81640625" customWidth="1"/>
    <col min="5" max="5" width="35.7265625" customWidth="1"/>
    <col min="6" max="6" width="10.453125" customWidth="1"/>
    <col min="7" max="7" width="12.81640625" customWidth="1"/>
    <col min="8" max="8" width="12" customWidth="1"/>
    <col min="9" max="9" width="15.7265625" customWidth="1"/>
    <col min="10" max="12" width="11.7265625" customWidth="1"/>
    <col min="13" max="13" width="17.7265625" customWidth="1"/>
    <col min="25" max="75" width="12.1796875" hidden="1"/>
    <col min="76" max="76" width="78.54296875" hidden="1" customWidth="1"/>
    <col min="77" max="78" width="12.1796875" hidden="1"/>
  </cols>
  <sheetData>
    <row r="1" spans="1:76" ht="54.75" customHeight="1" x14ac:dyDescent="0.35">
      <c r="A1" s="151" t="s">
        <v>68</v>
      </c>
      <c r="B1" s="151"/>
      <c r="C1" s="151"/>
      <c r="D1" s="151"/>
      <c r="E1" s="151"/>
      <c r="F1" s="151"/>
      <c r="G1" s="151"/>
      <c r="H1" s="151"/>
      <c r="I1" s="151"/>
      <c r="J1" s="151"/>
      <c r="K1" s="151"/>
      <c r="L1" s="151"/>
      <c r="M1" s="151"/>
      <c r="AS1" s="27">
        <f>SUM(AJ1:AJ2)</f>
        <v>0</v>
      </c>
      <c r="AT1" s="27">
        <f>SUM(AK1:AK2)</f>
        <v>0</v>
      </c>
      <c r="AU1" s="27">
        <f>SUM(AL1:AL2)</f>
        <v>0</v>
      </c>
    </row>
    <row r="2" spans="1:76" ht="14.5" x14ac:dyDescent="0.35">
      <c r="A2" s="106" t="s">
        <v>1</v>
      </c>
      <c r="B2" s="107"/>
      <c r="C2" s="110" t="str">
        <f>'Stavební rozpočet'!C2</f>
        <v>SOŠ,SOU Třešť - Rekonstrukce 4NP DM</v>
      </c>
      <c r="D2" s="111"/>
      <c r="E2" s="107" t="s">
        <v>69</v>
      </c>
      <c r="F2" s="113" t="str">
        <f>'Stavební rozpočet'!F2</f>
        <v xml:space="preserve"> </v>
      </c>
      <c r="G2" s="113" t="s">
        <v>2</v>
      </c>
      <c r="H2" s="107"/>
      <c r="I2" s="113" t="str">
        <f>'Stavební rozpočet'!I2</f>
        <v>Kraj Vysočina</v>
      </c>
      <c r="J2" s="107"/>
      <c r="K2" s="107"/>
      <c r="L2" s="107"/>
      <c r="M2" s="114"/>
    </row>
    <row r="3" spans="1:76" ht="14.5" x14ac:dyDescent="0.35">
      <c r="A3" s="152"/>
      <c r="B3" s="153"/>
      <c r="C3" s="158"/>
      <c r="D3" s="158"/>
      <c r="E3" s="153"/>
      <c r="F3" s="153"/>
      <c r="G3" s="153"/>
      <c r="H3" s="153"/>
      <c r="I3" s="153"/>
      <c r="J3" s="153"/>
      <c r="K3" s="153"/>
      <c r="L3" s="153"/>
      <c r="M3" s="156"/>
    </row>
    <row r="4" spans="1:76" ht="14.5" x14ac:dyDescent="0.35">
      <c r="A4" s="154" t="s">
        <v>5</v>
      </c>
      <c r="B4" s="153"/>
      <c r="C4" s="155" t="str">
        <f>'Stavební rozpočet'!C4</f>
        <v xml:space="preserve"> </v>
      </c>
      <c r="D4" s="153"/>
      <c r="E4" s="153" t="s">
        <v>11</v>
      </c>
      <c r="F4" s="155" t="str">
        <f>'Stavební rozpočet'!F4</f>
        <v>22.01.2025</v>
      </c>
      <c r="G4" s="155" t="s">
        <v>6</v>
      </c>
      <c r="H4" s="153"/>
      <c r="I4" s="155" t="str">
        <f>'Stavební rozpočet'!I4</f>
        <v>Ing. Miroslav Korecký</v>
      </c>
      <c r="J4" s="153"/>
      <c r="K4" s="153"/>
      <c r="L4" s="153"/>
      <c r="M4" s="156"/>
    </row>
    <row r="5" spans="1:76" ht="14.5" x14ac:dyDescent="0.35">
      <c r="A5" s="152"/>
      <c r="B5" s="153"/>
      <c r="C5" s="153"/>
      <c r="D5" s="153"/>
      <c r="E5" s="153"/>
      <c r="F5" s="153"/>
      <c r="G5" s="153"/>
      <c r="H5" s="153"/>
      <c r="I5" s="153"/>
      <c r="J5" s="153"/>
      <c r="K5" s="153"/>
      <c r="L5" s="153"/>
      <c r="M5" s="156"/>
    </row>
    <row r="6" spans="1:76" ht="14.5" x14ac:dyDescent="0.35">
      <c r="A6" s="154" t="s">
        <v>8</v>
      </c>
      <c r="B6" s="153"/>
      <c r="C6" s="155" t="str">
        <f>'Stavební rozpočet'!C6</f>
        <v>Domov mládeže - Rekonstrukce 4NP</v>
      </c>
      <c r="D6" s="153"/>
      <c r="E6" s="153" t="s">
        <v>12</v>
      </c>
      <c r="F6" s="155" t="str">
        <f>'Stavební rozpočet'!F6</f>
        <v xml:space="preserve"> </v>
      </c>
      <c r="G6" s="155" t="s">
        <v>9</v>
      </c>
      <c r="H6" s="153"/>
      <c r="I6" s="155" t="str">
        <f>'Stavební rozpočet'!I6</f>
        <v> </v>
      </c>
      <c r="J6" s="153"/>
      <c r="K6" s="153"/>
      <c r="L6" s="153"/>
      <c r="M6" s="156"/>
    </row>
    <row r="7" spans="1:76" ht="14.5" x14ac:dyDescent="0.35">
      <c r="A7" s="152"/>
      <c r="B7" s="153"/>
      <c r="C7" s="153"/>
      <c r="D7" s="153"/>
      <c r="E7" s="153"/>
      <c r="F7" s="153"/>
      <c r="G7" s="153"/>
      <c r="H7" s="153"/>
      <c r="I7" s="153"/>
      <c r="J7" s="153"/>
      <c r="K7" s="153"/>
      <c r="L7" s="153"/>
      <c r="M7" s="156"/>
    </row>
    <row r="8" spans="1:76" ht="14.5" x14ac:dyDescent="0.35">
      <c r="A8" s="154" t="s">
        <v>14</v>
      </c>
      <c r="B8" s="153"/>
      <c r="C8" s="155" t="str">
        <f>'Stavební rozpočet'!C8</f>
        <v>801753</v>
      </c>
      <c r="D8" s="153"/>
      <c r="E8" s="153" t="s">
        <v>70</v>
      </c>
      <c r="F8" s="155" t="str">
        <f>'Stavební rozpočet'!F8</f>
        <v>22.01.2025</v>
      </c>
      <c r="G8" s="155" t="s">
        <v>15</v>
      </c>
      <c r="H8" s="153"/>
      <c r="I8" s="155" t="str">
        <f>'Stavební rozpočet'!I8</f>
        <v>Ing. Miroslav Korecký</v>
      </c>
      <c r="J8" s="153"/>
      <c r="K8" s="153"/>
      <c r="L8" s="153"/>
      <c r="M8" s="156"/>
    </row>
    <row r="9" spans="1:76" ht="14.5" x14ac:dyDescent="0.35">
      <c r="A9" s="197"/>
      <c r="B9" s="198"/>
      <c r="C9" s="198"/>
      <c r="D9" s="198"/>
      <c r="E9" s="198"/>
      <c r="F9" s="198"/>
      <c r="G9" s="198"/>
      <c r="H9" s="198"/>
      <c r="I9" s="198"/>
      <c r="J9" s="198"/>
      <c r="K9" s="198"/>
      <c r="L9" s="198"/>
      <c r="M9" s="208"/>
    </row>
    <row r="10" spans="1:76" ht="14.5" x14ac:dyDescent="0.35">
      <c r="A10" s="28" t="s">
        <v>71</v>
      </c>
      <c r="B10" s="29" t="s">
        <v>72</v>
      </c>
      <c r="C10" s="29" t="s">
        <v>73</v>
      </c>
      <c r="D10" s="209" t="s">
        <v>74</v>
      </c>
      <c r="E10" s="210"/>
      <c r="F10" s="29" t="s">
        <v>75</v>
      </c>
      <c r="G10" s="30" t="s">
        <v>76</v>
      </c>
      <c r="H10" s="31" t="s">
        <v>77</v>
      </c>
      <c r="I10" s="32" t="s">
        <v>78</v>
      </c>
      <c r="J10" s="201" t="s">
        <v>79</v>
      </c>
      <c r="K10" s="202"/>
      <c r="L10" s="203"/>
      <c r="M10" s="33" t="s">
        <v>80</v>
      </c>
      <c r="BK10" s="34" t="s">
        <v>81</v>
      </c>
      <c r="BL10" s="35" t="s">
        <v>82</v>
      </c>
      <c r="BW10" s="35" t="s">
        <v>83</v>
      </c>
    </row>
    <row r="11" spans="1:76" ht="14.5" x14ac:dyDescent="0.35">
      <c r="A11" s="36" t="s">
        <v>84</v>
      </c>
      <c r="B11" s="37" t="s">
        <v>84</v>
      </c>
      <c r="C11" s="37" t="s">
        <v>84</v>
      </c>
      <c r="D11" s="199" t="s">
        <v>85</v>
      </c>
      <c r="E11" s="200"/>
      <c r="F11" s="37" t="s">
        <v>84</v>
      </c>
      <c r="G11" s="37" t="s">
        <v>84</v>
      </c>
      <c r="H11" s="38" t="s">
        <v>86</v>
      </c>
      <c r="I11" s="39" t="s">
        <v>87</v>
      </c>
      <c r="J11" s="40" t="s">
        <v>88</v>
      </c>
      <c r="K11" s="41" t="s">
        <v>89</v>
      </c>
      <c r="L11" s="42" t="s">
        <v>87</v>
      </c>
      <c r="M11" s="43" t="s">
        <v>90</v>
      </c>
      <c r="Z11" s="34" t="s">
        <v>91</v>
      </c>
      <c r="AA11" s="34" t="s">
        <v>92</v>
      </c>
      <c r="AB11" s="34" t="s">
        <v>93</v>
      </c>
      <c r="AC11" s="34" t="s">
        <v>94</v>
      </c>
      <c r="AD11" s="34" t="s">
        <v>95</v>
      </c>
      <c r="AE11" s="34" t="s">
        <v>96</v>
      </c>
      <c r="AF11" s="34" t="s">
        <v>97</v>
      </c>
      <c r="AG11" s="34" t="s">
        <v>98</v>
      </c>
      <c r="AH11" s="34" t="s">
        <v>99</v>
      </c>
      <c r="BH11" s="34" t="s">
        <v>100</v>
      </c>
      <c r="BI11" s="34" t="s">
        <v>101</v>
      </c>
      <c r="BJ11" s="34" t="s">
        <v>102</v>
      </c>
    </row>
    <row r="12" spans="1:76" ht="14.5" x14ac:dyDescent="0.35">
      <c r="A12" s="44" t="s">
        <v>10</v>
      </c>
      <c r="B12" s="45" t="s">
        <v>103</v>
      </c>
      <c r="C12" s="45" t="s">
        <v>10</v>
      </c>
      <c r="D12" s="204" t="s">
        <v>104</v>
      </c>
      <c r="E12" s="205"/>
      <c r="F12" s="46" t="s">
        <v>84</v>
      </c>
      <c r="G12" s="46" t="s">
        <v>84</v>
      </c>
      <c r="H12" s="46" t="s">
        <v>84</v>
      </c>
      <c r="I12" s="47">
        <f>I13+I61+I95+I135+I149+I164+I192+I240+I347+I398+I406+I433+I483+I488+I554+I560+I620+I676+I713+I735+I771+I782+I786+I842+I865+I867+I879</f>
        <v>0</v>
      </c>
      <c r="J12" s="48" t="s">
        <v>10</v>
      </c>
      <c r="K12" s="48" t="s">
        <v>10</v>
      </c>
      <c r="L12" s="47">
        <f>L13+L61+L95+L135+L149+L164+L192+L240+L347+L398+L406+L433+L483+L488+L554+L560+L620+L676+L713+L735+L771+L782+L786+L842+L865+L867+L879</f>
        <v>144.11448484999997</v>
      </c>
      <c r="M12" s="49" t="s">
        <v>10</v>
      </c>
    </row>
    <row r="13" spans="1:76" ht="14.5" x14ac:dyDescent="0.35">
      <c r="A13" s="50" t="s">
        <v>10</v>
      </c>
      <c r="B13" s="51" t="s">
        <v>103</v>
      </c>
      <c r="C13" s="51" t="s">
        <v>105</v>
      </c>
      <c r="D13" s="206" t="s">
        <v>106</v>
      </c>
      <c r="E13" s="207"/>
      <c r="F13" s="52" t="s">
        <v>84</v>
      </c>
      <c r="G13" s="52" t="s">
        <v>84</v>
      </c>
      <c r="H13" s="52" t="s">
        <v>84</v>
      </c>
      <c r="I13" s="27">
        <f>SUM(I14:I57)</f>
        <v>0</v>
      </c>
      <c r="J13" s="34" t="s">
        <v>10</v>
      </c>
      <c r="K13" s="34" t="s">
        <v>10</v>
      </c>
      <c r="L13" s="27">
        <f>SUM(L14:L57)</f>
        <v>35.041085569999993</v>
      </c>
      <c r="M13" s="53" t="s">
        <v>10</v>
      </c>
      <c r="AI13" s="34" t="s">
        <v>103</v>
      </c>
      <c r="AS13" s="27">
        <f>SUM(AJ14:AJ57)</f>
        <v>0</v>
      </c>
      <c r="AT13" s="27">
        <f>SUM(AK14:AK57)</f>
        <v>0</v>
      </c>
      <c r="AU13" s="27">
        <f>SUM(AL14:AL57)</f>
        <v>0</v>
      </c>
    </row>
    <row r="14" spans="1:76" ht="14.5" x14ac:dyDescent="0.35">
      <c r="A14" s="1" t="s">
        <v>107</v>
      </c>
      <c r="B14" s="2" t="s">
        <v>103</v>
      </c>
      <c r="C14" s="2" t="s">
        <v>108</v>
      </c>
      <c r="D14" s="155" t="s">
        <v>109</v>
      </c>
      <c r="E14" s="153"/>
      <c r="F14" s="2" t="s">
        <v>110</v>
      </c>
      <c r="G14" s="54">
        <f>'Stavební rozpočet'!G14</f>
        <v>25.696999999999999</v>
      </c>
      <c r="H14" s="94">
        <v>0</v>
      </c>
      <c r="I14" s="54">
        <f>G14*H14</f>
        <v>0</v>
      </c>
      <c r="J14" s="54">
        <f>'Stavební rozpočet'!J14</f>
        <v>0.11600000000000001</v>
      </c>
      <c r="K14" s="54">
        <f>'Stavební rozpočet'!K14</f>
        <v>0</v>
      </c>
      <c r="L14" s="54">
        <f>G14*J14</f>
        <v>2.9808520000000001</v>
      </c>
      <c r="M14" s="55" t="s">
        <v>111</v>
      </c>
      <c r="Z14" s="54">
        <f>IF(AQ14="5",BJ14,0)</f>
        <v>0</v>
      </c>
      <c r="AB14" s="54">
        <f>IF(AQ14="1",BH14,0)</f>
        <v>0</v>
      </c>
      <c r="AC14" s="54">
        <f>IF(AQ14="1",BI14,0)</f>
        <v>0</v>
      </c>
      <c r="AD14" s="54">
        <f>IF(AQ14="7",BH14,0)</f>
        <v>0</v>
      </c>
      <c r="AE14" s="54">
        <f>IF(AQ14="7",BI14,0)</f>
        <v>0</v>
      </c>
      <c r="AF14" s="54">
        <f>IF(AQ14="2",BH14,0)</f>
        <v>0</v>
      </c>
      <c r="AG14" s="54">
        <f>IF(AQ14="2",BI14,0)</f>
        <v>0</v>
      </c>
      <c r="AH14" s="54">
        <f>IF(AQ14="0",BJ14,0)</f>
        <v>0</v>
      </c>
      <c r="AI14" s="34" t="s">
        <v>103</v>
      </c>
      <c r="AJ14" s="54">
        <f>IF(AN14=0,I14,0)</f>
        <v>0</v>
      </c>
      <c r="AK14" s="54">
        <f>IF(AN14=12,I14,0)</f>
        <v>0</v>
      </c>
      <c r="AL14" s="54">
        <f>IF(AN14=21,I14,0)</f>
        <v>0</v>
      </c>
      <c r="AN14" s="54">
        <v>21</v>
      </c>
      <c r="AO14" s="54">
        <f>H14*0.631233396</f>
        <v>0</v>
      </c>
      <c r="AP14" s="54">
        <f>H14*(1-0.631233396)</f>
        <v>0</v>
      </c>
      <c r="AQ14" s="56" t="s">
        <v>107</v>
      </c>
      <c r="AV14" s="54">
        <f>AW14+AX14</f>
        <v>0</v>
      </c>
      <c r="AW14" s="54">
        <f>G14*AO14</f>
        <v>0</v>
      </c>
      <c r="AX14" s="54">
        <f>G14*AP14</f>
        <v>0</v>
      </c>
      <c r="AY14" s="56" t="s">
        <v>112</v>
      </c>
      <c r="AZ14" s="56" t="s">
        <v>113</v>
      </c>
      <c r="BA14" s="34" t="s">
        <v>114</v>
      </c>
      <c r="BC14" s="54">
        <f>AW14+AX14</f>
        <v>0</v>
      </c>
      <c r="BD14" s="54">
        <f>H14/(100-BE14)*100</f>
        <v>0</v>
      </c>
      <c r="BE14" s="54">
        <v>0</v>
      </c>
      <c r="BF14" s="54">
        <f>L14</f>
        <v>2.9808520000000001</v>
      </c>
      <c r="BH14" s="54">
        <f>G14*AO14</f>
        <v>0</v>
      </c>
      <c r="BI14" s="54">
        <f>G14*AP14</f>
        <v>0</v>
      </c>
      <c r="BJ14" s="54">
        <f>G14*H14</f>
        <v>0</v>
      </c>
      <c r="BK14" s="54"/>
      <c r="BL14" s="54">
        <v>34</v>
      </c>
      <c r="BW14" s="54">
        <v>21</v>
      </c>
      <c r="BX14" s="3" t="s">
        <v>109</v>
      </c>
    </row>
    <row r="15" spans="1:76" ht="14.5" x14ac:dyDescent="0.35">
      <c r="A15" s="57"/>
      <c r="D15" s="58" t="s">
        <v>115</v>
      </c>
      <c r="E15" s="59" t="s">
        <v>116</v>
      </c>
      <c r="G15" s="60">
        <v>33.357999999999997</v>
      </c>
      <c r="M15" s="61"/>
    </row>
    <row r="16" spans="1:76" ht="14.5" x14ac:dyDescent="0.35">
      <c r="A16" s="57"/>
      <c r="D16" s="58" t="s">
        <v>117</v>
      </c>
      <c r="E16" s="59" t="s">
        <v>118</v>
      </c>
      <c r="G16" s="60">
        <v>-7.6609999999999996</v>
      </c>
      <c r="M16" s="61"/>
    </row>
    <row r="17" spans="1:76" ht="14.5" x14ac:dyDescent="0.35">
      <c r="A17" s="1" t="s">
        <v>119</v>
      </c>
      <c r="B17" s="2" t="s">
        <v>103</v>
      </c>
      <c r="C17" s="2" t="s">
        <v>120</v>
      </c>
      <c r="D17" s="155" t="s">
        <v>121</v>
      </c>
      <c r="E17" s="153"/>
      <c r="F17" s="2" t="s">
        <v>110</v>
      </c>
      <c r="G17" s="54">
        <f>'Stavební rozpočet'!G17</f>
        <v>52.39</v>
      </c>
      <c r="H17" s="94">
        <f>'Stavební rozpočet'!H17</f>
        <v>0</v>
      </c>
      <c r="I17" s="54">
        <f>G17*H17</f>
        <v>0</v>
      </c>
      <c r="J17" s="54">
        <f>'Stavební rozpočet'!J17</f>
        <v>4.6460000000000001E-2</v>
      </c>
      <c r="K17" s="54">
        <f>'Stavební rozpočet'!K17</f>
        <v>0</v>
      </c>
      <c r="L17" s="54">
        <f>G17*J17</f>
        <v>2.4340394000000001</v>
      </c>
      <c r="M17" s="55" t="s">
        <v>111</v>
      </c>
      <c r="Z17" s="54">
        <f>IF(AQ17="5",BJ17,0)</f>
        <v>0</v>
      </c>
      <c r="AB17" s="54">
        <f>IF(AQ17="1",BH17,0)</f>
        <v>0</v>
      </c>
      <c r="AC17" s="54">
        <f>IF(AQ17="1",BI17,0)</f>
        <v>0</v>
      </c>
      <c r="AD17" s="54">
        <f>IF(AQ17="7",BH17,0)</f>
        <v>0</v>
      </c>
      <c r="AE17" s="54">
        <f>IF(AQ17="7",BI17,0)</f>
        <v>0</v>
      </c>
      <c r="AF17" s="54">
        <f>IF(AQ17="2",BH17,0)</f>
        <v>0</v>
      </c>
      <c r="AG17" s="54">
        <f>IF(AQ17="2",BI17,0)</f>
        <v>0</v>
      </c>
      <c r="AH17" s="54">
        <f>IF(AQ17="0",BJ17,0)</f>
        <v>0</v>
      </c>
      <c r="AI17" s="34" t="s">
        <v>103</v>
      </c>
      <c r="AJ17" s="54">
        <f>IF(AN17=0,I17,0)</f>
        <v>0</v>
      </c>
      <c r="AK17" s="54">
        <f>IF(AN17=12,I17,0)</f>
        <v>0</v>
      </c>
      <c r="AL17" s="54">
        <f>IF(AN17=21,I17,0)</f>
        <v>0</v>
      </c>
      <c r="AN17" s="54">
        <v>21</v>
      </c>
      <c r="AO17" s="54">
        <f>H17*0.528742095</f>
        <v>0</v>
      </c>
      <c r="AP17" s="54">
        <f>H17*(1-0.528742095)</f>
        <v>0</v>
      </c>
      <c r="AQ17" s="56" t="s">
        <v>107</v>
      </c>
      <c r="AV17" s="54">
        <f>AW17+AX17</f>
        <v>0</v>
      </c>
      <c r="AW17" s="54">
        <f>G17*AO17</f>
        <v>0</v>
      </c>
      <c r="AX17" s="54">
        <f>G17*AP17</f>
        <v>0</v>
      </c>
      <c r="AY17" s="56" t="s">
        <v>112</v>
      </c>
      <c r="AZ17" s="56" t="s">
        <v>113</v>
      </c>
      <c r="BA17" s="34" t="s">
        <v>114</v>
      </c>
      <c r="BC17" s="54">
        <f>AW17+AX17</f>
        <v>0</v>
      </c>
      <c r="BD17" s="54">
        <f>H17/(100-BE17)*100</f>
        <v>0</v>
      </c>
      <c r="BE17" s="54">
        <v>0</v>
      </c>
      <c r="BF17" s="54">
        <f>L17</f>
        <v>2.4340394000000001</v>
      </c>
      <c r="BH17" s="54">
        <f>G17*AO17</f>
        <v>0</v>
      </c>
      <c r="BI17" s="54">
        <f>G17*AP17</f>
        <v>0</v>
      </c>
      <c r="BJ17" s="54">
        <f>G17*H17</f>
        <v>0</v>
      </c>
      <c r="BK17" s="54"/>
      <c r="BL17" s="54">
        <v>34</v>
      </c>
      <c r="BW17" s="54">
        <v>21</v>
      </c>
      <c r="BX17" s="3" t="s">
        <v>121</v>
      </c>
    </row>
    <row r="18" spans="1:76" ht="13.5" customHeight="1" x14ac:dyDescent="0.35">
      <c r="A18" s="57"/>
      <c r="C18" s="62" t="s">
        <v>122</v>
      </c>
      <c r="D18" s="214" t="s">
        <v>123</v>
      </c>
      <c r="E18" s="215"/>
      <c r="F18" s="215"/>
      <c r="G18" s="215"/>
      <c r="H18" s="215"/>
      <c r="I18" s="215"/>
      <c r="J18" s="215"/>
      <c r="K18" s="215"/>
      <c r="L18" s="215"/>
      <c r="M18" s="216"/>
    </row>
    <row r="19" spans="1:76" ht="14.5" x14ac:dyDescent="0.35">
      <c r="A19" s="57"/>
      <c r="D19" s="58" t="s">
        <v>124</v>
      </c>
      <c r="E19" s="59" t="s">
        <v>125</v>
      </c>
      <c r="G19" s="60">
        <v>52.39</v>
      </c>
      <c r="M19" s="61"/>
    </row>
    <row r="20" spans="1:76" ht="14.5" x14ac:dyDescent="0.35">
      <c r="A20" s="1" t="s">
        <v>126</v>
      </c>
      <c r="B20" s="2" t="s">
        <v>103</v>
      </c>
      <c r="C20" s="2" t="s">
        <v>127</v>
      </c>
      <c r="D20" s="155" t="s">
        <v>128</v>
      </c>
      <c r="E20" s="153"/>
      <c r="F20" s="2" t="s">
        <v>110</v>
      </c>
      <c r="G20" s="54">
        <f>'Stavební rozpočet'!G19</f>
        <v>436.55500000000001</v>
      </c>
      <c r="H20" s="94">
        <f>'Stavební rozpočet'!H19</f>
        <v>0</v>
      </c>
      <c r="I20" s="54">
        <f>G20*H20</f>
        <v>0</v>
      </c>
      <c r="J20" s="54">
        <f>'Stavební rozpočet'!J19</f>
        <v>5.7099999999999998E-2</v>
      </c>
      <c r="K20" s="54">
        <f>'Stavební rozpočet'!K19</f>
        <v>0</v>
      </c>
      <c r="L20" s="54">
        <f>G20*J20</f>
        <v>24.927290499999998</v>
      </c>
      <c r="M20" s="55" t="s">
        <v>111</v>
      </c>
      <c r="Z20" s="54">
        <f>IF(AQ20="5",BJ20,0)</f>
        <v>0</v>
      </c>
      <c r="AB20" s="54">
        <f>IF(AQ20="1",BH20,0)</f>
        <v>0</v>
      </c>
      <c r="AC20" s="54">
        <f>IF(AQ20="1",BI20,0)</f>
        <v>0</v>
      </c>
      <c r="AD20" s="54">
        <f>IF(AQ20="7",BH20,0)</f>
        <v>0</v>
      </c>
      <c r="AE20" s="54">
        <f>IF(AQ20="7",BI20,0)</f>
        <v>0</v>
      </c>
      <c r="AF20" s="54">
        <f>IF(AQ20="2",BH20,0)</f>
        <v>0</v>
      </c>
      <c r="AG20" s="54">
        <f>IF(AQ20="2",BI20,0)</f>
        <v>0</v>
      </c>
      <c r="AH20" s="54">
        <f>IF(AQ20="0",BJ20,0)</f>
        <v>0</v>
      </c>
      <c r="AI20" s="34" t="s">
        <v>103</v>
      </c>
      <c r="AJ20" s="54">
        <f>IF(AN20=0,I20,0)</f>
        <v>0</v>
      </c>
      <c r="AK20" s="54">
        <f>IF(AN20=12,I20,0)</f>
        <v>0</v>
      </c>
      <c r="AL20" s="54">
        <f>IF(AN20=21,I20,0)</f>
        <v>0</v>
      </c>
      <c r="AN20" s="54">
        <v>21</v>
      </c>
      <c r="AO20" s="54">
        <f>H20*0.597767962</f>
        <v>0</v>
      </c>
      <c r="AP20" s="54">
        <f>H20*(1-0.597767962)</f>
        <v>0</v>
      </c>
      <c r="AQ20" s="56" t="s">
        <v>107</v>
      </c>
      <c r="AV20" s="54">
        <f>AW20+AX20</f>
        <v>0</v>
      </c>
      <c r="AW20" s="54">
        <f>G20*AO20</f>
        <v>0</v>
      </c>
      <c r="AX20" s="54">
        <f>G20*AP20</f>
        <v>0</v>
      </c>
      <c r="AY20" s="56" t="s">
        <v>112</v>
      </c>
      <c r="AZ20" s="56" t="s">
        <v>113</v>
      </c>
      <c r="BA20" s="34" t="s">
        <v>114</v>
      </c>
      <c r="BC20" s="54">
        <f>AW20+AX20</f>
        <v>0</v>
      </c>
      <c r="BD20" s="54">
        <f>H20/(100-BE20)*100</f>
        <v>0</v>
      </c>
      <c r="BE20" s="54">
        <v>0</v>
      </c>
      <c r="BF20" s="54">
        <f>L20</f>
        <v>24.927290499999998</v>
      </c>
      <c r="BH20" s="54">
        <f>G20*AO20</f>
        <v>0</v>
      </c>
      <c r="BI20" s="54">
        <f>G20*AP20</f>
        <v>0</v>
      </c>
      <c r="BJ20" s="54">
        <f>G20*H20</f>
        <v>0</v>
      </c>
      <c r="BK20" s="54"/>
      <c r="BL20" s="54">
        <v>34</v>
      </c>
      <c r="BW20" s="54">
        <v>21</v>
      </c>
      <c r="BX20" s="3" t="s">
        <v>128</v>
      </c>
    </row>
    <row r="21" spans="1:76" ht="13.5" customHeight="1" x14ac:dyDescent="0.35">
      <c r="A21" s="57"/>
      <c r="C21" s="62" t="s">
        <v>122</v>
      </c>
      <c r="D21" s="214" t="s">
        <v>129</v>
      </c>
      <c r="E21" s="215"/>
      <c r="F21" s="215"/>
      <c r="G21" s="215"/>
      <c r="H21" s="215"/>
      <c r="I21" s="215"/>
      <c r="J21" s="215"/>
      <c r="K21" s="215"/>
      <c r="L21" s="215"/>
      <c r="M21" s="216"/>
    </row>
    <row r="22" spans="1:76" ht="14.5" x14ac:dyDescent="0.35">
      <c r="A22" s="57"/>
      <c r="D22" s="58" t="s">
        <v>130</v>
      </c>
      <c r="E22" s="59" t="s">
        <v>131</v>
      </c>
      <c r="G22" s="60">
        <v>174.76300000000001</v>
      </c>
      <c r="M22" s="61"/>
    </row>
    <row r="23" spans="1:76" ht="14.5" x14ac:dyDescent="0.35">
      <c r="A23" s="57"/>
      <c r="D23" s="58" t="s">
        <v>132</v>
      </c>
      <c r="E23" s="59" t="s">
        <v>133</v>
      </c>
      <c r="G23" s="60">
        <v>65.995000000000005</v>
      </c>
      <c r="M23" s="61"/>
    </row>
    <row r="24" spans="1:76" ht="14.5" x14ac:dyDescent="0.35">
      <c r="A24" s="57"/>
      <c r="D24" s="58" t="s">
        <v>134</v>
      </c>
      <c r="E24" s="59" t="s">
        <v>135</v>
      </c>
      <c r="G24" s="60">
        <v>28.404</v>
      </c>
      <c r="M24" s="61"/>
    </row>
    <row r="25" spans="1:76" ht="14.5" x14ac:dyDescent="0.35">
      <c r="A25" s="57"/>
      <c r="D25" s="58" t="s">
        <v>136</v>
      </c>
      <c r="E25" s="59" t="s">
        <v>137</v>
      </c>
      <c r="G25" s="60">
        <v>27.934000000000001</v>
      </c>
      <c r="M25" s="61"/>
    </row>
    <row r="26" spans="1:76" ht="14.5" x14ac:dyDescent="0.35">
      <c r="A26" s="57"/>
      <c r="D26" s="58" t="s">
        <v>138</v>
      </c>
      <c r="E26" s="59" t="s">
        <v>139</v>
      </c>
      <c r="G26" s="60">
        <v>56.808</v>
      </c>
      <c r="M26" s="61"/>
    </row>
    <row r="27" spans="1:76" ht="14.5" x14ac:dyDescent="0.35">
      <c r="A27" s="57"/>
      <c r="D27" s="58" t="s">
        <v>140</v>
      </c>
      <c r="E27" s="59" t="s">
        <v>141</v>
      </c>
      <c r="G27" s="60">
        <v>79.531000000000006</v>
      </c>
      <c r="M27" s="61"/>
    </row>
    <row r="28" spans="1:76" ht="14.5" x14ac:dyDescent="0.35">
      <c r="A28" s="57"/>
      <c r="D28" s="58" t="s">
        <v>142</v>
      </c>
      <c r="E28" s="59" t="s">
        <v>143</v>
      </c>
      <c r="G28" s="60">
        <v>3.12</v>
      </c>
      <c r="M28" s="61"/>
    </row>
    <row r="29" spans="1:76" ht="14.5" x14ac:dyDescent="0.35">
      <c r="A29" s="1" t="s">
        <v>144</v>
      </c>
      <c r="B29" s="2" t="s">
        <v>103</v>
      </c>
      <c r="C29" s="2" t="s">
        <v>145</v>
      </c>
      <c r="D29" s="155" t="s">
        <v>146</v>
      </c>
      <c r="E29" s="153"/>
      <c r="F29" s="2" t="s">
        <v>110</v>
      </c>
      <c r="G29" s="54">
        <f>'Stavební rozpočet'!G27</f>
        <v>51.048000000000002</v>
      </c>
      <c r="H29" s="94">
        <v>0</v>
      </c>
      <c r="I29" s="54">
        <f>G29*H29</f>
        <v>0</v>
      </c>
      <c r="J29" s="54">
        <f>'Stavební rozpočet'!J27</f>
        <v>7.5340000000000004E-2</v>
      </c>
      <c r="K29" s="54">
        <f>'Stavební rozpočet'!K27</f>
        <v>0</v>
      </c>
      <c r="L29" s="54">
        <f>G29*J29</f>
        <v>3.8459563200000004</v>
      </c>
      <c r="M29" s="55" t="s">
        <v>111</v>
      </c>
      <c r="Z29" s="54">
        <f>IF(AQ29="5",BJ29,0)</f>
        <v>0</v>
      </c>
      <c r="AB29" s="54">
        <f>IF(AQ29="1",BH29,0)</f>
        <v>0</v>
      </c>
      <c r="AC29" s="54">
        <f>IF(AQ29="1",BI29,0)</f>
        <v>0</v>
      </c>
      <c r="AD29" s="54">
        <f>IF(AQ29="7",BH29,0)</f>
        <v>0</v>
      </c>
      <c r="AE29" s="54">
        <f>IF(AQ29="7",BI29,0)</f>
        <v>0</v>
      </c>
      <c r="AF29" s="54">
        <f>IF(AQ29="2",BH29,0)</f>
        <v>0</v>
      </c>
      <c r="AG29" s="54">
        <f>IF(AQ29="2",BI29,0)</f>
        <v>0</v>
      </c>
      <c r="AH29" s="54">
        <f>IF(AQ29="0",BJ29,0)</f>
        <v>0</v>
      </c>
      <c r="AI29" s="34" t="s">
        <v>103</v>
      </c>
      <c r="AJ29" s="54">
        <f>IF(AN29=0,I29,0)</f>
        <v>0</v>
      </c>
      <c r="AK29" s="54">
        <f>IF(AN29=12,I29,0)</f>
        <v>0</v>
      </c>
      <c r="AL29" s="54">
        <f>IF(AN29=21,I29,0)</f>
        <v>0</v>
      </c>
      <c r="AN29" s="54">
        <v>21</v>
      </c>
      <c r="AO29" s="54">
        <f>H29*0.631105713</f>
        <v>0</v>
      </c>
      <c r="AP29" s="54">
        <f>H29*(1-0.631105713)</f>
        <v>0</v>
      </c>
      <c r="AQ29" s="56" t="s">
        <v>107</v>
      </c>
      <c r="AV29" s="54">
        <f>AW29+AX29</f>
        <v>0</v>
      </c>
      <c r="AW29" s="54">
        <f>G29*AO29</f>
        <v>0</v>
      </c>
      <c r="AX29" s="54">
        <f>G29*AP29</f>
        <v>0</v>
      </c>
      <c r="AY29" s="56" t="s">
        <v>112</v>
      </c>
      <c r="AZ29" s="56" t="s">
        <v>113</v>
      </c>
      <c r="BA29" s="34" t="s">
        <v>114</v>
      </c>
      <c r="BC29" s="54">
        <f>AW29+AX29</f>
        <v>0</v>
      </c>
      <c r="BD29" s="54">
        <f>H29/(100-BE29)*100</f>
        <v>0</v>
      </c>
      <c r="BE29" s="54">
        <v>0</v>
      </c>
      <c r="BF29" s="54">
        <f>L29</f>
        <v>3.8459563200000004</v>
      </c>
      <c r="BH29" s="54">
        <f>G29*AO29</f>
        <v>0</v>
      </c>
      <c r="BI29" s="54">
        <f>G29*AP29</f>
        <v>0</v>
      </c>
      <c r="BJ29" s="54">
        <f>G29*H29</f>
        <v>0</v>
      </c>
      <c r="BK29" s="54"/>
      <c r="BL29" s="54">
        <v>34</v>
      </c>
      <c r="BW29" s="54">
        <v>21</v>
      </c>
      <c r="BX29" s="3" t="s">
        <v>146</v>
      </c>
    </row>
    <row r="30" spans="1:76" ht="14.5" x14ac:dyDescent="0.35">
      <c r="A30" s="57"/>
      <c r="D30" s="58" t="s">
        <v>138</v>
      </c>
      <c r="E30" s="59" t="s">
        <v>147</v>
      </c>
      <c r="G30" s="60">
        <v>56.808</v>
      </c>
      <c r="M30" s="61"/>
    </row>
    <row r="31" spans="1:76" ht="14.5" x14ac:dyDescent="0.35">
      <c r="A31" s="57"/>
      <c r="D31" s="58" t="s">
        <v>148</v>
      </c>
      <c r="E31" s="59" t="s">
        <v>149</v>
      </c>
      <c r="G31" s="60">
        <v>-5.76</v>
      </c>
      <c r="M31" s="61"/>
    </row>
    <row r="32" spans="1:76" ht="14.5" x14ac:dyDescent="0.35">
      <c r="A32" s="1" t="s">
        <v>150</v>
      </c>
      <c r="B32" s="2" t="s">
        <v>103</v>
      </c>
      <c r="C32" s="2" t="s">
        <v>151</v>
      </c>
      <c r="D32" s="155" t="s">
        <v>152</v>
      </c>
      <c r="E32" s="153"/>
      <c r="F32" s="2" t="s">
        <v>153</v>
      </c>
      <c r="G32" s="54">
        <f>'Stavební rozpočet'!G30</f>
        <v>187.92</v>
      </c>
      <c r="H32" s="94">
        <f>'Stavební rozpočet'!H30</f>
        <v>0</v>
      </c>
      <c r="I32" s="54">
        <f>G32*H32</f>
        <v>0</v>
      </c>
      <c r="J32" s="54">
        <f>'Stavební rozpočet'!J30</f>
        <v>1.0499999999999999E-3</v>
      </c>
      <c r="K32" s="54">
        <f>'Stavební rozpočet'!K30</f>
        <v>0</v>
      </c>
      <c r="L32" s="54">
        <f>G32*J32</f>
        <v>0.19731599999999996</v>
      </c>
      <c r="M32" s="55" t="s">
        <v>111</v>
      </c>
      <c r="Z32" s="54">
        <f>IF(AQ32="5",BJ32,0)</f>
        <v>0</v>
      </c>
      <c r="AB32" s="54">
        <f>IF(AQ32="1",BH32,0)</f>
        <v>0</v>
      </c>
      <c r="AC32" s="54">
        <f>IF(AQ32="1",BI32,0)</f>
        <v>0</v>
      </c>
      <c r="AD32" s="54">
        <f>IF(AQ32="7",BH32,0)</f>
        <v>0</v>
      </c>
      <c r="AE32" s="54">
        <f>IF(AQ32="7",BI32,0)</f>
        <v>0</v>
      </c>
      <c r="AF32" s="54">
        <f>IF(AQ32="2",BH32,0)</f>
        <v>0</v>
      </c>
      <c r="AG32" s="54">
        <f>IF(AQ32="2",BI32,0)</f>
        <v>0</v>
      </c>
      <c r="AH32" s="54">
        <f>IF(AQ32="0",BJ32,0)</f>
        <v>0</v>
      </c>
      <c r="AI32" s="34" t="s">
        <v>103</v>
      </c>
      <c r="AJ32" s="54">
        <f>IF(AN32=0,I32,0)</f>
        <v>0</v>
      </c>
      <c r="AK32" s="54">
        <f>IF(AN32=12,I32,0)</f>
        <v>0</v>
      </c>
      <c r="AL32" s="54">
        <f>IF(AN32=21,I32,0)</f>
        <v>0</v>
      </c>
      <c r="AN32" s="54">
        <v>21</v>
      </c>
      <c r="AO32" s="54">
        <f>H32*0.346839827</f>
        <v>0</v>
      </c>
      <c r="AP32" s="54">
        <f>H32*(1-0.346839827)</f>
        <v>0</v>
      </c>
      <c r="AQ32" s="56" t="s">
        <v>107</v>
      </c>
      <c r="AV32" s="54">
        <f>AW32+AX32</f>
        <v>0</v>
      </c>
      <c r="AW32" s="54">
        <f>G32*AO32</f>
        <v>0</v>
      </c>
      <c r="AX32" s="54">
        <f>G32*AP32</f>
        <v>0</v>
      </c>
      <c r="AY32" s="56" t="s">
        <v>112</v>
      </c>
      <c r="AZ32" s="56" t="s">
        <v>113</v>
      </c>
      <c r="BA32" s="34" t="s">
        <v>114</v>
      </c>
      <c r="BC32" s="54">
        <f>AW32+AX32</f>
        <v>0</v>
      </c>
      <c r="BD32" s="54">
        <f>H32/(100-BE32)*100</f>
        <v>0</v>
      </c>
      <c r="BE32" s="54">
        <v>0</v>
      </c>
      <c r="BF32" s="54">
        <f>L32</f>
        <v>0.19731599999999996</v>
      </c>
      <c r="BH32" s="54">
        <f>G32*AO32</f>
        <v>0</v>
      </c>
      <c r="BI32" s="54">
        <f>G32*AP32</f>
        <v>0</v>
      </c>
      <c r="BJ32" s="54">
        <f>G32*H32</f>
        <v>0</v>
      </c>
      <c r="BK32" s="54"/>
      <c r="BL32" s="54">
        <v>34</v>
      </c>
      <c r="BW32" s="54">
        <v>21</v>
      </c>
      <c r="BX32" s="3" t="s">
        <v>152</v>
      </c>
    </row>
    <row r="33" spans="1:76" ht="14.5" x14ac:dyDescent="0.35">
      <c r="A33" s="57"/>
      <c r="D33" s="58" t="s">
        <v>154</v>
      </c>
      <c r="E33" s="59" t="s">
        <v>155</v>
      </c>
      <c r="G33" s="60">
        <v>125.28</v>
      </c>
      <c r="M33" s="61"/>
    </row>
    <row r="34" spans="1:76" ht="14.5" x14ac:dyDescent="0.35">
      <c r="A34" s="57"/>
      <c r="C34" s="62" t="s">
        <v>156</v>
      </c>
      <c r="D34" s="211" t="s">
        <v>157</v>
      </c>
      <c r="E34" s="212"/>
      <c r="F34" s="212"/>
      <c r="G34" s="212"/>
      <c r="H34" s="212"/>
      <c r="I34" s="212"/>
      <c r="J34" s="212"/>
      <c r="K34" s="212"/>
      <c r="L34" s="212"/>
      <c r="M34" s="213"/>
      <c r="BX34" s="63" t="s">
        <v>157</v>
      </c>
    </row>
    <row r="35" spans="1:76" ht="14.5" x14ac:dyDescent="0.35">
      <c r="A35" s="57"/>
      <c r="D35" s="58" t="s">
        <v>158</v>
      </c>
      <c r="E35" s="59" t="s">
        <v>159</v>
      </c>
      <c r="G35" s="60">
        <v>62.64</v>
      </c>
      <c r="M35" s="61"/>
    </row>
    <row r="36" spans="1:76" ht="14.5" x14ac:dyDescent="0.35">
      <c r="A36" s="57"/>
      <c r="C36" s="62" t="s">
        <v>156</v>
      </c>
      <c r="D36" s="211" t="s">
        <v>157</v>
      </c>
      <c r="E36" s="212"/>
      <c r="F36" s="212"/>
      <c r="G36" s="212"/>
      <c r="H36" s="212"/>
      <c r="I36" s="212"/>
      <c r="J36" s="212"/>
      <c r="K36" s="212"/>
      <c r="L36" s="212"/>
      <c r="M36" s="213"/>
      <c r="BX36" s="63" t="s">
        <v>157</v>
      </c>
    </row>
    <row r="37" spans="1:76" ht="14.5" x14ac:dyDescent="0.35">
      <c r="A37" s="1" t="s">
        <v>160</v>
      </c>
      <c r="B37" s="2" t="s">
        <v>103</v>
      </c>
      <c r="C37" s="2" t="s">
        <v>161</v>
      </c>
      <c r="D37" s="155" t="s">
        <v>162</v>
      </c>
      <c r="E37" s="153"/>
      <c r="F37" s="2" t="s">
        <v>153</v>
      </c>
      <c r="G37" s="54">
        <f>'Stavební rozpočet'!G33</f>
        <v>122.88</v>
      </c>
      <c r="H37" s="94">
        <f>'Stavební rozpočet'!H33</f>
        <v>0</v>
      </c>
      <c r="I37" s="54">
        <f>G37*H37</f>
        <v>0</v>
      </c>
      <c r="J37" s="54">
        <f>'Stavební rozpočet'!J33</f>
        <v>5.1999999999999995E-4</v>
      </c>
      <c r="K37" s="54">
        <f>'Stavební rozpočet'!K33</f>
        <v>0</v>
      </c>
      <c r="L37" s="54">
        <f>G37*J37</f>
        <v>6.3897599999999999E-2</v>
      </c>
      <c r="M37" s="55" t="s">
        <v>111</v>
      </c>
      <c r="Z37" s="54">
        <f>IF(AQ37="5",BJ37,0)</f>
        <v>0</v>
      </c>
      <c r="AB37" s="54">
        <f>IF(AQ37="1",BH37,0)</f>
        <v>0</v>
      </c>
      <c r="AC37" s="54">
        <f>IF(AQ37="1",BI37,0)</f>
        <v>0</v>
      </c>
      <c r="AD37" s="54">
        <f>IF(AQ37="7",BH37,0)</f>
        <v>0</v>
      </c>
      <c r="AE37" s="54">
        <f>IF(AQ37="7",BI37,0)</f>
        <v>0</v>
      </c>
      <c r="AF37" s="54">
        <f>IF(AQ37="2",BH37,0)</f>
        <v>0</v>
      </c>
      <c r="AG37" s="54">
        <f>IF(AQ37="2",BI37,0)</f>
        <v>0</v>
      </c>
      <c r="AH37" s="54">
        <f>IF(AQ37="0",BJ37,0)</f>
        <v>0</v>
      </c>
      <c r="AI37" s="34" t="s">
        <v>103</v>
      </c>
      <c r="AJ37" s="54">
        <f>IF(AN37=0,I37,0)</f>
        <v>0</v>
      </c>
      <c r="AK37" s="54">
        <f>IF(AN37=12,I37,0)</f>
        <v>0</v>
      </c>
      <c r="AL37" s="54">
        <f>IF(AN37=21,I37,0)</f>
        <v>0</v>
      </c>
      <c r="AN37" s="54">
        <v>21</v>
      </c>
      <c r="AO37" s="54">
        <f>H37*0.317379683</f>
        <v>0</v>
      </c>
      <c r="AP37" s="54">
        <f>H37*(1-0.317379683)</f>
        <v>0</v>
      </c>
      <c r="AQ37" s="56" t="s">
        <v>107</v>
      </c>
      <c r="AV37" s="54">
        <f>AW37+AX37</f>
        <v>0</v>
      </c>
      <c r="AW37" s="54">
        <f>G37*AO37</f>
        <v>0</v>
      </c>
      <c r="AX37" s="54">
        <f>G37*AP37</f>
        <v>0</v>
      </c>
      <c r="AY37" s="56" t="s">
        <v>112</v>
      </c>
      <c r="AZ37" s="56" t="s">
        <v>113</v>
      </c>
      <c r="BA37" s="34" t="s">
        <v>114</v>
      </c>
      <c r="BC37" s="54">
        <f>AW37+AX37</f>
        <v>0</v>
      </c>
      <c r="BD37" s="54">
        <f>H37/(100-BE37)*100</f>
        <v>0</v>
      </c>
      <c r="BE37" s="54">
        <v>0</v>
      </c>
      <c r="BF37" s="54">
        <f>L37</f>
        <v>6.3897599999999999E-2</v>
      </c>
      <c r="BH37" s="54">
        <f>G37*AO37</f>
        <v>0</v>
      </c>
      <c r="BI37" s="54">
        <f>G37*AP37</f>
        <v>0</v>
      </c>
      <c r="BJ37" s="54">
        <f>G37*H37</f>
        <v>0</v>
      </c>
      <c r="BK37" s="54"/>
      <c r="BL37" s="54">
        <v>34</v>
      </c>
      <c r="BW37" s="54">
        <v>21</v>
      </c>
      <c r="BX37" s="3" t="s">
        <v>162</v>
      </c>
    </row>
    <row r="38" spans="1:76" ht="14.5" x14ac:dyDescent="0.35">
      <c r="A38" s="57"/>
      <c r="D38" s="58" t="s">
        <v>163</v>
      </c>
      <c r="E38" s="59" t="s">
        <v>164</v>
      </c>
      <c r="G38" s="60">
        <v>83.04</v>
      </c>
      <c r="M38" s="61"/>
    </row>
    <row r="39" spans="1:76" ht="14.5" x14ac:dyDescent="0.35">
      <c r="A39" s="57"/>
      <c r="C39" s="62" t="s">
        <v>156</v>
      </c>
      <c r="D39" s="211" t="s">
        <v>165</v>
      </c>
      <c r="E39" s="212"/>
      <c r="F39" s="212"/>
      <c r="G39" s="212"/>
      <c r="H39" s="212"/>
      <c r="I39" s="212"/>
      <c r="J39" s="212"/>
      <c r="K39" s="212"/>
      <c r="L39" s="212"/>
      <c r="M39" s="213"/>
      <c r="BX39" s="63" t="s">
        <v>165</v>
      </c>
    </row>
    <row r="40" spans="1:76" ht="14.5" x14ac:dyDescent="0.35">
      <c r="A40" s="57"/>
      <c r="D40" s="58" t="s">
        <v>166</v>
      </c>
      <c r="E40" s="59" t="s">
        <v>167</v>
      </c>
      <c r="G40" s="60">
        <v>39.840000000000003</v>
      </c>
      <c r="M40" s="61"/>
    </row>
    <row r="41" spans="1:76" ht="14.5" x14ac:dyDescent="0.35">
      <c r="A41" s="57"/>
      <c r="C41" s="62" t="s">
        <v>156</v>
      </c>
      <c r="D41" s="211" t="s">
        <v>165</v>
      </c>
      <c r="E41" s="212"/>
      <c r="F41" s="212"/>
      <c r="G41" s="212"/>
      <c r="H41" s="212"/>
      <c r="I41" s="212"/>
      <c r="J41" s="212"/>
      <c r="K41" s="212"/>
      <c r="L41" s="212"/>
      <c r="M41" s="213"/>
      <c r="BX41" s="63" t="s">
        <v>165</v>
      </c>
    </row>
    <row r="42" spans="1:76" ht="14.5" x14ac:dyDescent="0.35">
      <c r="A42" s="1" t="s">
        <v>168</v>
      </c>
      <c r="B42" s="2" t="s">
        <v>103</v>
      </c>
      <c r="C42" s="2" t="s">
        <v>169</v>
      </c>
      <c r="D42" s="155" t="s">
        <v>170</v>
      </c>
      <c r="E42" s="153"/>
      <c r="F42" s="2" t="s">
        <v>110</v>
      </c>
      <c r="G42" s="54">
        <f>'Stavební rozpočet'!G36</f>
        <v>15.5</v>
      </c>
      <c r="H42" s="94">
        <f>'Stavební rozpočet'!H36</f>
        <v>0</v>
      </c>
      <c r="I42" s="54">
        <f>G42*H42</f>
        <v>0</v>
      </c>
      <c r="J42" s="54">
        <f>'Stavební rozpočet'!J36</f>
        <v>1.188E-2</v>
      </c>
      <c r="K42" s="54">
        <f>'Stavební rozpočet'!K36</f>
        <v>0</v>
      </c>
      <c r="L42" s="54">
        <f>G42*J42</f>
        <v>0.18414</v>
      </c>
      <c r="M42" s="55" t="s">
        <v>111</v>
      </c>
      <c r="Z42" s="54">
        <f>IF(AQ42="5",BJ42,0)</f>
        <v>0</v>
      </c>
      <c r="AB42" s="54">
        <f>IF(AQ42="1",BH42,0)</f>
        <v>0</v>
      </c>
      <c r="AC42" s="54">
        <f>IF(AQ42="1",BI42,0)</f>
        <v>0</v>
      </c>
      <c r="AD42" s="54">
        <f>IF(AQ42="7",BH42,0)</f>
        <v>0</v>
      </c>
      <c r="AE42" s="54">
        <f>IF(AQ42="7",BI42,0)</f>
        <v>0</v>
      </c>
      <c r="AF42" s="54">
        <f>IF(AQ42="2",BH42,0)</f>
        <v>0</v>
      </c>
      <c r="AG42" s="54">
        <f>IF(AQ42="2",BI42,0)</f>
        <v>0</v>
      </c>
      <c r="AH42" s="54">
        <f>IF(AQ42="0",BJ42,0)</f>
        <v>0</v>
      </c>
      <c r="AI42" s="34" t="s">
        <v>103</v>
      </c>
      <c r="AJ42" s="54">
        <f>IF(AN42=0,I42,0)</f>
        <v>0</v>
      </c>
      <c r="AK42" s="54">
        <f>IF(AN42=12,I42,0)</f>
        <v>0</v>
      </c>
      <c r="AL42" s="54">
        <f>IF(AN42=21,I42,0)</f>
        <v>0</v>
      </c>
      <c r="AN42" s="54">
        <v>21</v>
      </c>
      <c r="AO42" s="54">
        <f>H42*0.466477273</f>
        <v>0</v>
      </c>
      <c r="AP42" s="54">
        <f>H42*(1-0.466477273)</f>
        <v>0</v>
      </c>
      <c r="AQ42" s="56" t="s">
        <v>107</v>
      </c>
      <c r="AV42" s="54">
        <f>AW42+AX42</f>
        <v>0</v>
      </c>
      <c r="AW42" s="54">
        <f>G42*AO42</f>
        <v>0</v>
      </c>
      <c r="AX42" s="54">
        <f>G42*AP42</f>
        <v>0</v>
      </c>
      <c r="AY42" s="56" t="s">
        <v>112</v>
      </c>
      <c r="AZ42" s="56" t="s">
        <v>113</v>
      </c>
      <c r="BA42" s="34" t="s">
        <v>114</v>
      </c>
      <c r="BC42" s="54">
        <f>AW42+AX42</f>
        <v>0</v>
      </c>
      <c r="BD42" s="54">
        <f>H42/(100-BE42)*100</f>
        <v>0</v>
      </c>
      <c r="BE42" s="54">
        <v>0</v>
      </c>
      <c r="BF42" s="54">
        <f>L42</f>
        <v>0.18414</v>
      </c>
      <c r="BH42" s="54">
        <f>G42*AO42</f>
        <v>0</v>
      </c>
      <c r="BI42" s="54">
        <f>G42*AP42</f>
        <v>0</v>
      </c>
      <c r="BJ42" s="54">
        <f>G42*H42</f>
        <v>0</v>
      </c>
      <c r="BK42" s="54"/>
      <c r="BL42" s="54">
        <v>34</v>
      </c>
      <c r="BW42" s="54">
        <v>21</v>
      </c>
      <c r="BX42" s="3" t="s">
        <v>170</v>
      </c>
    </row>
    <row r="43" spans="1:76" ht="13.5" customHeight="1" x14ac:dyDescent="0.35">
      <c r="A43" s="57"/>
      <c r="C43" s="62" t="s">
        <v>122</v>
      </c>
      <c r="D43" s="214" t="s">
        <v>171</v>
      </c>
      <c r="E43" s="215"/>
      <c r="F43" s="215"/>
      <c r="G43" s="215"/>
      <c r="H43" s="215"/>
      <c r="I43" s="215"/>
      <c r="J43" s="215"/>
      <c r="K43" s="215"/>
      <c r="L43" s="215"/>
      <c r="M43" s="216"/>
    </row>
    <row r="44" spans="1:76" ht="14.5" x14ac:dyDescent="0.35">
      <c r="A44" s="57"/>
      <c r="D44" s="58" t="s">
        <v>172</v>
      </c>
      <c r="E44" s="59" t="s">
        <v>173</v>
      </c>
      <c r="G44" s="60">
        <v>2.6</v>
      </c>
      <c r="M44" s="61"/>
    </row>
    <row r="45" spans="1:76" ht="14.5" x14ac:dyDescent="0.35">
      <c r="A45" s="57"/>
      <c r="D45" s="58" t="s">
        <v>172</v>
      </c>
      <c r="E45" s="59" t="s">
        <v>174</v>
      </c>
      <c r="G45" s="60">
        <v>2.6</v>
      </c>
      <c r="M45" s="61"/>
    </row>
    <row r="46" spans="1:76" ht="14.5" x14ac:dyDescent="0.35">
      <c r="A46" s="57"/>
      <c r="D46" s="58" t="s">
        <v>172</v>
      </c>
      <c r="E46" s="59" t="s">
        <v>175</v>
      </c>
      <c r="G46" s="60">
        <v>2.6</v>
      </c>
      <c r="M46" s="61"/>
    </row>
    <row r="47" spans="1:76" ht="14.5" x14ac:dyDescent="0.35">
      <c r="A47" s="57"/>
      <c r="D47" s="58" t="s">
        <v>176</v>
      </c>
      <c r="E47" s="59" t="s">
        <v>177</v>
      </c>
      <c r="G47" s="60">
        <v>2.5</v>
      </c>
      <c r="M47" s="61"/>
    </row>
    <row r="48" spans="1:76" ht="91" x14ac:dyDescent="0.35">
      <c r="A48" s="57"/>
      <c r="C48" s="62" t="s">
        <v>156</v>
      </c>
      <c r="D48" s="211" t="s">
        <v>178</v>
      </c>
      <c r="E48" s="212"/>
      <c r="F48" s="212"/>
      <c r="G48" s="212"/>
      <c r="H48" s="212"/>
      <c r="I48" s="212"/>
      <c r="J48" s="212"/>
      <c r="K48" s="212"/>
      <c r="L48" s="212"/>
      <c r="M48" s="213"/>
      <c r="BX48" s="63" t="s">
        <v>178</v>
      </c>
    </row>
    <row r="49" spans="1:76" ht="14.5" x14ac:dyDescent="0.35">
      <c r="A49" s="57"/>
      <c r="D49" s="58" t="s">
        <v>179</v>
      </c>
      <c r="E49" s="59" t="s">
        <v>180</v>
      </c>
      <c r="G49" s="60">
        <v>5.2</v>
      </c>
      <c r="M49" s="61"/>
    </row>
    <row r="50" spans="1:76" ht="91" x14ac:dyDescent="0.35">
      <c r="A50" s="57"/>
      <c r="C50" s="62" t="s">
        <v>156</v>
      </c>
      <c r="D50" s="211" t="s">
        <v>178</v>
      </c>
      <c r="E50" s="212"/>
      <c r="F50" s="212"/>
      <c r="G50" s="212"/>
      <c r="H50" s="212"/>
      <c r="I50" s="212"/>
      <c r="J50" s="212"/>
      <c r="K50" s="212"/>
      <c r="L50" s="212"/>
      <c r="M50" s="213"/>
      <c r="BX50" s="63" t="s">
        <v>178</v>
      </c>
    </row>
    <row r="51" spans="1:76" ht="14.5" x14ac:dyDescent="0.35">
      <c r="A51" s="1" t="s">
        <v>181</v>
      </c>
      <c r="B51" s="2" t="s">
        <v>103</v>
      </c>
      <c r="C51" s="2" t="s">
        <v>182</v>
      </c>
      <c r="D51" s="155" t="s">
        <v>183</v>
      </c>
      <c r="E51" s="153"/>
      <c r="F51" s="2" t="s">
        <v>110</v>
      </c>
      <c r="G51" s="54">
        <f>'Stavební rozpočet'!G42</f>
        <v>4.335</v>
      </c>
      <c r="H51" s="94">
        <f>'Stavební rozpočet'!H42</f>
        <v>0</v>
      </c>
      <c r="I51" s="54">
        <f>G51*H51</f>
        <v>0</v>
      </c>
      <c r="J51" s="54">
        <f>'Stavební rozpočet'!J42</f>
        <v>1.627E-2</v>
      </c>
      <c r="K51" s="54">
        <f>'Stavební rozpočet'!K42</f>
        <v>0</v>
      </c>
      <c r="L51" s="54">
        <f>G51*J51</f>
        <v>7.0530449999999995E-2</v>
      </c>
      <c r="M51" s="55" t="s">
        <v>111</v>
      </c>
      <c r="Z51" s="54">
        <f>IF(AQ51="5",BJ51,0)</f>
        <v>0</v>
      </c>
      <c r="AB51" s="54">
        <f>IF(AQ51="1",BH51,0)</f>
        <v>0</v>
      </c>
      <c r="AC51" s="54">
        <f>IF(AQ51="1",BI51,0)</f>
        <v>0</v>
      </c>
      <c r="AD51" s="54">
        <f>IF(AQ51="7",BH51,0)</f>
        <v>0</v>
      </c>
      <c r="AE51" s="54">
        <f>IF(AQ51="7",BI51,0)</f>
        <v>0</v>
      </c>
      <c r="AF51" s="54">
        <f>IF(AQ51="2",BH51,0)</f>
        <v>0</v>
      </c>
      <c r="AG51" s="54">
        <f>IF(AQ51="2",BI51,0)</f>
        <v>0</v>
      </c>
      <c r="AH51" s="54">
        <f>IF(AQ51="0",BJ51,0)</f>
        <v>0</v>
      </c>
      <c r="AI51" s="34" t="s">
        <v>103</v>
      </c>
      <c r="AJ51" s="54">
        <f>IF(AN51=0,I51,0)</f>
        <v>0</v>
      </c>
      <c r="AK51" s="54">
        <f>IF(AN51=12,I51,0)</f>
        <v>0</v>
      </c>
      <c r="AL51" s="54">
        <f>IF(AN51=21,I51,0)</f>
        <v>0</v>
      </c>
      <c r="AN51" s="54">
        <v>21</v>
      </c>
      <c r="AO51" s="54">
        <f>H51*0.552643908</f>
        <v>0</v>
      </c>
      <c r="AP51" s="54">
        <f>H51*(1-0.552643908)</f>
        <v>0</v>
      </c>
      <c r="AQ51" s="56" t="s">
        <v>107</v>
      </c>
      <c r="AV51" s="54">
        <f>AW51+AX51</f>
        <v>0</v>
      </c>
      <c r="AW51" s="54">
        <f>G51*AO51</f>
        <v>0</v>
      </c>
      <c r="AX51" s="54">
        <f>G51*AP51</f>
        <v>0</v>
      </c>
      <c r="AY51" s="56" t="s">
        <v>112</v>
      </c>
      <c r="AZ51" s="56" t="s">
        <v>113</v>
      </c>
      <c r="BA51" s="34" t="s">
        <v>114</v>
      </c>
      <c r="BC51" s="54">
        <f>AW51+AX51</f>
        <v>0</v>
      </c>
      <c r="BD51" s="54">
        <f>H51/(100-BE51)*100</f>
        <v>0</v>
      </c>
      <c r="BE51" s="54">
        <v>0</v>
      </c>
      <c r="BF51" s="54">
        <f>L51</f>
        <v>7.0530449999999995E-2</v>
      </c>
      <c r="BH51" s="54">
        <f>G51*AO51</f>
        <v>0</v>
      </c>
      <c r="BI51" s="54">
        <f>G51*AP51</f>
        <v>0</v>
      </c>
      <c r="BJ51" s="54">
        <f>G51*H51</f>
        <v>0</v>
      </c>
      <c r="BK51" s="54"/>
      <c r="BL51" s="54">
        <v>34</v>
      </c>
      <c r="BW51" s="54">
        <v>21</v>
      </c>
      <c r="BX51" s="3" t="s">
        <v>183</v>
      </c>
    </row>
    <row r="52" spans="1:76" ht="14.5" x14ac:dyDescent="0.35">
      <c r="A52" s="57"/>
      <c r="D52" s="58" t="s">
        <v>184</v>
      </c>
      <c r="E52" s="59" t="s">
        <v>185</v>
      </c>
      <c r="G52" s="60">
        <v>4.335</v>
      </c>
      <c r="M52" s="61"/>
    </row>
    <row r="53" spans="1:76" ht="39" x14ac:dyDescent="0.35">
      <c r="A53" s="57"/>
      <c r="C53" s="62" t="s">
        <v>156</v>
      </c>
      <c r="D53" s="211" t="s">
        <v>186</v>
      </c>
      <c r="E53" s="212"/>
      <c r="F53" s="212"/>
      <c r="G53" s="212"/>
      <c r="H53" s="212"/>
      <c r="I53" s="212"/>
      <c r="J53" s="212"/>
      <c r="K53" s="212"/>
      <c r="L53" s="212"/>
      <c r="M53" s="213"/>
      <c r="BX53" s="63" t="s">
        <v>186</v>
      </c>
    </row>
    <row r="54" spans="1:76" ht="14.5" x14ac:dyDescent="0.35">
      <c r="A54" s="1" t="s">
        <v>187</v>
      </c>
      <c r="B54" s="2" t="s">
        <v>103</v>
      </c>
      <c r="C54" s="2" t="s">
        <v>188</v>
      </c>
      <c r="D54" s="155" t="s">
        <v>189</v>
      </c>
      <c r="E54" s="153"/>
      <c r="F54" s="2" t="s">
        <v>110</v>
      </c>
      <c r="G54" s="54">
        <f>'Stavební rozpočet'!G44</f>
        <v>5.59</v>
      </c>
      <c r="H54" s="94">
        <f>'Stavební rozpočet'!H44</f>
        <v>0</v>
      </c>
      <c r="I54" s="54">
        <f>G54*H54</f>
        <v>0</v>
      </c>
      <c r="J54" s="54">
        <f>'Stavební rozpočet'!J44</f>
        <v>2.887E-2</v>
      </c>
      <c r="K54" s="54">
        <f>'Stavební rozpočet'!K44</f>
        <v>0</v>
      </c>
      <c r="L54" s="54">
        <f>G54*J54</f>
        <v>0.16138330000000001</v>
      </c>
      <c r="M54" s="55" t="s">
        <v>111</v>
      </c>
      <c r="Z54" s="54">
        <f>IF(AQ54="5",BJ54,0)</f>
        <v>0</v>
      </c>
      <c r="AB54" s="54">
        <f>IF(AQ54="1",BH54,0)</f>
        <v>0</v>
      </c>
      <c r="AC54" s="54">
        <f>IF(AQ54="1",BI54,0)</f>
        <v>0</v>
      </c>
      <c r="AD54" s="54">
        <f>IF(AQ54="7",BH54,0)</f>
        <v>0</v>
      </c>
      <c r="AE54" s="54">
        <f>IF(AQ54="7",BI54,0)</f>
        <v>0</v>
      </c>
      <c r="AF54" s="54">
        <f>IF(AQ54="2",BH54,0)</f>
        <v>0</v>
      </c>
      <c r="AG54" s="54">
        <f>IF(AQ54="2",BI54,0)</f>
        <v>0</v>
      </c>
      <c r="AH54" s="54">
        <f>IF(AQ54="0",BJ54,0)</f>
        <v>0</v>
      </c>
      <c r="AI54" s="34" t="s">
        <v>103</v>
      </c>
      <c r="AJ54" s="54">
        <f>IF(AN54=0,I54,0)</f>
        <v>0</v>
      </c>
      <c r="AK54" s="54">
        <f>IF(AN54=12,I54,0)</f>
        <v>0</v>
      </c>
      <c r="AL54" s="54">
        <f>IF(AN54=21,I54,0)</f>
        <v>0</v>
      </c>
      <c r="AN54" s="54">
        <v>21</v>
      </c>
      <c r="AO54" s="54">
        <f>H54*0.499573297</f>
        <v>0</v>
      </c>
      <c r="AP54" s="54">
        <f>H54*(1-0.499573297)</f>
        <v>0</v>
      </c>
      <c r="AQ54" s="56" t="s">
        <v>107</v>
      </c>
      <c r="AV54" s="54">
        <f>AW54+AX54</f>
        <v>0</v>
      </c>
      <c r="AW54" s="54">
        <f>G54*AO54</f>
        <v>0</v>
      </c>
      <c r="AX54" s="54">
        <f>G54*AP54</f>
        <v>0</v>
      </c>
      <c r="AY54" s="56" t="s">
        <v>112</v>
      </c>
      <c r="AZ54" s="56" t="s">
        <v>113</v>
      </c>
      <c r="BA54" s="34" t="s">
        <v>114</v>
      </c>
      <c r="BC54" s="54">
        <f>AW54+AX54</f>
        <v>0</v>
      </c>
      <c r="BD54" s="54">
        <f>H54/(100-BE54)*100</f>
        <v>0</v>
      </c>
      <c r="BE54" s="54">
        <v>0</v>
      </c>
      <c r="BF54" s="54">
        <f>L54</f>
        <v>0.16138330000000001</v>
      </c>
      <c r="BH54" s="54">
        <f>G54*AO54</f>
        <v>0</v>
      </c>
      <c r="BI54" s="54">
        <f>G54*AP54</f>
        <v>0</v>
      </c>
      <c r="BJ54" s="54">
        <f>G54*H54</f>
        <v>0</v>
      </c>
      <c r="BK54" s="54"/>
      <c r="BL54" s="54">
        <v>34</v>
      </c>
      <c r="BW54" s="54">
        <v>21</v>
      </c>
      <c r="BX54" s="3" t="s">
        <v>189</v>
      </c>
    </row>
    <row r="55" spans="1:76" ht="14.5" x14ac:dyDescent="0.35">
      <c r="A55" s="57"/>
      <c r="D55" s="58" t="s">
        <v>190</v>
      </c>
      <c r="E55" s="59" t="s">
        <v>191</v>
      </c>
      <c r="G55" s="60">
        <v>5.59</v>
      </c>
      <c r="M55" s="61"/>
    </row>
    <row r="56" spans="1:76" ht="39" x14ac:dyDescent="0.35">
      <c r="A56" s="57"/>
      <c r="C56" s="62" t="s">
        <v>156</v>
      </c>
      <c r="D56" s="211" t="s">
        <v>192</v>
      </c>
      <c r="E56" s="212"/>
      <c r="F56" s="212"/>
      <c r="G56" s="212"/>
      <c r="H56" s="212"/>
      <c r="I56" s="212"/>
      <c r="J56" s="212"/>
      <c r="K56" s="212"/>
      <c r="L56" s="212"/>
      <c r="M56" s="213"/>
      <c r="BX56" s="63" t="s">
        <v>192</v>
      </c>
    </row>
    <row r="57" spans="1:76" ht="14.5" x14ac:dyDescent="0.35">
      <c r="A57" s="1" t="s">
        <v>193</v>
      </c>
      <c r="B57" s="2" t="s">
        <v>103</v>
      </c>
      <c r="C57" s="2" t="s">
        <v>194</v>
      </c>
      <c r="D57" s="155" t="s">
        <v>195</v>
      </c>
      <c r="E57" s="153"/>
      <c r="F57" s="2" t="s">
        <v>196</v>
      </c>
      <c r="G57" s="54">
        <f>'Stavební rozpočet'!G46</f>
        <v>24</v>
      </c>
      <c r="H57" s="94">
        <f>'Stavební rozpočet'!H46</f>
        <v>0</v>
      </c>
      <c r="I57" s="54">
        <f>G57*H57</f>
        <v>0</v>
      </c>
      <c r="J57" s="54">
        <f>'Stavební rozpočet'!J46</f>
        <v>7.3200000000000001E-3</v>
      </c>
      <c r="K57" s="54">
        <f>'Stavební rozpočet'!K46</f>
        <v>0</v>
      </c>
      <c r="L57" s="54">
        <f>G57*J57</f>
        <v>0.17568</v>
      </c>
      <c r="M57" s="55" t="s">
        <v>111</v>
      </c>
      <c r="Z57" s="54">
        <f>IF(AQ57="5",BJ57,0)</f>
        <v>0</v>
      </c>
      <c r="AB57" s="54">
        <f>IF(AQ57="1",BH57,0)</f>
        <v>0</v>
      </c>
      <c r="AC57" s="54">
        <f>IF(AQ57="1",BI57,0)</f>
        <v>0</v>
      </c>
      <c r="AD57" s="54">
        <f>IF(AQ57="7",BH57,0)</f>
        <v>0</v>
      </c>
      <c r="AE57" s="54">
        <f>IF(AQ57="7",BI57,0)</f>
        <v>0</v>
      </c>
      <c r="AF57" s="54">
        <f>IF(AQ57="2",BH57,0)</f>
        <v>0</v>
      </c>
      <c r="AG57" s="54">
        <f>IF(AQ57="2",BI57,0)</f>
        <v>0</v>
      </c>
      <c r="AH57" s="54">
        <f>IF(AQ57="0",BJ57,0)</f>
        <v>0</v>
      </c>
      <c r="AI57" s="34" t="s">
        <v>103</v>
      </c>
      <c r="AJ57" s="54">
        <f>IF(AN57=0,I57,0)</f>
        <v>0</v>
      </c>
      <c r="AK57" s="54">
        <f>IF(AN57=12,I57,0)</f>
        <v>0</v>
      </c>
      <c r="AL57" s="54">
        <f>IF(AN57=21,I57,0)</f>
        <v>0</v>
      </c>
      <c r="AN57" s="54">
        <v>21</v>
      </c>
      <c r="AO57" s="54">
        <f>H57*0.904</f>
        <v>0</v>
      </c>
      <c r="AP57" s="54">
        <f>H57*(1-0.904)</f>
        <v>0</v>
      </c>
      <c r="AQ57" s="56" t="s">
        <v>107</v>
      </c>
      <c r="AV57" s="54">
        <f>AW57+AX57</f>
        <v>0</v>
      </c>
      <c r="AW57" s="54">
        <f>G57*AO57</f>
        <v>0</v>
      </c>
      <c r="AX57" s="54">
        <f>G57*AP57</f>
        <v>0</v>
      </c>
      <c r="AY57" s="56" t="s">
        <v>112</v>
      </c>
      <c r="AZ57" s="56" t="s">
        <v>113</v>
      </c>
      <c r="BA57" s="34" t="s">
        <v>114</v>
      </c>
      <c r="BC57" s="54">
        <f>AW57+AX57</f>
        <v>0</v>
      </c>
      <c r="BD57" s="54">
        <f>H57/(100-BE57)*100</f>
        <v>0</v>
      </c>
      <c r="BE57" s="54">
        <v>0</v>
      </c>
      <c r="BF57" s="54">
        <f>L57</f>
        <v>0.17568</v>
      </c>
      <c r="BH57" s="54">
        <f>G57*AO57</f>
        <v>0</v>
      </c>
      <c r="BI57" s="54">
        <f>G57*AP57</f>
        <v>0</v>
      </c>
      <c r="BJ57" s="54">
        <f>G57*H57</f>
        <v>0</v>
      </c>
      <c r="BK57" s="54"/>
      <c r="BL57" s="54">
        <v>34</v>
      </c>
      <c r="BW57" s="54">
        <v>21</v>
      </c>
      <c r="BX57" s="3" t="s">
        <v>195</v>
      </c>
    </row>
    <row r="58" spans="1:76" ht="135" customHeight="1" x14ac:dyDescent="0.35">
      <c r="A58" s="57"/>
      <c r="C58" s="62" t="s">
        <v>122</v>
      </c>
      <c r="D58" s="214" t="s">
        <v>197</v>
      </c>
      <c r="E58" s="215"/>
      <c r="F58" s="215"/>
      <c r="G58" s="215"/>
      <c r="H58" s="215"/>
      <c r="I58" s="215"/>
      <c r="J58" s="215"/>
      <c r="K58" s="215"/>
      <c r="L58" s="215"/>
      <c r="M58" s="216"/>
    </row>
    <row r="59" spans="1:76" ht="14.5" x14ac:dyDescent="0.35">
      <c r="A59" s="57"/>
      <c r="D59" s="58" t="s">
        <v>198</v>
      </c>
      <c r="E59" s="59" t="s">
        <v>199</v>
      </c>
      <c r="G59" s="60">
        <v>24</v>
      </c>
      <c r="M59" s="61"/>
    </row>
    <row r="60" spans="1:76" ht="26" x14ac:dyDescent="0.35">
      <c r="A60" s="57"/>
      <c r="C60" s="62" t="s">
        <v>156</v>
      </c>
      <c r="D60" s="211" t="s">
        <v>200</v>
      </c>
      <c r="E60" s="212"/>
      <c r="F60" s="212"/>
      <c r="G60" s="212"/>
      <c r="H60" s="212"/>
      <c r="I60" s="212"/>
      <c r="J60" s="212"/>
      <c r="K60" s="212"/>
      <c r="L60" s="212"/>
      <c r="M60" s="213"/>
      <c r="BX60" s="63" t="s">
        <v>200</v>
      </c>
    </row>
    <row r="61" spans="1:76" ht="14.5" x14ac:dyDescent="0.35">
      <c r="A61" s="50" t="s">
        <v>10</v>
      </c>
      <c r="B61" s="51" t="s">
        <v>103</v>
      </c>
      <c r="C61" s="51" t="s">
        <v>201</v>
      </c>
      <c r="D61" s="206" t="s">
        <v>202</v>
      </c>
      <c r="E61" s="207"/>
      <c r="F61" s="52" t="s">
        <v>84</v>
      </c>
      <c r="G61" s="52" t="s">
        <v>84</v>
      </c>
      <c r="H61" s="52" t="s">
        <v>84</v>
      </c>
      <c r="I61" s="27">
        <f>SUM(I62:I92)</f>
        <v>0</v>
      </c>
      <c r="J61" s="34" t="s">
        <v>10</v>
      </c>
      <c r="K61" s="34" t="s">
        <v>10</v>
      </c>
      <c r="L61" s="27">
        <f>SUM(L62:L92)</f>
        <v>2.2973348000000002</v>
      </c>
      <c r="M61" s="53" t="s">
        <v>10</v>
      </c>
      <c r="AI61" s="34" t="s">
        <v>103</v>
      </c>
      <c r="AS61" s="27">
        <f>SUM(AJ62:AJ92)</f>
        <v>0</v>
      </c>
      <c r="AT61" s="27">
        <f>SUM(AK62:AK92)</f>
        <v>0</v>
      </c>
      <c r="AU61" s="27">
        <f>SUM(AL62:AL92)</f>
        <v>0</v>
      </c>
    </row>
    <row r="62" spans="1:76" ht="14.5" x14ac:dyDescent="0.35">
      <c r="A62" s="1" t="s">
        <v>203</v>
      </c>
      <c r="B62" s="2" t="s">
        <v>103</v>
      </c>
      <c r="C62" s="2" t="s">
        <v>204</v>
      </c>
      <c r="D62" s="155" t="s">
        <v>205</v>
      </c>
      <c r="E62" s="153"/>
      <c r="F62" s="2" t="s">
        <v>110</v>
      </c>
      <c r="G62" s="54">
        <f>'Stavební rozpočet'!G49</f>
        <v>51.12</v>
      </c>
      <c r="H62" s="94">
        <f>'Stavební rozpočet'!H49</f>
        <v>0</v>
      </c>
      <c r="I62" s="54">
        <f>G62*H62</f>
        <v>0</v>
      </c>
      <c r="J62" s="54">
        <f>'Stavební rozpočet'!J49</f>
        <v>1.1690000000000001E-2</v>
      </c>
      <c r="K62" s="54">
        <f>'Stavební rozpočet'!K49</f>
        <v>0</v>
      </c>
      <c r="L62" s="54">
        <f>G62*J62</f>
        <v>0.59759280000000004</v>
      </c>
      <c r="M62" s="55" t="s">
        <v>111</v>
      </c>
      <c r="Z62" s="54">
        <f>IF(AQ62="5",BJ62,0)</f>
        <v>0</v>
      </c>
      <c r="AB62" s="54">
        <f>IF(AQ62="1",BH62,0)</f>
        <v>0</v>
      </c>
      <c r="AC62" s="54">
        <f>IF(AQ62="1",BI62,0)</f>
        <v>0</v>
      </c>
      <c r="AD62" s="54">
        <f>IF(AQ62="7",BH62,0)</f>
        <v>0</v>
      </c>
      <c r="AE62" s="54">
        <f>IF(AQ62="7",BI62,0)</f>
        <v>0</v>
      </c>
      <c r="AF62" s="54">
        <f>IF(AQ62="2",BH62,0)</f>
        <v>0</v>
      </c>
      <c r="AG62" s="54">
        <f>IF(AQ62="2",BI62,0)</f>
        <v>0</v>
      </c>
      <c r="AH62" s="54">
        <f>IF(AQ62="0",BJ62,0)</f>
        <v>0</v>
      </c>
      <c r="AI62" s="34" t="s">
        <v>103</v>
      </c>
      <c r="AJ62" s="54">
        <f>IF(AN62=0,I62,0)</f>
        <v>0</v>
      </c>
      <c r="AK62" s="54">
        <f>IF(AN62=12,I62,0)</f>
        <v>0</v>
      </c>
      <c r="AL62" s="54">
        <f>IF(AN62=21,I62,0)</f>
        <v>0</v>
      </c>
      <c r="AN62" s="54">
        <v>21</v>
      </c>
      <c r="AO62" s="54">
        <f>H62*0.317060669</f>
        <v>0</v>
      </c>
      <c r="AP62" s="54">
        <f>H62*(1-0.317060669)</f>
        <v>0</v>
      </c>
      <c r="AQ62" s="56" t="s">
        <v>107</v>
      </c>
      <c r="AV62" s="54">
        <f>AW62+AX62</f>
        <v>0</v>
      </c>
      <c r="AW62" s="54">
        <f>G62*AO62</f>
        <v>0</v>
      </c>
      <c r="AX62" s="54">
        <f>G62*AP62</f>
        <v>0</v>
      </c>
      <c r="AY62" s="56" t="s">
        <v>206</v>
      </c>
      <c r="AZ62" s="56" t="s">
        <v>207</v>
      </c>
      <c r="BA62" s="34" t="s">
        <v>114</v>
      </c>
      <c r="BC62" s="54">
        <f>AW62+AX62</f>
        <v>0</v>
      </c>
      <c r="BD62" s="54">
        <f>H62/(100-BE62)*100</f>
        <v>0</v>
      </c>
      <c r="BE62" s="54">
        <v>0</v>
      </c>
      <c r="BF62" s="54">
        <f>L62</f>
        <v>0.59759280000000004</v>
      </c>
      <c r="BH62" s="54">
        <f>G62*AO62</f>
        <v>0</v>
      </c>
      <c r="BI62" s="54">
        <f>G62*AP62</f>
        <v>0</v>
      </c>
      <c r="BJ62" s="54">
        <f>G62*H62</f>
        <v>0</v>
      </c>
      <c r="BK62" s="54"/>
      <c r="BL62" s="54">
        <v>41</v>
      </c>
      <c r="BW62" s="54">
        <v>21</v>
      </c>
      <c r="BX62" s="3" t="s">
        <v>205</v>
      </c>
    </row>
    <row r="63" spans="1:76" ht="14.5" x14ac:dyDescent="0.35">
      <c r="A63" s="57"/>
      <c r="D63" s="58" t="s">
        <v>208</v>
      </c>
      <c r="E63" s="59" t="s">
        <v>209</v>
      </c>
      <c r="G63" s="60">
        <v>0</v>
      </c>
      <c r="M63" s="61"/>
    </row>
    <row r="64" spans="1:76" ht="26" x14ac:dyDescent="0.35">
      <c r="A64" s="57"/>
      <c r="C64" s="62" t="s">
        <v>156</v>
      </c>
      <c r="D64" s="211" t="s">
        <v>210</v>
      </c>
      <c r="E64" s="212"/>
      <c r="F64" s="212"/>
      <c r="G64" s="212"/>
      <c r="H64" s="212"/>
      <c r="I64" s="212"/>
      <c r="J64" s="212"/>
      <c r="K64" s="212"/>
      <c r="L64" s="212"/>
      <c r="M64" s="213"/>
      <c r="BX64" s="63" t="s">
        <v>210</v>
      </c>
    </row>
    <row r="65" spans="1:76" ht="14.5" x14ac:dyDescent="0.35">
      <c r="A65" s="57"/>
      <c r="D65" s="58" t="s">
        <v>211</v>
      </c>
      <c r="E65" s="59" t="s">
        <v>212</v>
      </c>
      <c r="G65" s="60">
        <v>51.12</v>
      </c>
      <c r="M65" s="61"/>
    </row>
    <row r="66" spans="1:76" ht="26" x14ac:dyDescent="0.35">
      <c r="A66" s="57"/>
      <c r="C66" s="62" t="s">
        <v>156</v>
      </c>
      <c r="D66" s="211" t="s">
        <v>210</v>
      </c>
      <c r="E66" s="212"/>
      <c r="F66" s="212"/>
      <c r="G66" s="212"/>
      <c r="H66" s="212"/>
      <c r="I66" s="212"/>
      <c r="J66" s="212"/>
      <c r="K66" s="212"/>
      <c r="L66" s="212"/>
      <c r="M66" s="213"/>
      <c r="BX66" s="63" t="s">
        <v>210</v>
      </c>
    </row>
    <row r="67" spans="1:76" ht="14.5" x14ac:dyDescent="0.35">
      <c r="A67" s="1" t="s">
        <v>213</v>
      </c>
      <c r="B67" s="2" t="s">
        <v>103</v>
      </c>
      <c r="C67" s="2" t="s">
        <v>214</v>
      </c>
      <c r="D67" s="155" t="s">
        <v>215</v>
      </c>
      <c r="E67" s="153"/>
      <c r="F67" s="2" t="s">
        <v>110</v>
      </c>
      <c r="G67" s="54">
        <f>'Stavební rozpočet'!G52</f>
        <v>61.68</v>
      </c>
      <c r="H67" s="94">
        <f>'Stavební rozpočet'!H52</f>
        <v>0</v>
      </c>
      <c r="I67" s="54">
        <f>G67*H67</f>
        <v>0</v>
      </c>
      <c r="J67" s="54">
        <f>'Stavební rozpočet'!J52</f>
        <v>1.201E-2</v>
      </c>
      <c r="K67" s="54">
        <f>'Stavební rozpočet'!K52</f>
        <v>0</v>
      </c>
      <c r="L67" s="54">
        <f>G67*J67</f>
        <v>0.74077680000000001</v>
      </c>
      <c r="M67" s="55" t="s">
        <v>111</v>
      </c>
      <c r="Z67" s="54">
        <f>IF(AQ67="5",BJ67,0)</f>
        <v>0</v>
      </c>
      <c r="AB67" s="54">
        <f>IF(AQ67="1",BH67,0)</f>
        <v>0</v>
      </c>
      <c r="AC67" s="54">
        <f>IF(AQ67="1",BI67,0)</f>
        <v>0</v>
      </c>
      <c r="AD67" s="54">
        <f>IF(AQ67="7",BH67,0)</f>
        <v>0</v>
      </c>
      <c r="AE67" s="54">
        <f>IF(AQ67="7",BI67,0)</f>
        <v>0</v>
      </c>
      <c r="AF67" s="54">
        <f>IF(AQ67="2",BH67,0)</f>
        <v>0</v>
      </c>
      <c r="AG67" s="54">
        <f>IF(AQ67="2",BI67,0)</f>
        <v>0</v>
      </c>
      <c r="AH67" s="54">
        <f>IF(AQ67="0",BJ67,0)</f>
        <v>0</v>
      </c>
      <c r="AI67" s="34" t="s">
        <v>103</v>
      </c>
      <c r="AJ67" s="54">
        <f>IF(AN67=0,I67,0)</f>
        <v>0</v>
      </c>
      <c r="AK67" s="54">
        <f>IF(AN67=12,I67,0)</f>
        <v>0</v>
      </c>
      <c r="AL67" s="54">
        <f>IF(AN67=21,I67,0)</f>
        <v>0</v>
      </c>
      <c r="AN67" s="54">
        <v>21</v>
      </c>
      <c r="AO67" s="54">
        <f>H67*0.364274586</f>
        <v>0</v>
      </c>
      <c r="AP67" s="54">
        <f>H67*(1-0.364274586)</f>
        <v>0</v>
      </c>
      <c r="AQ67" s="56" t="s">
        <v>107</v>
      </c>
      <c r="AV67" s="54">
        <f>AW67+AX67</f>
        <v>0</v>
      </c>
      <c r="AW67" s="54">
        <f>G67*AO67</f>
        <v>0</v>
      </c>
      <c r="AX67" s="54">
        <f>G67*AP67</f>
        <v>0</v>
      </c>
      <c r="AY67" s="56" t="s">
        <v>206</v>
      </c>
      <c r="AZ67" s="56" t="s">
        <v>207</v>
      </c>
      <c r="BA67" s="34" t="s">
        <v>114</v>
      </c>
      <c r="BC67" s="54">
        <f>AW67+AX67</f>
        <v>0</v>
      </c>
      <c r="BD67" s="54">
        <f>H67/(100-BE67)*100</f>
        <v>0</v>
      </c>
      <c r="BE67" s="54">
        <v>0</v>
      </c>
      <c r="BF67" s="54">
        <f>L67</f>
        <v>0.74077680000000001</v>
      </c>
      <c r="BH67" s="54">
        <f>G67*AO67</f>
        <v>0</v>
      </c>
      <c r="BI67" s="54">
        <f>G67*AP67</f>
        <v>0</v>
      </c>
      <c r="BJ67" s="54">
        <f>G67*H67</f>
        <v>0</v>
      </c>
      <c r="BK67" s="54"/>
      <c r="BL67" s="54">
        <v>41</v>
      </c>
      <c r="BW67" s="54">
        <v>21</v>
      </c>
      <c r="BX67" s="3" t="s">
        <v>215</v>
      </c>
    </row>
    <row r="68" spans="1:76" ht="14.5" x14ac:dyDescent="0.35">
      <c r="A68" s="57"/>
      <c r="D68" s="58" t="s">
        <v>208</v>
      </c>
      <c r="E68" s="59" t="s">
        <v>216</v>
      </c>
      <c r="G68" s="60">
        <v>0</v>
      </c>
      <c r="M68" s="61"/>
    </row>
    <row r="69" spans="1:76" ht="26" x14ac:dyDescent="0.35">
      <c r="A69" s="57"/>
      <c r="C69" s="62" t="s">
        <v>156</v>
      </c>
      <c r="D69" s="211" t="s">
        <v>217</v>
      </c>
      <c r="E69" s="212"/>
      <c r="F69" s="212"/>
      <c r="G69" s="212"/>
      <c r="H69" s="212"/>
      <c r="I69" s="212"/>
      <c r="J69" s="212"/>
      <c r="K69" s="212"/>
      <c r="L69" s="212"/>
      <c r="M69" s="213"/>
      <c r="BX69" s="63" t="s">
        <v>217</v>
      </c>
    </row>
    <row r="70" spans="1:76" ht="14.5" x14ac:dyDescent="0.35">
      <c r="A70" s="57"/>
      <c r="D70" s="58" t="s">
        <v>218</v>
      </c>
      <c r="E70" s="59" t="s">
        <v>219</v>
      </c>
      <c r="G70" s="60">
        <v>61.68</v>
      </c>
      <c r="M70" s="61"/>
    </row>
    <row r="71" spans="1:76" ht="26" x14ac:dyDescent="0.35">
      <c r="A71" s="57"/>
      <c r="C71" s="62" t="s">
        <v>156</v>
      </c>
      <c r="D71" s="211" t="s">
        <v>217</v>
      </c>
      <c r="E71" s="212"/>
      <c r="F71" s="212"/>
      <c r="G71" s="212"/>
      <c r="H71" s="212"/>
      <c r="I71" s="212"/>
      <c r="J71" s="212"/>
      <c r="K71" s="212"/>
      <c r="L71" s="212"/>
      <c r="M71" s="213"/>
      <c r="BX71" s="63" t="s">
        <v>217</v>
      </c>
    </row>
    <row r="72" spans="1:76" ht="14.5" x14ac:dyDescent="0.35">
      <c r="A72" s="1" t="s">
        <v>220</v>
      </c>
      <c r="B72" s="2" t="s">
        <v>103</v>
      </c>
      <c r="C72" s="2" t="s">
        <v>221</v>
      </c>
      <c r="D72" s="155" t="s">
        <v>222</v>
      </c>
      <c r="E72" s="153"/>
      <c r="F72" s="2" t="s">
        <v>110</v>
      </c>
      <c r="G72" s="54">
        <f>'Stavební rozpočet'!G55</f>
        <v>112.8</v>
      </c>
      <c r="H72" s="94">
        <f>'Stavební rozpočet'!H55</f>
        <v>0</v>
      </c>
      <c r="I72" s="54">
        <f>G72*H72</f>
        <v>0</v>
      </c>
      <c r="J72" s="54">
        <f>'Stavební rozpočet'!J55</f>
        <v>0</v>
      </c>
      <c r="K72" s="54">
        <f>'Stavební rozpočet'!K55</f>
        <v>0</v>
      </c>
      <c r="L72" s="54">
        <f>G72*J72</f>
        <v>0</v>
      </c>
      <c r="M72" s="55" t="s">
        <v>111</v>
      </c>
      <c r="Z72" s="54">
        <f>IF(AQ72="5",BJ72,0)</f>
        <v>0</v>
      </c>
      <c r="AB72" s="54">
        <f>IF(AQ72="1",BH72,0)</f>
        <v>0</v>
      </c>
      <c r="AC72" s="54">
        <f>IF(AQ72="1",BI72,0)</f>
        <v>0</v>
      </c>
      <c r="AD72" s="54">
        <f>IF(AQ72="7",BH72,0)</f>
        <v>0</v>
      </c>
      <c r="AE72" s="54">
        <f>IF(AQ72="7",BI72,0)</f>
        <v>0</v>
      </c>
      <c r="AF72" s="54">
        <f>IF(AQ72="2",BH72,0)</f>
        <v>0</v>
      </c>
      <c r="AG72" s="54">
        <f>IF(AQ72="2",BI72,0)</f>
        <v>0</v>
      </c>
      <c r="AH72" s="54">
        <f>IF(AQ72="0",BJ72,0)</f>
        <v>0</v>
      </c>
      <c r="AI72" s="34" t="s">
        <v>103</v>
      </c>
      <c r="AJ72" s="54">
        <f>IF(AN72=0,I72,0)</f>
        <v>0</v>
      </c>
      <c r="AK72" s="54">
        <f>IF(AN72=12,I72,0)</f>
        <v>0</v>
      </c>
      <c r="AL72" s="54">
        <f>IF(AN72=21,I72,0)</f>
        <v>0</v>
      </c>
      <c r="AN72" s="54">
        <v>21</v>
      </c>
      <c r="AO72" s="54">
        <f>H72*0</f>
        <v>0</v>
      </c>
      <c r="AP72" s="54">
        <f>H72*(1-0)</f>
        <v>0</v>
      </c>
      <c r="AQ72" s="56" t="s">
        <v>107</v>
      </c>
      <c r="AV72" s="54">
        <f>AW72+AX72</f>
        <v>0</v>
      </c>
      <c r="AW72" s="54">
        <f>G72*AO72</f>
        <v>0</v>
      </c>
      <c r="AX72" s="54">
        <f>G72*AP72</f>
        <v>0</v>
      </c>
      <c r="AY72" s="56" t="s">
        <v>206</v>
      </c>
      <c r="AZ72" s="56" t="s">
        <v>207</v>
      </c>
      <c r="BA72" s="34" t="s">
        <v>114</v>
      </c>
      <c r="BC72" s="54">
        <f>AW72+AX72</f>
        <v>0</v>
      </c>
      <c r="BD72" s="54">
        <f>H72/(100-BE72)*100</f>
        <v>0</v>
      </c>
      <c r="BE72" s="54">
        <v>0</v>
      </c>
      <c r="BF72" s="54">
        <f>L72</f>
        <v>0</v>
      </c>
      <c r="BH72" s="54">
        <f>G72*AO72</f>
        <v>0</v>
      </c>
      <c r="BI72" s="54">
        <f>G72*AP72</f>
        <v>0</v>
      </c>
      <c r="BJ72" s="54">
        <f>G72*H72</f>
        <v>0</v>
      </c>
      <c r="BK72" s="54"/>
      <c r="BL72" s="54">
        <v>41</v>
      </c>
      <c r="BW72" s="54">
        <v>21</v>
      </c>
      <c r="BX72" s="3" t="s">
        <v>222</v>
      </c>
    </row>
    <row r="73" spans="1:76" ht="13.5" customHeight="1" x14ac:dyDescent="0.35">
      <c r="A73" s="57"/>
      <c r="C73" s="62" t="s">
        <v>122</v>
      </c>
      <c r="D73" s="214" t="s">
        <v>223</v>
      </c>
      <c r="E73" s="215"/>
      <c r="F73" s="215"/>
      <c r="G73" s="215"/>
      <c r="H73" s="215"/>
      <c r="I73" s="215"/>
      <c r="J73" s="215"/>
      <c r="K73" s="215"/>
      <c r="L73" s="215"/>
      <c r="M73" s="216"/>
    </row>
    <row r="74" spans="1:76" ht="14.5" x14ac:dyDescent="0.35">
      <c r="A74" s="57"/>
      <c r="D74" s="58" t="s">
        <v>218</v>
      </c>
      <c r="E74" s="59" t="s">
        <v>224</v>
      </c>
      <c r="G74" s="60">
        <v>61.68</v>
      </c>
      <c r="M74" s="61"/>
    </row>
    <row r="75" spans="1:76" ht="39" x14ac:dyDescent="0.35">
      <c r="A75" s="57"/>
      <c r="C75" s="62" t="s">
        <v>156</v>
      </c>
      <c r="D75" s="211" t="s">
        <v>225</v>
      </c>
      <c r="E75" s="212"/>
      <c r="F75" s="212"/>
      <c r="G75" s="212"/>
      <c r="H75" s="212"/>
      <c r="I75" s="212"/>
      <c r="J75" s="212"/>
      <c r="K75" s="212"/>
      <c r="L75" s="212"/>
      <c r="M75" s="213"/>
      <c r="BX75" s="63" t="s">
        <v>225</v>
      </c>
    </row>
    <row r="76" spans="1:76" ht="14.5" x14ac:dyDescent="0.35">
      <c r="A76" s="57"/>
      <c r="D76" s="58" t="s">
        <v>211</v>
      </c>
      <c r="E76" s="59" t="s">
        <v>212</v>
      </c>
      <c r="G76" s="60">
        <v>51.12</v>
      </c>
      <c r="M76" s="61"/>
    </row>
    <row r="77" spans="1:76" ht="39" x14ac:dyDescent="0.35">
      <c r="A77" s="57"/>
      <c r="C77" s="62" t="s">
        <v>156</v>
      </c>
      <c r="D77" s="211" t="s">
        <v>225</v>
      </c>
      <c r="E77" s="212"/>
      <c r="F77" s="212"/>
      <c r="G77" s="212"/>
      <c r="H77" s="212"/>
      <c r="I77" s="212"/>
      <c r="J77" s="212"/>
      <c r="K77" s="212"/>
      <c r="L77" s="212"/>
      <c r="M77" s="213"/>
      <c r="BX77" s="63" t="s">
        <v>225</v>
      </c>
    </row>
    <row r="78" spans="1:76" ht="25" x14ac:dyDescent="0.35">
      <c r="A78" s="1" t="s">
        <v>226</v>
      </c>
      <c r="B78" s="2" t="s">
        <v>103</v>
      </c>
      <c r="C78" s="2" t="s">
        <v>227</v>
      </c>
      <c r="D78" s="155" t="s">
        <v>228</v>
      </c>
      <c r="E78" s="153"/>
      <c r="F78" s="2" t="s">
        <v>153</v>
      </c>
      <c r="G78" s="54">
        <f>'Stavební rozpočet'!G58</f>
        <v>308.64</v>
      </c>
      <c r="H78" s="94">
        <f>'Stavební rozpočet'!H58</f>
        <v>0</v>
      </c>
      <c r="I78" s="54">
        <f>G78*H78</f>
        <v>0</v>
      </c>
      <c r="J78" s="54">
        <f>'Stavební rozpočet'!J58</f>
        <v>1.3999999999999999E-4</v>
      </c>
      <c r="K78" s="54">
        <f>'Stavební rozpočet'!K58</f>
        <v>0</v>
      </c>
      <c r="L78" s="54">
        <f>G78*J78</f>
        <v>4.3209599999999994E-2</v>
      </c>
      <c r="M78" s="55" t="s">
        <v>111</v>
      </c>
      <c r="Z78" s="54">
        <f>IF(AQ78="5",BJ78,0)</f>
        <v>0</v>
      </c>
      <c r="AB78" s="54">
        <f>IF(AQ78="1",BH78,0)</f>
        <v>0</v>
      </c>
      <c r="AC78" s="54">
        <f>IF(AQ78="1",BI78,0)</f>
        <v>0</v>
      </c>
      <c r="AD78" s="54">
        <f>IF(AQ78="7",BH78,0)</f>
        <v>0</v>
      </c>
      <c r="AE78" s="54">
        <f>IF(AQ78="7",BI78,0)</f>
        <v>0</v>
      </c>
      <c r="AF78" s="54">
        <f>IF(AQ78="2",BH78,0)</f>
        <v>0</v>
      </c>
      <c r="AG78" s="54">
        <f>IF(AQ78="2",BI78,0)</f>
        <v>0</v>
      </c>
      <c r="AH78" s="54">
        <f>IF(AQ78="0",BJ78,0)</f>
        <v>0</v>
      </c>
      <c r="AI78" s="34" t="s">
        <v>103</v>
      </c>
      <c r="AJ78" s="54">
        <f>IF(AN78=0,I78,0)</f>
        <v>0</v>
      </c>
      <c r="AK78" s="54">
        <f>IF(AN78=12,I78,0)</f>
        <v>0</v>
      </c>
      <c r="AL78" s="54">
        <f>IF(AN78=21,I78,0)</f>
        <v>0</v>
      </c>
      <c r="AN78" s="54">
        <v>21</v>
      </c>
      <c r="AO78" s="54">
        <f>H78*0.392101146</f>
        <v>0</v>
      </c>
      <c r="AP78" s="54">
        <f>H78*(1-0.392101146)</f>
        <v>0</v>
      </c>
      <c r="AQ78" s="56" t="s">
        <v>107</v>
      </c>
      <c r="AV78" s="54">
        <f>AW78+AX78</f>
        <v>0</v>
      </c>
      <c r="AW78" s="54">
        <f>G78*AO78</f>
        <v>0</v>
      </c>
      <c r="AX78" s="54">
        <f>G78*AP78</f>
        <v>0</v>
      </c>
      <c r="AY78" s="56" t="s">
        <v>206</v>
      </c>
      <c r="AZ78" s="56" t="s">
        <v>207</v>
      </c>
      <c r="BA78" s="34" t="s">
        <v>114</v>
      </c>
      <c r="BC78" s="54">
        <f>AW78+AX78</f>
        <v>0</v>
      </c>
      <c r="BD78" s="54">
        <f>H78/(100-BE78)*100</f>
        <v>0</v>
      </c>
      <c r="BE78" s="54">
        <v>0</v>
      </c>
      <c r="BF78" s="54">
        <f>L78</f>
        <v>4.3209599999999994E-2</v>
      </c>
      <c r="BH78" s="54">
        <f>G78*AO78</f>
        <v>0</v>
      </c>
      <c r="BI78" s="54">
        <f>G78*AP78</f>
        <v>0</v>
      </c>
      <c r="BJ78" s="54">
        <f>G78*H78</f>
        <v>0</v>
      </c>
      <c r="BK78" s="54"/>
      <c r="BL78" s="54">
        <v>41</v>
      </c>
      <c r="BW78" s="54">
        <v>21</v>
      </c>
      <c r="BX78" s="3" t="s">
        <v>228</v>
      </c>
    </row>
    <row r="79" spans="1:76" ht="13.5" customHeight="1" x14ac:dyDescent="0.35">
      <c r="A79" s="57"/>
      <c r="C79" s="62" t="s">
        <v>122</v>
      </c>
      <c r="D79" s="214" t="s">
        <v>229</v>
      </c>
      <c r="E79" s="215"/>
      <c r="F79" s="215"/>
      <c r="G79" s="215"/>
      <c r="H79" s="215"/>
      <c r="I79" s="215"/>
      <c r="J79" s="215"/>
      <c r="K79" s="215"/>
      <c r="L79" s="215"/>
      <c r="M79" s="216"/>
    </row>
    <row r="80" spans="1:76" ht="14.5" x14ac:dyDescent="0.35">
      <c r="A80" s="57"/>
      <c r="D80" s="58" t="s">
        <v>230</v>
      </c>
      <c r="E80" s="59" t="s">
        <v>231</v>
      </c>
      <c r="G80" s="60">
        <v>141.36000000000001</v>
      </c>
      <c r="M80" s="61"/>
    </row>
    <row r="81" spans="1:76" ht="14.5" x14ac:dyDescent="0.35">
      <c r="A81" s="57"/>
      <c r="D81" s="58" t="s">
        <v>232</v>
      </c>
      <c r="E81" s="59" t="s">
        <v>233</v>
      </c>
      <c r="G81" s="60">
        <v>167.28</v>
      </c>
      <c r="M81" s="61"/>
    </row>
    <row r="82" spans="1:76" ht="14.5" x14ac:dyDescent="0.35">
      <c r="A82" s="1" t="s">
        <v>234</v>
      </c>
      <c r="B82" s="2" t="s">
        <v>103</v>
      </c>
      <c r="C82" s="2" t="s">
        <v>235</v>
      </c>
      <c r="D82" s="155" t="s">
        <v>236</v>
      </c>
      <c r="E82" s="153"/>
      <c r="F82" s="2" t="s">
        <v>110</v>
      </c>
      <c r="G82" s="54">
        <f>'Stavební rozpočet'!G61</f>
        <v>43.56</v>
      </c>
      <c r="H82" s="94">
        <f>'Stavební rozpočet'!H61</f>
        <v>0</v>
      </c>
      <c r="I82" s="54">
        <f>G82*H82</f>
        <v>0</v>
      </c>
      <c r="J82" s="54">
        <f>'Stavební rozpočet'!J61</f>
        <v>9.6500000000000006E-3</v>
      </c>
      <c r="K82" s="54">
        <f>'Stavební rozpočet'!K61</f>
        <v>0</v>
      </c>
      <c r="L82" s="54">
        <f>G82*J82</f>
        <v>0.42035400000000006</v>
      </c>
      <c r="M82" s="55" t="s">
        <v>111</v>
      </c>
      <c r="Z82" s="54">
        <f>IF(AQ82="5",BJ82,0)</f>
        <v>0</v>
      </c>
      <c r="AB82" s="54">
        <f>IF(AQ82="1",BH82,0)</f>
        <v>0</v>
      </c>
      <c r="AC82" s="54">
        <f>IF(AQ82="1",BI82,0)</f>
        <v>0</v>
      </c>
      <c r="AD82" s="54">
        <f>IF(AQ82="7",BH82,0)</f>
        <v>0</v>
      </c>
      <c r="AE82" s="54">
        <f>IF(AQ82="7",BI82,0)</f>
        <v>0</v>
      </c>
      <c r="AF82" s="54">
        <f>IF(AQ82="2",BH82,0)</f>
        <v>0</v>
      </c>
      <c r="AG82" s="54">
        <f>IF(AQ82="2",BI82,0)</f>
        <v>0</v>
      </c>
      <c r="AH82" s="54">
        <f>IF(AQ82="0",BJ82,0)</f>
        <v>0</v>
      </c>
      <c r="AI82" s="34" t="s">
        <v>103</v>
      </c>
      <c r="AJ82" s="54">
        <f>IF(AN82=0,I82,0)</f>
        <v>0</v>
      </c>
      <c r="AK82" s="54">
        <f>IF(AN82=12,I82,0)</f>
        <v>0</v>
      </c>
      <c r="AL82" s="54">
        <f>IF(AN82=21,I82,0)</f>
        <v>0</v>
      </c>
      <c r="AN82" s="54">
        <v>21</v>
      </c>
      <c r="AO82" s="54">
        <f>H82*0.776287657</f>
        <v>0</v>
      </c>
      <c r="AP82" s="54">
        <f>H82*(1-0.776287657)</f>
        <v>0</v>
      </c>
      <c r="AQ82" s="56" t="s">
        <v>107</v>
      </c>
      <c r="AV82" s="54">
        <f>AW82+AX82</f>
        <v>0</v>
      </c>
      <c r="AW82" s="54">
        <f>G82*AO82</f>
        <v>0</v>
      </c>
      <c r="AX82" s="54">
        <f>G82*AP82</f>
        <v>0</v>
      </c>
      <c r="AY82" s="56" t="s">
        <v>206</v>
      </c>
      <c r="AZ82" s="56" t="s">
        <v>207</v>
      </c>
      <c r="BA82" s="34" t="s">
        <v>114</v>
      </c>
      <c r="BC82" s="54">
        <f>AW82+AX82</f>
        <v>0</v>
      </c>
      <c r="BD82" s="54">
        <f>H82/(100-BE82)*100</f>
        <v>0</v>
      </c>
      <c r="BE82" s="54">
        <v>0</v>
      </c>
      <c r="BF82" s="54">
        <f>L82</f>
        <v>0.42035400000000006</v>
      </c>
      <c r="BH82" s="54">
        <f>G82*AO82</f>
        <v>0</v>
      </c>
      <c r="BI82" s="54">
        <f>G82*AP82</f>
        <v>0</v>
      </c>
      <c r="BJ82" s="54">
        <f>G82*H82</f>
        <v>0</v>
      </c>
      <c r="BK82" s="54"/>
      <c r="BL82" s="54">
        <v>41</v>
      </c>
      <c r="BW82" s="54">
        <v>21</v>
      </c>
      <c r="BX82" s="3" t="s">
        <v>236</v>
      </c>
    </row>
    <row r="83" spans="1:76" ht="14.5" x14ac:dyDescent="0.35">
      <c r="A83" s="57"/>
      <c r="D83" s="58" t="s">
        <v>10</v>
      </c>
      <c r="E83" s="59" t="s">
        <v>237</v>
      </c>
      <c r="G83" s="60">
        <v>0</v>
      </c>
      <c r="M83" s="61"/>
    </row>
    <row r="84" spans="1:76" ht="26" x14ac:dyDescent="0.35">
      <c r="A84" s="57"/>
      <c r="C84" s="62" t="s">
        <v>156</v>
      </c>
      <c r="D84" s="211" t="s">
        <v>238</v>
      </c>
      <c r="E84" s="212"/>
      <c r="F84" s="212"/>
      <c r="G84" s="212"/>
      <c r="H84" s="212"/>
      <c r="I84" s="212"/>
      <c r="J84" s="212"/>
      <c r="K84" s="212"/>
      <c r="L84" s="212"/>
      <c r="M84" s="213"/>
      <c r="BX84" s="63" t="s">
        <v>238</v>
      </c>
    </row>
    <row r="85" spans="1:76" ht="14.5" x14ac:dyDescent="0.35">
      <c r="A85" s="57"/>
      <c r="D85" s="58" t="s">
        <v>239</v>
      </c>
      <c r="E85" s="59" t="s">
        <v>240</v>
      </c>
      <c r="G85" s="60">
        <v>43.56</v>
      </c>
      <c r="M85" s="61"/>
    </row>
    <row r="86" spans="1:76" ht="26" x14ac:dyDescent="0.35">
      <c r="A86" s="57"/>
      <c r="C86" s="62" t="s">
        <v>156</v>
      </c>
      <c r="D86" s="211" t="s">
        <v>238</v>
      </c>
      <c r="E86" s="212"/>
      <c r="F86" s="212"/>
      <c r="G86" s="212"/>
      <c r="H86" s="212"/>
      <c r="I86" s="212"/>
      <c r="J86" s="212"/>
      <c r="K86" s="212"/>
      <c r="L86" s="212"/>
      <c r="M86" s="213"/>
      <c r="BX86" s="63" t="s">
        <v>238</v>
      </c>
    </row>
    <row r="87" spans="1:76" ht="14.5" x14ac:dyDescent="0.35">
      <c r="A87" s="1" t="s">
        <v>241</v>
      </c>
      <c r="B87" s="2" t="s">
        <v>103</v>
      </c>
      <c r="C87" s="2" t="s">
        <v>242</v>
      </c>
      <c r="D87" s="155" t="s">
        <v>243</v>
      </c>
      <c r="E87" s="153"/>
      <c r="F87" s="2" t="s">
        <v>110</v>
      </c>
      <c r="G87" s="54">
        <f>'Stavební rozpočet'!G64</f>
        <v>47.52</v>
      </c>
      <c r="H87" s="94">
        <f>'Stavební rozpočet'!H64</f>
        <v>0</v>
      </c>
      <c r="I87" s="54">
        <f>G87*H87</f>
        <v>0</v>
      </c>
      <c r="J87" s="54">
        <f>'Stavební rozpočet'!J64</f>
        <v>1.039E-2</v>
      </c>
      <c r="K87" s="54">
        <f>'Stavební rozpočet'!K64</f>
        <v>0</v>
      </c>
      <c r="L87" s="54">
        <f>G87*J87</f>
        <v>0.49373280000000003</v>
      </c>
      <c r="M87" s="55" t="s">
        <v>111</v>
      </c>
      <c r="Z87" s="54">
        <f>IF(AQ87="5",BJ87,0)</f>
        <v>0</v>
      </c>
      <c r="AB87" s="54">
        <f>IF(AQ87="1",BH87,0)</f>
        <v>0</v>
      </c>
      <c r="AC87" s="54">
        <f>IF(AQ87="1",BI87,0)</f>
        <v>0</v>
      </c>
      <c r="AD87" s="54">
        <f>IF(AQ87="7",BH87,0)</f>
        <v>0</v>
      </c>
      <c r="AE87" s="54">
        <f>IF(AQ87="7",BI87,0)</f>
        <v>0</v>
      </c>
      <c r="AF87" s="54">
        <f>IF(AQ87="2",BH87,0)</f>
        <v>0</v>
      </c>
      <c r="AG87" s="54">
        <f>IF(AQ87="2",BI87,0)</f>
        <v>0</v>
      </c>
      <c r="AH87" s="54">
        <f>IF(AQ87="0",BJ87,0)</f>
        <v>0</v>
      </c>
      <c r="AI87" s="34" t="s">
        <v>103</v>
      </c>
      <c r="AJ87" s="54">
        <f>IF(AN87=0,I87,0)</f>
        <v>0</v>
      </c>
      <c r="AK87" s="54">
        <f>IF(AN87=12,I87,0)</f>
        <v>0</v>
      </c>
      <c r="AL87" s="54">
        <f>IF(AN87=21,I87,0)</f>
        <v>0</v>
      </c>
      <c r="AN87" s="54">
        <v>21</v>
      </c>
      <c r="AO87" s="54">
        <f>H87*0.795948955</f>
        <v>0</v>
      </c>
      <c r="AP87" s="54">
        <f>H87*(1-0.795948955)</f>
        <v>0</v>
      </c>
      <c r="AQ87" s="56" t="s">
        <v>107</v>
      </c>
      <c r="AV87" s="54">
        <f>AW87+AX87</f>
        <v>0</v>
      </c>
      <c r="AW87" s="54">
        <f>G87*AO87</f>
        <v>0</v>
      </c>
      <c r="AX87" s="54">
        <f>G87*AP87</f>
        <v>0</v>
      </c>
      <c r="AY87" s="56" t="s">
        <v>206</v>
      </c>
      <c r="AZ87" s="56" t="s">
        <v>207</v>
      </c>
      <c r="BA87" s="34" t="s">
        <v>114</v>
      </c>
      <c r="BC87" s="54">
        <f>AW87+AX87</f>
        <v>0</v>
      </c>
      <c r="BD87" s="54">
        <f>H87/(100-BE87)*100</f>
        <v>0</v>
      </c>
      <c r="BE87" s="54">
        <v>0</v>
      </c>
      <c r="BF87" s="54">
        <f>L87</f>
        <v>0.49373280000000003</v>
      </c>
      <c r="BH87" s="54">
        <f>G87*AO87</f>
        <v>0</v>
      </c>
      <c r="BI87" s="54">
        <f>G87*AP87</f>
        <v>0</v>
      </c>
      <c r="BJ87" s="54">
        <f>G87*H87</f>
        <v>0</v>
      </c>
      <c r="BK87" s="54"/>
      <c r="BL87" s="54">
        <v>41</v>
      </c>
      <c r="BW87" s="54">
        <v>21</v>
      </c>
      <c r="BX87" s="3" t="s">
        <v>243</v>
      </c>
    </row>
    <row r="88" spans="1:76" ht="14.5" x14ac:dyDescent="0.35">
      <c r="A88" s="57"/>
      <c r="D88" s="58" t="s">
        <v>208</v>
      </c>
      <c r="E88" s="59" t="s">
        <v>237</v>
      </c>
      <c r="G88" s="60">
        <v>0</v>
      </c>
      <c r="M88" s="61"/>
    </row>
    <row r="89" spans="1:76" ht="26" x14ac:dyDescent="0.35">
      <c r="A89" s="57"/>
      <c r="C89" s="62" t="s">
        <v>156</v>
      </c>
      <c r="D89" s="211" t="s">
        <v>244</v>
      </c>
      <c r="E89" s="212"/>
      <c r="F89" s="212"/>
      <c r="G89" s="212"/>
      <c r="H89" s="212"/>
      <c r="I89" s="212"/>
      <c r="J89" s="212"/>
      <c r="K89" s="212"/>
      <c r="L89" s="212"/>
      <c r="M89" s="213"/>
      <c r="BX89" s="63" t="s">
        <v>244</v>
      </c>
    </row>
    <row r="90" spans="1:76" ht="14.5" x14ac:dyDescent="0.35">
      <c r="A90" s="57"/>
      <c r="D90" s="58" t="s">
        <v>245</v>
      </c>
      <c r="E90" s="59" t="s">
        <v>246</v>
      </c>
      <c r="G90" s="60">
        <v>47.52</v>
      </c>
      <c r="M90" s="61"/>
    </row>
    <row r="91" spans="1:76" ht="26" x14ac:dyDescent="0.35">
      <c r="A91" s="57"/>
      <c r="C91" s="62" t="s">
        <v>156</v>
      </c>
      <c r="D91" s="211" t="s">
        <v>244</v>
      </c>
      <c r="E91" s="212"/>
      <c r="F91" s="212"/>
      <c r="G91" s="212"/>
      <c r="H91" s="212"/>
      <c r="I91" s="212"/>
      <c r="J91" s="212"/>
      <c r="K91" s="212"/>
      <c r="L91" s="212"/>
      <c r="M91" s="213"/>
      <c r="BX91" s="63" t="s">
        <v>244</v>
      </c>
    </row>
    <row r="92" spans="1:76" ht="14.5" x14ac:dyDescent="0.35">
      <c r="A92" s="1" t="s">
        <v>247</v>
      </c>
      <c r="B92" s="2" t="s">
        <v>103</v>
      </c>
      <c r="C92" s="2" t="s">
        <v>248</v>
      </c>
      <c r="D92" s="155" t="s">
        <v>249</v>
      </c>
      <c r="E92" s="153"/>
      <c r="F92" s="2" t="s">
        <v>153</v>
      </c>
      <c r="G92" s="54">
        <f>'Stavební rozpočet'!G67</f>
        <v>83.44</v>
      </c>
      <c r="H92" s="94">
        <f>'Stavební rozpočet'!H67</f>
        <v>0</v>
      </c>
      <c r="I92" s="54">
        <f>G92*H92</f>
        <v>0</v>
      </c>
      <c r="J92" s="54">
        <f>'Stavební rozpočet'!J67</f>
        <v>2.0000000000000002E-5</v>
      </c>
      <c r="K92" s="54">
        <f>'Stavební rozpočet'!K67</f>
        <v>0</v>
      </c>
      <c r="L92" s="54">
        <f>G92*J92</f>
        <v>1.6688E-3</v>
      </c>
      <c r="M92" s="55" t="s">
        <v>111</v>
      </c>
      <c r="Z92" s="54">
        <f>IF(AQ92="5",BJ92,0)</f>
        <v>0</v>
      </c>
      <c r="AB92" s="54">
        <f>IF(AQ92="1",BH92,0)</f>
        <v>0</v>
      </c>
      <c r="AC92" s="54">
        <f>IF(AQ92="1",BI92,0)</f>
        <v>0</v>
      </c>
      <c r="AD92" s="54">
        <f>IF(AQ92="7",BH92,0)</f>
        <v>0</v>
      </c>
      <c r="AE92" s="54">
        <f>IF(AQ92="7",BI92,0)</f>
        <v>0</v>
      </c>
      <c r="AF92" s="54">
        <f>IF(AQ92="2",BH92,0)</f>
        <v>0</v>
      </c>
      <c r="AG92" s="54">
        <f>IF(AQ92="2",BI92,0)</f>
        <v>0</v>
      </c>
      <c r="AH92" s="54">
        <f>IF(AQ92="0",BJ92,0)</f>
        <v>0</v>
      </c>
      <c r="AI92" s="34" t="s">
        <v>103</v>
      </c>
      <c r="AJ92" s="54">
        <f>IF(AN92=0,I92,0)</f>
        <v>0</v>
      </c>
      <c r="AK92" s="54">
        <f>IF(AN92=12,I92,0)</f>
        <v>0</v>
      </c>
      <c r="AL92" s="54">
        <f>IF(AN92=21,I92,0)</f>
        <v>0</v>
      </c>
      <c r="AN92" s="54">
        <v>21</v>
      </c>
      <c r="AO92" s="54">
        <f>H92*0.021987315</f>
        <v>0</v>
      </c>
      <c r="AP92" s="54">
        <f>H92*(1-0.021987315)</f>
        <v>0</v>
      </c>
      <c r="AQ92" s="56" t="s">
        <v>107</v>
      </c>
      <c r="AV92" s="54">
        <f>AW92+AX92</f>
        <v>0</v>
      </c>
      <c r="AW92" s="54">
        <f>G92*AO92</f>
        <v>0</v>
      </c>
      <c r="AX92" s="54">
        <f>G92*AP92</f>
        <v>0</v>
      </c>
      <c r="AY92" s="56" t="s">
        <v>206</v>
      </c>
      <c r="AZ92" s="56" t="s">
        <v>207</v>
      </c>
      <c r="BA92" s="34" t="s">
        <v>114</v>
      </c>
      <c r="BC92" s="54">
        <f>AW92+AX92</f>
        <v>0</v>
      </c>
      <c r="BD92" s="54">
        <f>H92/(100-BE92)*100</f>
        <v>0</v>
      </c>
      <c r="BE92" s="54">
        <v>0</v>
      </c>
      <c r="BF92" s="54">
        <f>L92</f>
        <v>1.6688E-3</v>
      </c>
      <c r="BH92" s="54">
        <f>G92*AO92</f>
        <v>0</v>
      </c>
      <c r="BI92" s="54">
        <f>G92*AP92</f>
        <v>0</v>
      </c>
      <c r="BJ92" s="54">
        <f>G92*H92</f>
        <v>0</v>
      </c>
      <c r="BK92" s="54"/>
      <c r="BL92" s="54">
        <v>41</v>
      </c>
      <c r="BW92" s="54">
        <v>21</v>
      </c>
      <c r="BX92" s="3" t="s">
        <v>249</v>
      </c>
    </row>
    <row r="93" spans="1:76" ht="13.5" customHeight="1" x14ac:dyDescent="0.35">
      <c r="A93" s="57"/>
      <c r="C93" s="62" t="s">
        <v>122</v>
      </c>
      <c r="D93" s="214" t="s">
        <v>250</v>
      </c>
      <c r="E93" s="215"/>
      <c r="F93" s="215"/>
      <c r="G93" s="215"/>
      <c r="H93" s="215"/>
      <c r="I93" s="215"/>
      <c r="J93" s="215"/>
      <c r="K93" s="215"/>
      <c r="L93" s="215"/>
      <c r="M93" s="216"/>
    </row>
    <row r="94" spans="1:76" ht="14.5" x14ac:dyDescent="0.35">
      <c r="A94" s="57"/>
      <c r="D94" s="58" t="s">
        <v>251</v>
      </c>
      <c r="E94" s="59" t="s">
        <v>252</v>
      </c>
      <c r="G94" s="60">
        <v>83.44</v>
      </c>
      <c r="M94" s="61"/>
    </row>
    <row r="95" spans="1:76" ht="14.5" x14ac:dyDescent="0.35">
      <c r="A95" s="50" t="s">
        <v>10</v>
      </c>
      <c r="B95" s="51" t="s">
        <v>103</v>
      </c>
      <c r="C95" s="51" t="s">
        <v>253</v>
      </c>
      <c r="D95" s="206" t="s">
        <v>254</v>
      </c>
      <c r="E95" s="207"/>
      <c r="F95" s="52" t="s">
        <v>84</v>
      </c>
      <c r="G95" s="52" t="s">
        <v>84</v>
      </c>
      <c r="H95" s="52" t="s">
        <v>84</v>
      </c>
      <c r="I95" s="27">
        <f>SUM(I96:I129)</f>
        <v>0</v>
      </c>
      <c r="J95" s="34" t="s">
        <v>10</v>
      </c>
      <c r="K95" s="34" t="s">
        <v>10</v>
      </c>
      <c r="L95" s="27">
        <f>SUM(L96:L129)</f>
        <v>22.88691661</v>
      </c>
      <c r="M95" s="53" t="s">
        <v>10</v>
      </c>
      <c r="AI95" s="34" t="s">
        <v>103</v>
      </c>
      <c r="AS95" s="27">
        <f>SUM(AJ96:AJ129)</f>
        <v>0</v>
      </c>
      <c r="AT95" s="27">
        <f>SUM(AK96:AK129)</f>
        <v>0</v>
      </c>
      <c r="AU95" s="27">
        <f>SUM(AL96:AL129)</f>
        <v>0</v>
      </c>
    </row>
    <row r="96" spans="1:76" ht="14.5" x14ac:dyDescent="0.35">
      <c r="A96" s="1" t="s">
        <v>255</v>
      </c>
      <c r="B96" s="2" t="s">
        <v>103</v>
      </c>
      <c r="C96" s="2" t="s">
        <v>256</v>
      </c>
      <c r="D96" s="155" t="s">
        <v>257</v>
      </c>
      <c r="E96" s="153"/>
      <c r="F96" s="2" t="s">
        <v>110</v>
      </c>
      <c r="G96" s="54">
        <f>'Stavební rozpočet'!G70</f>
        <v>197.22399999999999</v>
      </c>
      <c r="H96" s="94">
        <f>'Stavební rozpočet'!H70</f>
        <v>0</v>
      </c>
      <c r="I96" s="54">
        <f>G96*H96</f>
        <v>0</v>
      </c>
      <c r="J96" s="54">
        <f>'Stavební rozpočet'!J70</f>
        <v>4.0000000000000003E-5</v>
      </c>
      <c r="K96" s="54">
        <f>'Stavební rozpočet'!K70</f>
        <v>0</v>
      </c>
      <c r="L96" s="54">
        <f>G96*J96</f>
        <v>7.8889600000000004E-3</v>
      </c>
      <c r="M96" s="55" t="s">
        <v>111</v>
      </c>
      <c r="Z96" s="54">
        <f>IF(AQ96="5",BJ96,0)</f>
        <v>0</v>
      </c>
      <c r="AB96" s="54">
        <f>IF(AQ96="1",BH96,0)</f>
        <v>0</v>
      </c>
      <c r="AC96" s="54">
        <f>IF(AQ96="1",BI96,0)</f>
        <v>0</v>
      </c>
      <c r="AD96" s="54">
        <f>IF(AQ96="7",BH96,0)</f>
        <v>0</v>
      </c>
      <c r="AE96" s="54">
        <f>IF(AQ96="7",BI96,0)</f>
        <v>0</v>
      </c>
      <c r="AF96" s="54">
        <f>IF(AQ96="2",BH96,0)</f>
        <v>0</v>
      </c>
      <c r="AG96" s="54">
        <f>IF(AQ96="2",BI96,0)</f>
        <v>0</v>
      </c>
      <c r="AH96" s="54">
        <f>IF(AQ96="0",BJ96,0)</f>
        <v>0</v>
      </c>
      <c r="AI96" s="34" t="s">
        <v>103</v>
      </c>
      <c r="AJ96" s="54">
        <f>IF(AN96=0,I96,0)</f>
        <v>0</v>
      </c>
      <c r="AK96" s="54">
        <f>IF(AN96=12,I96,0)</f>
        <v>0</v>
      </c>
      <c r="AL96" s="54">
        <f>IF(AN96=21,I96,0)</f>
        <v>0</v>
      </c>
      <c r="AN96" s="54">
        <v>21</v>
      </c>
      <c r="AO96" s="54">
        <f>H96*0.312807598</f>
        <v>0</v>
      </c>
      <c r="AP96" s="54">
        <f>H96*(1-0.312807598)</f>
        <v>0</v>
      </c>
      <c r="AQ96" s="56" t="s">
        <v>107</v>
      </c>
      <c r="AV96" s="54">
        <f>AW96+AX96</f>
        <v>0</v>
      </c>
      <c r="AW96" s="54">
        <f>G96*AO96</f>
        <v>0</v>
      </c>
      <c r="AX96" s="54">
        <f>G96*AP96</f>
        <v>0</v>
      </c>
      <c r="AY96" s="56" t="s">
        <v>258</v>
      </c>
      <c r="AZ96" s="56" t="s">
        <v>259</v>
      </c>
      <c r="BA96" s="34" t="s">
        <v>114</v>
      </c>
      <c r="BC96" s="54">
        <f>AW96+AX96</f>
        <v>0</v>
      </c>
      <c r="BD96" s="54">
        <f>H96/(100-BE96)*100</f>
        <v>0</v>
      </c>
      <c r="BE96" s="54">
        <v>0</v>
      </c>
      <c r="BF96" s="54">
        <f>L96</f>
        <v>7.8889600000000004E-3</v>
      </c>
      <c r="BH96" s="54">
        <f>G96*AO96</f>
        <v>0</v>
      </c>
      <c r="BI96" s="54">
        <f>G96*AP96</f>
        <v>0</v>
      </c>
      <c r="BJ96" s="54">
        <f>G96*H96</f>
        <v>0</v>
      </c>
      <c r="BK96" s="54"/>
      <c r="BL96" s="54">
        <v>61</v>
      </c>
      <c r="BW96" s="54">
        <v>21</v>
      </c>
      <c r="BX96" s="3" t="s">
        <v>257</v>
      </c>
    </row>
    <row r="97" spans="1:76" ht="14.5" x14ac:dyDescent="0.35">
      <c r="A97" s="57"/>
      <c r="D97" s="58" t="s">
        <v>260</v>
      </c>
      <c r="E97" s="59" t="s">
        <v>261</v>
      </c>
      <c r="G97" s="60">
        <v>82.176000000000002</v>
      </c>
      <c r="M97" s="61"/>
    </row>
    <row r="98" spans="1:76" ht="14.5" x14ac:dyDescent="0.35">
      <c r="A98" s="57"/>
      <c r="D98" s="58" t="s">
        <v>262</v>
      </c>
      <c r="E98" s="59" t="s">
        <v>263</v>
      </c>
      <c r="G98" s="60">
        <v>44.128</v>
      </c>
      <c r="M98" s="61"/>
    </row>
    <row r="99" spans="1:76" ht="14.5" x14ac:dyDescent="0.35">
      <c r="A99" s="57"/>
      <c r="D99" s="58" t="s">
        <v>264</v>
      </c>
      <c r="E99" s="59" t="s">
        <v>265</v>
      </c>
      <c r="G99" s="60">
        <v>33.095999999999997</v>
      </c>
      <c r="M99" s="61"/>
    </row>
    <row r="100" spans="1:76" ht="14.5" x14ac:dyDescent="0.35">
      <c r="A100" s="57"/>
      <c r="D100" s="58" t="s">
        <v>266</v>
      </c>
      <c r="E100" s="59" t="s">
        <v>267</v>
      </c>
      <c r="G100" s="60">
        <v>37.823999999999998</v>
      </c>
      <c r="M100" s="61"/>
    </row>
    <row r="101" spans="1:76" ht="14.5" x14ac:dyDescent="0.35">
      <c r="A101" s="1" t="s">
        <v>268</v>
      </c>
      <c r="B101" s="2" t="s">
        <v>103</v>
      </c>
      <c r="C101" s="2" t="s">
        <v>269</v>
      </c>
      <c r="D101" s="155" t="s">
        <v>270</v>
      </c>
      <c r="E101" s="153"/>
      <c r="F101" s="2" t="s">
        <v>110</v>
      </c>
      <c r="G101" s="54">
        <f>'Stavební rozpočet'!G75</f>
        <v>346.27699999999999</v>
      </c>
      <c r="H101" s="94">
        <f>'Stavební rozpočet'!H75</f>
        <v>0</v>
      </c>
      <c r="I101" s="54">
        <f>G101*H101</f>
        <v>0</v>
      </c>
      <c r="J101" s="54">
        <f>'Stavební rozpočet'!J75</f>
        <v>5.62E-3</v>
      </c>
      <c r="K101" s="54">
        <f>'Stavební rozpočet'!K75</f>
        <v>0</v>
      </c>
      <c r="L101" s="54">
        <f>G101*J101</f>
        <v>1.9460767399999999</v>
      </c>
      <c r="M101" s="55" t="s">
        <v>111</v>
      </c>
      <c r="Z101" s="54">
        <f>IF(AQ101="5",BJ101,0)</f>
        <v>0</v>
      </c>
      <c r="AB101" s="54">
        <f>IF(AQ101="1",BH101,0)</f>
        <v>0</v>
      </c>
      <c r="AC101" s="54">
        <f>IF(AQ101="1",BI101,0)</f>
        <v>0</v>
      </c>
      <c r="AD101" s="54">
        <f>IF(AQ101="7",BH101,0)</f>
        <v>0</v>
      </c>
      <c r="AE101" s="54">
        <f>IF(AQ101="7",BI101,0)</f>
        <v>0</v>
      </c>
      <c r="AF101" s="54">
        <f>IF(AQ101="2",BH101,0)</f>
        <v>0</v>
      </c>
      <c r="AG101" s="54">
        <f>IF(AQ101="2",BI101,0)</f>
        <v>0</v>
      </c>
      <c r="AH101" s="54">
        <f>IF(AQ101="0",BJ101,0)</f>
        <v>0</v>
      </c>
      <c r="AI101" s="34" t="s">
        <v>103</v>
      </c>
      <c r="AJ101" s="54">
        <f>IF(AN101=0,I101,0)</f>
        <v>0</v>
      </c>
      <c r="AK101" s="54">
        <f>IF(AN101=12,I101,0)</f>
        <v>0</v>
      </c>
      <c r="AL101" s="54">
        <f>IF(AN101=21,I101,0)</f>
        <v>0</v>
      </c>
      <c r="AN101" s="54">
        <v>21</v>
      </c>
      <c r="AO101" s="54">
        <f>H101*0.146339631</f>
        <v>0</v>
      </c>
      <c r="AP101" s="54">
        <f>H101*(1-0.146339631)</f>
        <v>0</v>
      </c>
      <c r="AQ101" s="56" t="s">
        <v>107</v>
      </c>
      <c r="AV101" s="54">
        <f>AW101+AX101</f>
        <v>0</v>
      </c>
      <c r="AW101" s="54">
        <f>G101*AO101</f>
        <v>0</v>
      </c>
      <c r="AX101" s="54">
        <f>G101*AP101</f>
        <v>0</v>
      </c>
      <c r="AY101" s="56" t="s">
        <v>258</v>
      </c>
      <c r="AZ101" s="56" t="s">
        <v>259</v>
      </c>
      <c r="BA101" s="34" t="s">
        <v>114</v>
      </c>
      <c r="BC101" s="54">
        <f>AW101+AX101</f>
        <v>0</v>
      </c>
      <c r="BD101" s="54">
        <f>H101/(100-BE101)*100</f>
        <v>0</v>
      </c>
      <c r="BE101" s="54">
        <v>0</v>
      </c>
      <c r="BF101" s="54">
        <f>L101</f>
        <v>1.9460767399999999</v>
      </c>
      <c r="BH101" s="54">
        <f>G101*AO101</f>
        <v>0</v>
      </c>
      <c r="BI101" s="54">
        <f>G101*AP101</f>
        <v>0</v>
      </c>
      <c r="BJ101" s="54">
        <f>G101*H101</f>
        <v>0</v>
      </c>
      <c r="BK101" s="54"/>
      <c r="BL101" s="54">
        <v>61</v>
      </c>
      <c r="BW101" s="54">
        <v>21</v>
      </c>
      <c r="BX101" s="3" t="s">
        <v>270</v>
      </c>
    </row>
    <row r="102" spans="1:76" ht="14.5" x14ac:dyDescent="0.35">
      <c r="A102" s="57"/>
      <c r="D102" s="58" t="s">
        <v>208</v>
      </c>
      <c r="E102" s="59" t="s">
        <v>271</v>
      </c>
      <c r="G102" s="60">
        <v>0</v>
      </c>
      <c r="M102" s="61"/>
    </row>
    <row r="103" spans="1:76" ht="26" x14ac:dyDescent="0.35">
      <c r="A103" s="57"/>
      <c r="C103" s="62" t="s">
        <v>156</v>
      </c>
      <c r="D103" s="211" t="s">
        <v>272</v>
      </c>
      <c r="E103" s="212"/>
      <c r="F103" s="212"/>
      <c r="G103" s="212"/>
      <c r="H103" s="212"/>
      <c r="I103" s="212"/>
      <c r="J103" s="212"/>
      <c r="K103" s="212"/>
      <c r="L103" s="212"/>
      <c r="M103" s="213"/>
      <c r="BX103" s="63" t="s">
        <v>272</v>
      </c>
    </row>
    <row r="104" spans="1:76" ht="14.5" x14ac:dyDescent="0.35">
      <c r="A104" s="57"/>
      <c r="D104" s="58" t="s">
        <v>273</v>
      </c>
      <c r="E104" s="59" t="s">
        <v>274</v>
      </c>
      <c r="G104" s="60">
        <v>346.27699999999999</v>
      </c>
      <c r="M104" s="61"/>
    </row>
    <row r="105" spans="1:76" ht="26" x14ac:dyDescent="0.35">
      <c r="A105" s="57"/>
      <c r="C105" s="62" t="s">
        <v>156</v>
      </c>
      <c r="D105" s="211" t="s">
        <v>272</v>
      </c>
      <c r="E105" s="212"/>
      <c r="F105" s="212"/>
      <c r="G105" s="212"/>
      <c r="H105" s="212"/>
      <c r="I105" s="212"/>
      <c r="J105" s="212"/>
      <c r="K105" s="212"/>
      <c r="L105" s="212"/>
      <c r="M105" s="213"/>
      <c r="BX105" s="63" t="s">
        <v>272</v>
      </c>
    </row>
    <row r="106" spans="1:76" ht="14.5" x14ac:dyDescent="0.35">
      <c r="A106" s="1" t="s">
        <v>275</v>
      </c>
      <c r="B106" s="2" t="s">
        <v>103</v>
      </c>
      <c r="C106" s="2" t="s">
        <v>276</v>
      </c>
      <c r="D106" s="155" t="s">
        <v>277</v>
      </c>
      <c r="E106" s="153"/>
      <c r="F106" s="2" t="s">
        <v>110</v>
      </c>
      <c r="G106" s="54">
        <f>'Stavební rozpočet'!G78</f>
        <v>1093.789</v>
      </c>
      <c r="H106" s="94">
        <f>'Stavební rozpočet'!H78</f>
        <v>0</v>
      </c>
      <c r="I106" s="54">
        <f>G106*H106</f>
        <v>0</v>
      </c>
      <c r="J106" s="54">
        <f>'Stavební rozpočet'!J78</f>
        <v>1.418E-2</v>
      </c>
      <c r="K106" s="54">
        <f>'Stavební rozpočet'!K78</f>
        <v>0</v>
      </c>
      <c r="L106" s="54">
        <f>G106*J106</f>
        <v>15.50992802</v>
      </c>
      <c r="M106" s="55" t="s">
        <v>111</v>
      </c>
      <c r="Z106" s="54">
        <f>IF(AQ106="5",BJ106,0)</f>
        <v>0</v>
      </c>
      <c r="AB106" s="54">
        <f>IF(AQ106="1",BH106,0)</f>
        <v>0</v>
      </c>
      <c r="AC106" s="54">
        <f>IF(AQ106="1",BI106,0)</f>
        <v>0</v>
      </c>
      <c r="AD106" s="54">
        <f>IF(AQ106="7",BH106,0)</f>
        <v>0</v>
      </c>
      <c r="AE106" s="54">
        <f>IF(AQ106="7",BI106,0)</f>
        <v>0</v>
      </c>
      <c r="AF106" s="54">
        <f>IF(AQ106="2",BH106,0)</f>
        <v>0</v>
      </c>
      <c r="AG106" s="54">
        <f>IF(AQ106="2",BI106,0)</f>
        <v>0</v>
      </c>
      <c r="AH106" s="54">
        <f>IF(AQ106="0",BJ106,0)</f>
        <v>0</v>
      </c>
      <c r="AI106" s="34" t="s">
        <v>103</v>
      </c>
      <c r="AJ106" s="54">
        <f>IF(AN106=0,I106,0)</f>
        <v>0</v>
      </c>
      <c r="AK106" s="54">
        <f>IF(AN106=12,I106,0)</f>
        <v>0</v>
      </c>
      <c r="AL106" s="54">
        <f>IF(AN106=21,I106,0)</f>
        <v>0</v>
      </c>
      <c r="AN106" s="54">
        <v>21</v>
      </c>
      <c r="AO106" s="54">
        <f>H106*0.133087717</f>
        <v>0</v>
      </c>
      <c r="AP106" s="54">
        <f>H106*(1-0.133087717)</f>
        <v>0</v>
      </c>
      <c r="AQ106" s="56" t="s">
        <v>107</v>
      </c>
      <c r="AV106" s="54">
        <f>AW106+AX106</f>
        <v>0</v>
      </c>
      <c r="AW106" s="54">
        <f>G106*AO106</f>
        <v>0</v>
      </c>
      <c r="AX106" s="54">
        <f>G106*AP106</f>
        <v>0</v>
      </c>
      <c r="AY106" s="56" t="s">
        <v>258</v>
      </c>
      <c r="AZ106" s="56" t="s">
        <v>259</v>
      </c>
      <c r="BA106" s="34" t="s">
        <v>114</v>
      </c>
      <c r="BC106" s="54">
        <f>AW106+AX106</f>
        <v>0</v>
      </c>
      <c r="BD106" s="54">
        <f>H106/(100-BE106)*100</f>
        <v>0</v>
      </c>
      <c r="BE106" s="54">
        <v>0</v>
      </c>
      <c r="BF106" s="54">
        <f>L106</f>
        <v>15.50992802</v>
      </c>
      <c r="BH106" s="54">
        <f>G106*AO106</f>
        <v>0</v>
      </c>
      <c r="BI106" s="54">
        <f>G106*AP106</f>
        <v>0</v>
      </c>
      <c r="BJ106" s="54">
        <f>G106*H106</f>
        <v>0</v>
      </c>
      <c r="BK106" s="54"/>
      <c r="BL106" s="54">
        <v>61</v>
      </c>
      <c r="BW106" s="54">
        <v>21</v>
      </c>
      <c r="BX106" s="3" t="s">
        <v>277</v>
      </c>
    </row>
    <row r="107" spans="1:76" ht="14.5" x14ac:dyDescent="0.35">
      <c r="A107" s="57"/>
      <c r="D107" s="58" t="s">
        <v>208</v>
      </c>
      <c r="E107" s="59" t="s">
        <v>278</v>
      </c>
      <c r="G107" s="60">
        <v>0</v>
      </c>
      <c r="M107" s="61"/>
    </row>
    <row r="108" spans="1:76" ht="14.5" x14ac:dyDescent="0.35">
      <c r="A108" s="57"/>
      <c r="D108" s="58" t="s">
        <v>279</v>
      </c>
      <c r="E108" s="59" t="s">
        <v>280</v>
      </c>
      <c r="G108" s="60">
        <v>93.275999999999996</v>
      </c>
      <c r="M108" s="61"/>
    </row>
    <row r="109" spans="1:76" ht="14.5" x14ac:dyDescent="0.35">
      <c r="A109" s="57"/>
      <c r="D109" s="58" t="s">
        <v>281</v>
      </c>
      <c r="E109" s="59" t="s">
        <v>282</v>
      </c>
      <c r="G109" s="60">
        <v>837.40300000000002</v>
      </c>
      <c r="M109" s="61"/>
    </row>
    <row r="110" spans="1:76" ht="26" x14ac:dyDescent="0.35">
      <c r="A110" s="57"/>
      <c r="C110" s="62" t="s">
        <v>156</v>
      </c>
      <c r="D110" s="211" t="s">
        <v>272</v>
      </c>
      <c r="E110" s="212"/>
      <c r="F110" s="212"/>
      <c r="G110" s="212"/>
      <c r="H110" s="212"/>
      <c r="I110" s="212"/>
      <c r="J110" s="212"/>
      <c r="K110" s="212"/>
      <c r="L110" s="212"/>
      <c r="M110" s="213"/>
      <c r="BX110" s="63" t="s">
        <v>272</v>
      </c>
    </row>
    <row r="111" spans="1:76" ht="14.5" x14ac:dyDescent="0.35">
      <c r="A111" s="57"/>
      <c r="D111" s="58" t="s">
        <v>283</v>
      </c>
      <c r="E111" s="59" t="s">
        <v>284</v>
      </c>
      <c r="G111" s="60">
        <v>163.11000000000001</v>
      </c>
      <c r="M111" s="61"/>
    </row>
    <row r="112" spans="1:76" ht="26" x14ac:dyDescent="0.35">
      <c r="A112" s="57"/>
      <c r="C112" s="62" t="s">
        <v>156</v>
      </c>
      <c r="D112" s="211" t="s">
        <v>272</v>
      </c>
      <c r="E112" s="212"/>
      <c r="F112" s="212"/>
      <c r="G112" s="212"/>
      <c r="H112" s="212"/>
      <c r="I112" s="212"/>
      <c r="J112" s="212"/>
      <c r="K112" s="212"/>
      <c r="L112" s="212"/>
      <c r="M112" s="213"/>
      <c r="BX112" s="63" t="s">
        <v>272</v>
      </c>
    </row>
    <row r="113" spans="1:76" ht="14.5" x14ac:dyDescent="0.35">
      <c r="A113" s="1" t="s">
        <v>285</v>
      </c>
      <c r="B113" s="2" t="s">
        <v>103</v>
      </c>
      <c r="C113" s="2" t="s">
        <v>286</v>
      </c>
      <c r="D113" s="155" t="s">
        <v>287</v>
      </c>
      <c r="E113" s="153"/>
      <c r="F113" s="2" t="s">
        <v>110</v>
      </c>
      <c r="G113" s="54">
        <f>'Stavební rozpočet'!G83</f>
        <v>653.64499999999998</v>
      </c>
      <c r="H113" s="94">
        <f>'Stavební rozpočet'!H83</f>
        <v>0</v>
      </c>
      <c r="I113" s="54">
        <f>G113*H113</f>
        <v>0</v>
      </c>
      <c r="J113" s="54">
        <f>'Stavební rozpočet'!J83</f>
        <v>5.2900000000000004E-3</v>
      </c>
      <c r="K113" s="54">
        <f>'Stavební rozpočet'!K83</f>
        <v>0</v>
      </c>
      <c r="L113" s="54">
        <f>G113*J113</f>
        <v>3.4577820500000001</v>
      </c>
      <c r="M113" s="55" t="s">
        <v>111</v>
      </c>
      <c r="Z113" s="54">
        <f>IF(AQ113="5",BJ113,0)</f>
        <v>0</v>
      </c>
      <c r="AB113" s="54">
        <f>IF(AQ113="1",BH113,0)</f>
        <v>0</v>
      </c>
      <c r="AC113" s="54">
        <f>IF(AQ113="1",BI113,0)</f>
        <v>0</v>
      </c>
      <c r="AD113" s="54">
        <f>IF(AQ113="7",BH113,0)</f>
        <v>0</v>
      </c>
      <c r="AE113" s="54">
        <f>IF(AQ113="7",BI113,0)</f>
        <v>0</v>
      </c>
      <c r="AF113" s="54">
        <f>IF(AQ113="2",BH113,0)</f>
        <v>0</v>
      </c>
      <c r="AG113" s="54">
        <f>IF(AQ113="2",BI113,0)</f>
        <v>0</v>
      </c>
      <c r="AH113" s="54">
        <f>IF(AQ113="0",BJ113,0)</f>
        <v>0</v>
      </c>
      <c r="AI113" s="34" t="s">
        <v>103</v>
      </c>
      <c r="AJ113" s="54">
        <f>IF(AN113=0,I113,0)</f>
        <v>0</v>
      </c>
      <c r="AK113" s="54">
        <f>IF(AN113=12,I113,0)</f>
        <v>0</v>
      </c>
      <c r="AL113" s="54">
        <f>IF(AN113=21,I113,0)</f>
        <v>0</v>
      </c>
      <c r="AN113" s="54">
        <v>21</v>
      </c>
      <c r="AO113" s="54">
        <f>H113*0.411059724</f>
        <v>0</v>
      </c>
      <c r="AP113" s="54">
        <f>H113*(1-0.411059724)</f>
        <v>0</v>
      </c>
      <c r="AQ113" s="56" t="s">
        <v>107</v>
      </c>
      <c r="AV113" s="54">
        <f>AW113+AX113</f>
        <v>0</v>
      </c>
      <c r="AW113" s="54">
        <f>G113*AO113</f>
        <v>0</v>
      </c>
      <c r="AX113" s="54">
        <f>G113*AP113</f>
        <v>0</v>
      </c>
      <c r="AY113" s="56" t="s">
        <v>258</v>
      </c>
      <c r="AZ113" s="56" t="s">
        <v>259</v>
      </c>
      <c r="BA113" s="34" t="s">
        <v>114</v>
      </c>
      <c r="BC113" s="54">
        <f>AW113+AX113</f>
        <v>0</v>
      </c>
      <c r="BD113" s="54">
        <f>H113/(100-BE113)*100</f>
        <v>0</v>
      </c>
      <c r="BE113" s="54">
        <v>0</v>
      </c>
      <c r="BF113" s="54">
        <f>L113</f>
        <v>3.4577820500000001</v>
      </c>
      <c r="BH113" s="54">
        <f>G113*AO113</f>
        <v>0</v>
      </c>
      <c r="BI113" s="54">
        <f>G113*AP113</f>
        <v>0</v>
      </c>
      <c r="BJ113" s="54">
        <f>G113*H113</f>
        <v>0</v>
      </c>
      <c r="BK113" s="54"/>
      <c r="BL113" s="54">
        <v>61</v>
      </c>
      <c r="BW113" s="54">
        <v>21</v>
      </c>
      <c r="BX113" s="3" t="s">
        <v>287</v>
      </c>
    </row>
    <row r="114" spans="1:76" ht="13.5" customHeight="1" x14ac:dyDescent="0.35">
      <c r="A114" s="57"/>
      <c r="C114" s="62" t="s">
        <v>122</v>
      </c>
      <c r="D114" s="214" t="s">
        <v>288</v>
      </c>
      <c r="E114" s="215"/>
      <c r="F114" s="215"/>
      <c r="G114" s="215"/>
      <c r="H114" s="215"/>
      <c r="I114" s="215"/>
      <c r="J114" s="215"/>
      <c r="K114" s="215"/>
      <c r="L114" s="215"/>
      <c r="M114" s="216"/>
    </row>
    <row r="115" spans="1:76" ht="14.5" x14ac:dyDescent="0.35">
      <c r="A115" s="57"/>
      <c r="D115" s="58" t="s">
        <v>208</v>
      </c>
      <c r="E115" s="59" t="s">
        <v>289</v>
      </c>
      <c r="G115" s="60">
        <v>0</v>
      </c>
      <c r="M115" s="61"/>
    </row>
    <row r="116" spans="1:76" ht="14.5" x14ac:dyDescent="0.35">
      <c r="A116" s="57"/>
      <c r="D116" s="58" t="s">
        <v>290</v>
      </c>
      <c r="E116" s="59" t="s">
        <v>291</v>
      </c>
      <c r="G116" s="60">
        <v>235.03200000000001</v>
      </c>
      <c r="M116" s="61"/>
    </row>
    <row r="117" spans="1:76" ht="14.5" x14ac:dyDescent="0.35">
      <c r="A117" s="57"/>
      <c r="D117" s="58" t="s">
        <v>292</v>
      </c>
      <c r="E117" s="59" t="s">
        <v>293</v>
      </c>
      <c r="G117" s="60">
        <v>83.74</v>
      </c>
      <c r="M117" s="61"/>
    </row>
    <row r="118" spans="1:76" ht="14.5" x14ac:dyDescent="0.35">
      <c r="A118" s="57"/>
      <c r="D118" s="58" t="s">
        <v>208</v>
      </c>
      <c r="E118" s="59" t="s">
        <v>294</v>
      </c>
      <c r="G118" s="60">
        <v>0</v>
      </c>
      <c r="M118" s="61"/>
    </row>
    <row r="119" spans="1:76" ht="14.5" x14ac:dyDescent="0.35">
      <c r="A119" s="57"/>
      <c r="D119" s="58" t="s">
        <v>295</v>
      </c>
      <c r="E119" s="59" t="s">
        <v>296</v>
      </c>
      <c r="G119" s="60">
        <v>174.76300000000001</v>
      </c>
      <c r="M119" s="61"/>
    </row>
    <row r="120" spans="1:76" ht="14.5" x14ac:dyDescent="0.35">
      <c r="A120" s="57"/>
      <c r="D120" s="58" t="s">
        <v>208</v>
      </c>
      <c r="E120" s="59" t="s">
        <v>297</v>
      </c>
      <c r="G120" s="60">
        <v>0</v>
      </c>
      <c r="M120" s="61"/>
    </row>
    <row r="121" spans="1:76" ht="14.5" x14ac:dyDescent="0.35">
      <c r="A121" s="57"/>
      <c r="D121" s="58" t="s">
        <v>283</v>
      </c>
      <c r="E121" s="59" t="s">
        <v>298</v>
      </c>
      <c r="G121" s="60">
        <v>163.11000000000001</v>
      </c>
      <c r="M121" s="61"/>
    </row>
    <row r="122" spans="1:76" ht="14.5" x14ac:dyDescent="0.35">
      <c r="A122" s="57"/>
      <c r="D122" s="58" t="s">
        <v>299</v>
      </c>
      <c r="E122" s="59" t="s">
        <v>300</v>
      </c>
      <c r="G122" s="60">
        <v>-3</v>
      </c>
      <c r="M122" s="61"/>
    </row>
    <row r="123" spans="1:76" ht="14.5" x14ac:dyDescent="0.35">
      <c r="A123" s="1" t="s">
        <v>301</v>
      </c>
      <c r="B123" s="2" t="s">
        <v>103</v>
      </c>
      <c r="C123" s="2" t="s">
        <v>302</v>
      </c>
      <c r="D123" s="155" t="s">
        <v>303</v>
      </c>
      <c r="E123" s="153"/>
      <c r="F123" s="2" t="s">
        <v>110</v>
      </c>
      <c r="G123" s="54">
        <f>'Stavební rozpočet'!G92</f>
        <v>380.911</v>
      </c>
      <c r="H123" s="94">
        <f>'Stavební rozpočet'!H92</f>
        <v>0</v>
      </c>
      <c r="I123" s="54">
        <f>G123*H123</f>
        <v>0</v>
      </c>
      <c r="J123" s="54">
        <f>'Stavební rozpočet'!J92</f>
        <v>2.5200000000000001E-3</v>
      </c>
      <c r="K123" s="54">
        <f>'Stavební rozpočet'!K92</f>
        <v>0</v>
      </c>
      <c r="L123" s="54">
        <f>G123*J123</f>
        <v>0.95989572000000001</v>
      </c>
      <c r="M123" s="55" t="s">
        <v>111</v>
      </c>
      <c r="Z123" s="54">
        <f>IF(AQ123="5",BJ123,0)</f>
        <v>0</v>
      </c>
      <c r="AB123" s="54">
        <f>IF(AQ123="1",BH123,0)</f>
        <v>0</v>
      </c>
      <c r="AC123" s="54">
        <f>IF(AQ123="1",BI123,0)</f>
        <v>0</v>
      </c>
      <c r="AD123" s="54">
        <f>IF(AQ123="7",BH123,0)</f>
        <v>0</v>
      </c>
      <c r="AE123" s="54">
        <f>IF(AQ123="7",BI123,0)</f>
        <v>0</v>
      </c>
      <c r="AF123" s="54">
        <f>IF(AQ123="2",BH123,0)</f>
        <v>0</v>
      </c>
      <c r="AG123" s="54">
        <f>IF(AQ123="2",BI123,0)</f>
        <v>0</v>
      </c>
      <c r="AH123" s="54">
        <f>IF(AQ123="0",BJ123,0)</f>
        <v>0</v>
      </c>
      <c r="AI123" s="34" t="s">
        <v>103</v>
      </c>
      <c r="AJ123" s="54">
        <f>IF(AN123=0,I123,0)</f>
        <v>0</v>
      </c>
      <c r="AK123" s="54">
        <f>IF(AN123=12,I123,0)</f>
        <v>0</v>
      </c>
      <c r="AL123" s="54">
        <f>IF(AN123=21,I123,0)</f>
        <v>0</v>
      </c>
      <c r="AN123" s="54">
        <v>21</v>
      </c>
      <c r="AO123" s="54">
        <f>H123*0.204166682</f>
        <v>0</v>
      </c>
      <c r="AP123" s="54">
        <f>H123*(1-0.204166682)</f>
        <v>0</v>
      </c>
      <c r="AQ123" s="56" t="s">
        <v>107</v>
      </c>
      <c r="AV123" s="54">
        <f>AW123+AX123</f>
        <v>0</v>
      </c>
      <c r="AW123" s="54">
        <f>G123*AO123</f>
        <v>0</v>
      </c>
      <c r="AX123" s="54">
        <f>G123*AP123</f>
        <v>0</v>
      </c>
      <c r="AY123" s="56" t="s">
        <v>258</v>
      </c>
      <c r="AZ123" s="56" t="s">
        <v>259</v>
      </c>
      <c r="BA123" s="34" t="s">
        <v>114</v>
      </c>
      <c r="BC123" s="54">
        <f>AW123+AX123</f>
        <v>0</v>
      </c>
      <c r="BD123" s="54">
        <f>H123/(100-BE123)*100</f>
        <v>0</v>
      </c>
      <c r="BE123" s="54">
        <v>0</v>
      </c>
      <c r="BF123" s="54">
        <f>L123</f>
        <v>0.95989572000000001</v>
      </c>
      <c r="BH123" s="54">
        <f>G123*AO123</f>
        <v>0</v>
      </c>
      <c r="BI123" s="54">
        <f>G123*AP123</f>
        <v>0</v>
      </c>
      <c r="BJ123" s="54">
        <f>G123*H123</f>
        <v>0</v>
      </c>
      <c r="BK123" s="54"/>
      <c r="BL123" s="54">
        <v>61</v>
      </c>
      <c r="BW123" s="54">
        <v>21</v>
      </c>
      <c r="BX123" s="3" t="s">
        <v>303</v>
      </c>
    </row>
    <row r="124" spans="1:76" ht="14.5" x14ac:dyDescent="0.35">
      <c r="A124" s="57"/>
      <c r="D124" s="58" t="s">
        <v>208</v>
      </c>
      <c r="E124" s="59" t="s">
        <v>304</v>
      </c>
      <c r="G124" s="60">
        <v>0</v>
      </c>
      <c r="M124" s="61"/>
    </row>
    <row r="125" spans="1:76" ht="14.5" x14ac:dyDescent="0.35">
      <c r="A125" s="57"/>
      <c r="D125" s="58" t="s">
        <v>305</v>
      </c>
      <c r="E125" s="59" t="s">
        <v>306</v>
      </c>
      <c r="G125" s="60">
        <v>370.22399999999999</v>
      </c>
      <c r="M125" s="61"/>
    </row>
    <row r="126" spans="1:76" ht="14.5" x14ac:dyDescent="0.35">
      <c r="A126" s="57"/>
      <c r="D126" s="58" t="s">
        <v>307</v>
      </c>
      <c r="E126" s="59" t="s">
        <v>308</v>
      </c>
      <c r="G126" s="60">
        <v>5.6950000000000003</v>
      </c>
      <c r="M126" s="61"/>
    </row>
    <row r="127" spans="1:76" ht="14.5" x14ac:dyDescent="0.35">
      <c r="A127" s="57"/>
      <c r="D127" s="58" t="s">
        <v>309</v>
      </c>
      <c r="E127" s="59" t="s">
        <v>310</v>
      </c>
      <c r="G127" s="60">
        <v>4.992</v>
      </c>
      <c r="M127" s="61"/>
    </row>
    <row r="128" spans="1:76" ht="14.5" x14ac:dyDescent="0.35">
      <c r="A128" s="57"/>
      <c r="C128" s="62" t="s">
        <v>156</v>
      </c>
      <c r="D128" s="211" t="s">
        <v>311</v>
      </c>
      <c r="E128" s="212"/>
      <c r="F128" s="212"/>
      <c r="G128" s="212"/>
      <c r="H128" s="212"/>
      <c r="I128" s="212"/>
      <c r="J128" s="212"/>
      <c r="K128" s="212"/>
      <c r="L128" s="212"/>
      <c r="M128" s="213"/>
      <c r="BX128" s="63" t="s">
        <v>311</v>
      </c>
    </row>
    <row r="129" spans="1:76" ht="14.5" x14ac:dyDescent="0.35">
      <c r="A129" s="1" t="s">
        <v>312</v>
      </c>
      <c r="B129" s="2" t="s">
        <v>103</v>
      </c>
      <c r="C129" s="2" t="s">
        <v>313</v>
      </c>
      <c r="D129" s="155" t="s">
        <v>314</v>
      </c>
      <c r="E129" s="153"/>
      <c r="F129" s="2" t="s">
        <v>110</v>
      </c>
      <c r="G129" s="54">
        <f>'Stavební rozpočet'!G97</f>
        <v>273.93599999999998</v>
      </c>
      <c r="H129" s="94">
        <f>'Stavební rozpočet'!H97</f>
        <v>0</v>
      </c>
      <c r="I129" s="54">
        <f>G129*H129</f>
        <v>0</v>
      </c>
      <c r="J129" s="54">
        <f>'Stavební rozpočet'!J97</f>
        <v>3.6700000000000001E-3</v>
      </c>
      <c r="K129" s="54">
        <f>'Stavební rozpočet'!K97</f>
        <v>0</v>
      </c>
      <c r="L129" s="54">
        <f>G129*J129</f>
        <v>1.0053451199999999</v>
      </c>
      <c r="M129" s="55" t="s">
        <v>111</v>
      </c>
      <c r="Z129" s="54">
        <f>IF(AQ129="5",BJ129,0)</f>
        <v>0</v>
      </c>
      <c r="AB129" s="54">
        <f>IF(AQ129="1",BH129,0)</f>
        <v>0</v>
      </c>
      <c r="AC129" s="54">
        <f>IF(AQ129="1",BI129,0)</f>
        <v>0</v>
      </c>
      <c r="AD129" s="54">
        <f>IF(AQ129="7",BH129,0)</f>
        <v>0</v>
      </c>
      <c r="AE129" s="54">
        <f>IF(AQ129="7",BI129,0)</f>
        <v>0</v>
      </c>
      <c r="AF129" s="54">
        <f>IF(AQ129="2",BH129,0)</f>
        <v>0</v>
      </c>
      <c r="AG129" s="54">
        <f>IF(AQ129="2",BI129,0)</f>
        <v>0</v>
      </c>
      <c r="AH129" s="54">
        <f>IF(AQ129="0",BJ129,0)</f>
        <v>0</v>
      </c>
      <c r="AI129" s="34" t="s">
        <v>103</v>
      </c>
      <c r="AJ129" s="54">
        <f>IF(AN129=0,I129,0)</f>
        <v>0</v>
      </c>
      <c r="AK129" s="54">
        <f>IF(AN129=12,I129,0)</f>
        <v>0</v>
      </c>
      <c r="AL129" s="54">
        <f>IF(AN129=21,I129,0)</f>
        <v>0</v>
      </c>
      <c r="AN129" s="54">
        <v>21</v>
      </c>
      <c r="AO129" s="54">
        <f>H129*0.265633809</f>
        <v>0</v>
      </c>
      <c r="AP129" s="54">
        <f>H129*(1-0.265633809)</f>
        <v>0</v>
      </c>
      <c r="AQ129" s="56" t="s">
        <v>107</v>
      </c>
      <c r="AV129" s="54">
        <f>AW129+AX129</f>
        <v>0</v>
      </c>
      <c r="AW129" s="54">
        <f>G129*AO129</f>
        <v>0</v>
      </c>
      <c r="AX129" s="54">
        <f>G129*AP129</f>
        <v>0</v>
      </c>
      <c r="AY129" s="56" t="s">
        <v>258</v>
      </c>
      <c r="AZ129" s="56" t="s">
        <v>259</v>
      </c>
      <c r="BA129" s="34" t="s">
        <v>114</v>
      </c>
      <c r="BC129" s="54">
        <f>AW129+AX129</f>
        <v>0</v>
      </c>
      <c r="BD129" s="54">
        <f>H129/(100-BE129)*100</f>
        <v>0</v>
      </c>
      <c r="BE129" s="54">
        <v>0</v>
      </c>
      <c r="BF129" s="54">
        <f>L129</f>
        <v>1.0053451199999999</v>
      </c>
      <c r="BH129" s="54">
        <f>G129*AO129</f>
        <v>0</v>
      </c>
      <c r="BI129" s="54">
        <f>G129*AP129</f>
        <v>0</v>
      </c>
      <c r="BJ129" s="54">
        <f>G129*H129</f>
        <v>0</v>
      </c>
      <c r="BK129" s="54"/>
      <c r="BL129" s="54">
        <v>61</v>
      </c>
      <c r="BW129" s="54">
        <v>21</v>
      </c>
      <c r="BX129" s="3" t="s">
        <v>314</v>
      </c>
    </row>
    <row r="130" spans="1:76" ht="13.5" customHeight="1" x14ac:dyDescent="0.35">
      <c r="A130" s="57"/>
      <c r="C130" s="62" t="s">
        <v>122</v>
      </c>
      <c r="D130" s="214" t="s">
        <v>315</v>
      </c>
      <c r="E130" s="215"/>
      <c r="F130" s="215"/>
      <c r="G130" s="215"/>
      <c r="H130" s="215"/>
      <c r="I130" s="215"/>
      <c r="J130" s="215"/>
      <c r="K130" s="215"/>
      <c r="L130" s="215"/>
      <c r="M130" s="216"/>
    </row>
    <row r="131" spans="1:76" ht="14.5" x14ac:dyDescent="0.35">
      <c r="A131" s="57"/>
      <c r="D131" s="58" t="s">
        <v>208</v>
      </c>
      <c r="E131" s="59" t="s">
        <v>316</v>
      </c>
      <c r="G131" s="60">
        <v>0</v>
      </c>
      <c r="M131" s="61"/>
    </row>
    <row r="132" spans="1:76" ht="14.5" x14ac:dyDescent="0.35">
      <c r="A132" s="57"/>
      <c r="D132" s="58" t="s">
        <v>317</v>
      </c>
      <c r="E132" s="59" t="s">
        <v>318</v>
      </c>
      <c r="G132" s="60">
        <v>101.664</v>
      </c>
      <c r="M132" s="61"/>
    </row>
    <row r="133" spans="1:76" ht="14.5" x14ac:dyDescent="0.35">
      <c r="A133" s="57"/>
      <c r="D133" s="58" t="s">
        <v>319</v>
      </c>
      <c r="E133" s="59" t="s">
        <v>320</v>
      </c>
      <c r="G133" s="60">
        <v>172.27199999999999</v>
      </c>
      <c r="M133" s="61"/>
    </row>
    <row r="134" spans="1:76" ht="14.5" x14ac:dyDescent="0.35">
      <c r="A134" s="57"/>
      <c r="C134" s="62" t="s">
        <v>156</v>
      </c>
      <c r="D134" s="211" t="s">
        <v>321</v>
      </c>
      <c r="E134" s="212"/>
      <c r="F134" s="212"/>
      <c r="G134" s="212"/>
      <c r="H134" s="212"/>
      <c r="I134" s="212"/>
      <c r="J134" s="212"/>
      <c r="K134" s="212"/>
      <c r="L134" s="212"/>
      <c r="M134" s="213"/>
      <c r="BX134" s="63" t="s">
        <v>321</v>
      </c>
    </row>
    <row r="135" spans="1:76" ht="14.5" x14ac:dyDescent="0.35">
      <c r="A135" s="50" t="s">
        <v>10</v>
      </c>
      <c r="B135" s="51" t="s">
        <v>103</v>
      </c>
      <c r="C135" s="51" t="s">
        <v>322</v>
      </c>
      <c r="D135" s="206" t="s">
        <v>323</v>
      </c>
      <c r="E135" s="207"/>
      <c r="F135" s="52" t="s">
        <v>84</v>
      </c>
      <c r="G135" s="52" t="s">
        <v>84</v>
      </c>
      <c r="H135" s="52" t="s">
        <v>84</v>
      </c>
      <c r="I135" s="27">
        <f>SUM(I136:I141)</f>
        <v>0</v>
      </c>
      <c r="J135" s="34" t="s">
        <v>10</v>
      </c>
      <c r="K135" s="34" t="s">
        <v>10</v>
      </c>
      <c r="L135" s="27">
        <f>SUM(L136:L141)</f>
        <v>2.2712760000000003</v>
      </c>
      <c r="M135" s="53" t="s">
        <v>10</v>
      </c>
      <c r="AI135" s="34" t="s">
        <v>103</v>
      </c>
      <c r="AS135" s="27">
        <f>SUM(AJ136:AJ141)</f>
        <v>0</v>
      </c>
      <c r="AT135" s="27">
        <f>SUM(AK136:AK141)</f>
        <v>0</v>
      </c>
      <c r="AU135" s="27">
        <f>SUM(AL136:AL141)</f>
        <v>0</v>
      </c>
    </row>
    <row r="136" spans="1:76" ht="14.5" x14ac:dyDescent="0.35">
      <c r="A136" s="1" t="s">
        <v>198</v>
      </c>
      <c r="B136" s="2" t="s">
        <v>103</v>
      </c>
      <c r="C136" s="2" t="s">
        <v>324</v>
      </c>
      <c r="D136" s="155" t="s">
        <v>325</v>
      </c>
      <c r="E136" s="153"/>
      <c r="F136" s="2" t="s">
        <v>110</v>
      </c>
      <c r="G136" s="54">
        <f>'Stavební rozpočet'!G102</f>
        <v>61.68</v>
      </c>
      <c r="H136" s="94">
        <f>'Stavební rozpočet'!H102</f>
        <v>0</v>
      </c>
      <c r="I136" s="54">
        <f>G136*H136</f>
        <v>0</v>
      </c>
      <c r="J136" s="54">
        <f>'Stavební rozpočet'!J102</f>
        <v>1.7850000000000001E-2</v>
      </c>
      <c r="K136" s="54">
        <f>'Stavební rozpočet'!K102</f>
        <v>0</v>
      </c>
      <c r="L136" s="54">
        <f>G136*J136</f>
        <v>1.1009880000000001</v>
      </c>
      <c r="M136" s="55" t="s">
        <v>111</v>
      </c>
      <c r="Z136" s="54">
        <f>IF(AQ136="5",BJ136,0)</f>
        <v>0</v>
      </c>
      <c r="AB136" s="54">
        <f>IF(AQ136="1",BH136,0)</f>
        <v>0</v>
      </c>
      <c r="AC136" s="54">
        <f>IF(AQ136="1",BI136,0)</f>
        <v>0</v>
      </c>
      <c r="AD136" s="54">
        <f>IF(AQ136="7",BH136,0)</f>
        <v>0</v>
      </c>
      <c r="AE136" s="54">
        <f>IF(AQ136="7",BI136,0)</f>
        <v>0</v>
      </c>
      <c r="AF136" s="54">
        <f>IF(AQ136="2",BH136,0)</f>
        <v>0</v>
      </c>
      <c r="AG136" s="54">
        <f>IF(AQ136="2",BI136,0)</f>
        <v>0</v>
      </c>
      <c r="AH136" s="54">
        <f>IF(AQ136="0",BJ136,0)</f>
        <v>0</v>
      </c>
      <c r="AI136" s="34" t="s">
        <v>103</v>
      </c>
      <c r="AJ136" s="54">
        <f>IF(AN136=0,I136,0)</f>
        <v>0</v>
      </c>
      <c r="AK136" s="54">
        <f>IF(AN136=12,I136,0)</f>
        <v>0</v>
      </c>
      <c r="AL136" s="54">
        <f>IF(AN136=21,I136,0)</f>
        <v>0</v>
      </c>
      <c r="AN136" s="54">
        <v>21</v>
      </c>
      <c r="AO136" s="54">
        <f>H136*0.727830941</f>
        <v>0</v>
      </c>
      <c r="AP136" s="54">
        <f>H136*(1-0.727830941)</f>
        <v>0</v>
      </c>
      <c r="AQ136" s="56" t="s">
        <v>107</v>
      </c>
      <c r="AV136" s="54">
        <f>AW136+AX136</f>
        <v>0</v>
      </c>
      <c r="AW136" s="54">
        <f>G136*AO136</f>
        <v>0</v>
      </c>
      <c r="AX136" s="54">
        <f>G136*AP136</f>
        <v>0</v>
      </c>
      <c r="AY136" s="56" t="s">
        <v>326</v>
      </c>
      <c r="AZ136" s="56" t="s">
        <v>259</v>
      </c>
      <c r="BA136" s="34" t="s">
        <v>114</v>
      </c>
      <c r="BC136" s="54">
        <f>AW136+AX136</f>
        <v>0</v>
      </c>
      <c r="BD136" s="54">
        <f>H136/(100-BE136)*100</f>
        <v>0</v>
      </c>
      <c r="BE136" s="54">
        <v>0</v>
      </c>
      <c r="BF136" s="54">
        <f>L136</f>
        <v>1.1009880000000001</v>
      </c>
      <c r="BH136" s="54">
        <f>G136*AO136</f>
        <v>0</v>
      </c>
      <c r="BI136" s="54">
        <f>G136*AP136</f>
        <v>0</v>
      </c>
      <c r="BJ136" s="54">
        <f>G136*H136</f>
        <v>0</v>
      </c>
      <c r="BK136" s="54"/>
      <c r="BL136" s="54">
        <v>63</v>
      </c>
      <c r="BW136" s="54">
        <v>21</v>
      </c>
      <c r="BX136" s="3" t="s">
        <v>325</v>
      </c>
    </row>
    <row r="137" spans="1:76" ht="14.5" x14ac:dyDescent="0.35">
      <c r="A137" s="57"/>
      <c r="D137" s="58" t="s">
        <v>208</v>
      </c>
      <c r="E137" s="59" t="s">
        <v>327</v>
      </c>
      <c r="G137" s="60">
        <v>0</v>
      </c>
      <c r="M137" s="61"/>
    </row>
    <row r="138" spans="1:76" ht="14.5" x14ac:dyDescent="0.35">
      <c r="A138" s="57"/>
      <c r="C138" s="62" t="s">
        <v>156</v>
      </c>
      <c r="D138" s="211" t="s">
        <v>328</v>
      </c>
      <c r="E138" s="212"/>
      <c r="F138" s="212"/>
      <c r="G138" s="212"/>
      <c r="H138" s="212"/>
      <c r="I138" s="212"/>
      <c r="J138" s="212"/>
      <c r="K138" s="212"/>
      <c r="L138" s="212"/>
      <c r="M138" s="213"/>
      <c r="BX138" s="63" t="s">
        <v>328</v>
      </c>
    </row>
    <row r="139" spans="1:76" ht="14.5" x14ac:dyDescent="0.35">
      <c r="A139" s="57"/>
      <c r="D139" s="58" t="s">
        <v>329</v>
      </c>
      <c r="E139" s="59" t="s">
        <v>330</v>
      </c>
      <c r="G139" s="60">
        <v>61.68</v>
      </c>
      <c r="M139" s="61"/>
    </row>
    <row r="140" spans="1:76" ht="14.5" x14ac:dyDescent="0.35">
      <c r="A140" s="57"/>
      <c r="C140" s="62" t="s">
        <v>156</v>
      </c>
      <c r="D140" s="211" t="s">
        <v>328</v>
      </c>
      <c r="E140" s="212"/>
      <c r="F140" s="212"/>
      <c r="G140" s="212"/>
      <c r="H140" s="212"/>
      <c r="I140" s="212"/>
      <c r="J140" s="212"/>
      <c r="K140" s="212"/>
      <c r="L140" s="212"/>
      <c r="M140" s="213"/>
      <c r="BX140" s="63" t="s">
        <v>328</v>
      </c>
    </row>
    <row r="141" spans="1:76" ht="14.5" x14ac:dyDescent="0.35">
      <c r="A141" s="1" t="s">
        <v>331</v>
      </c>
      <c r="B141" s="2" t="s">
        <v>103</v>
      </c>
      <c r="C141" s="2" t="s">
        <v>332</v>
      </c>
      <c r="D141" s="155" t="s">
        <v>333</v>
      </c>
      <c r="E141" s="153"/>
      <c r="F141" s="2" t="s">
        <v>110</v>
      </c>
      <c r="G141" s="54">
        <f>'Stavební rozpočet'!G105</f>
        <v>41.28</v>
      </c>
      <c r="H141" s="94">
        <f>'Stavební rozpočet'!H105</f>
        <v>0</v>
      </c>
      <c r="I141" s="54">
        <f>G141*H141</f>
        <v>0</v>
      </c>
      <c r="J141" s="54">
        <f>'Stavební rozpočet'!J105</f>
        <v>2.835E-2</v>
      </c>
      <c r="K141" s="54">
        <f>'Stavební rozpočet'!K105</f>
        <v>0</v>
      </c>
      <c r="L141" s="54">
        <f>G141*J141</f>
        <v>1.170288</v>
      </c>
      <c r="M141" s="55" t="s">
        <v>111</v>
      </c>
      <c r="Z141" s="54">
        <f>IF(AQ141="5",BJ141,0)</f>
        <v>0</v>
      </c>
      <c r="AB141" s="54">
        <f>IF(AQ141="1",BH141,0)</f>
        <v>0</v>
      </c>
      <c r="AC141" s="54">
        <f>IF(AQ141="1",BI141,0)</f>
        <v>0</v>
      </c>
      <c r="AD141" s="54">
        <f>IF(AQ141="7",BH141,0)</f>
        <v>0</v>
      </c>
      <c r="AE141" s="54">
        <f>IF(AQ141="7",BI141,0)</f>
        <v>0</v>
      </c>
      <c r="AF141" s="54">
        <f>IF(AQ141="2",BH141,0)</f>
        <v>0</v>
      </c>
      <c r="AG141" s="54">
        <f>IF(AQ141="2",BI141,0)</f>
        <v>0</v>
      </c>
      <c r="AH141" s="54">
        <f>IF(AQ141="0",BJ141,0)</f>
        <v>0</v>
      </c>
      <c r="AI141" s="34" t="s">
        <v>103</v>
      </c>
      <c r="AJ141" s="54">
        <f>IF(AN141=0,I141,0)</f>
        <v>0</v>
      </c>
      <c r="AK141" s="54">
        <f>IF(AN141=12,I141,0)</f>
        <v>0</v>
      </c>
      <c r="AL141" s="54">
        <f>IF(AN141=21,I141,0)</f>
        <v>0</v>
      </c>
      <c r="AN141" s="54">
        <v>21</v>
      </c>
      <c r="AO141" s="54">
        <f>H141*0.62548488</f>
        <v>0</v>
      </c>
      <c r="AP141" s="54">
        <f>H141*(1-0.62548488)</f>
        <v>0</v>
      </c>
      <c r="AQ141" s="56" t="s">
        <v>107</v>
      </c>
      <c r="AV141" s="54">
        <f>AW141+AX141</f>
        <v>0</v>
      </c>
      <c r="AW141" s="54">
        <f>G141*AO141</f>
        <v>0</v>
      </c>
      <c r="AX141" s="54">
        <f>G141*AP141</f>
        <v>0</v>
      </c>
      <c r="AY141" s="56" t="s">
        <v>326</v>
      </c>
      <c r="AZ141" s="56" t="s">
        <v>259</v>
      </c>
      <c r="BA141" s="34" t="s">
        <v>114</v>
      </c>
      <c r="BC141" s="54">
        <f>AW141+AX141</f>
        <v>0</v>
      </c>
      <c r="BD141" s="54">
        <f>H141/(100-BE141)*100</f>
        <v>0</v>
      </c>
      <c r="BE141" s="54">
        <v>0</v>
      </c>
      <c r="BF141" s="54">
        <f>L141</f>
        <v>1.170288</v>
      </c>
      <c r="BH141" s="54">
        <f>G141*AO141</f>
        <v>0</v>
      </c>
      <c r="BI141" s="54">
        <f>G141*AP141</f>
        <v>0</v>
      </c>
      <c r="BJ141" s="54">
        <f>G141*H141</f>
        <v>0</v>
      </c>
      <c r="BK141" s="54"/>
      <c r="BL141" s="54">
        <v>63</v>
      </c>
      <c r="BW141" s="54">
        <v>21</v>
      </c>
      <c r="BX141" s="3" t="s">
        <v>333</v>
      </c>
    </row>
    <row r="142" spans="1:76" ht="13.5" customHeight="1" x14ac:dyDescent="0.35">
      <c r="A142" s="57"/>
      <c r="C142" s="62" t="s">
        <v>122</v>
      </c>
      <c r="D142" s="214" t="s">
        <v>334</v>
      </c>
      <c r="E142" s="215"/>
      <c r="F142" s="215"/>
      <c r="G142" s="215"/>
      <c r="H142" s="215"/>
      <c r="I142" s="215"/>
      <c r="J142" s="215"/>
      <c r="K142" s="215"/>
      <c r="L142" s="215"/>
      <c r="M142" s="216"/>
    </row>
    <row r="143" spans="1:76" ht="14.5" x14ac:dyDescent="0.35">
      <c r="A143" s="57"/>
      <c r="D143" s="58" t="s">
        <v>208</v>
      </c>
      <c r="E143" s="59" t="s">
        <v>335</v>
      </c>
      <c r="G143" s="60">
        <v>0</v>
      </c>
      <c r="M143" s="61"/>
    </row>
    <row r="144" spans="1:76" ht="14.5" x14ac:dyDescent="0.35">
      <c r="A144" s="57"/>
      <c r="D144" s="58" t="s">
        <v>336</v>
      </c>
      <c r="E144" s="59" t="s">
        <v>337</v>
      </c>
      <c r="G144" s="60">
        <v>22.54</v>
      </c>
      <c r="M144" s="61"/>
    </row>
    <row r="145" spans="1:76" ht="14.5" x14ac:dyDescent="0.35">
      <c r="A145" s="57"/>
      <c r="D145" s="58" t="s">
        <v>338</v>
      </c>
      <c r="E145" s="59" t="s">
        <v>339</v>
      </c>
      <c r="G145" s="60">
        <v>17.23</v>
      </c>
      <c r="M145" s="61"/>
    </row>
    <row r="146" spans="1:76" ht="14.5" x14ac:dyDescent="0.35">
      <c r="A146" s="57"/>
      <c r="C146" s="62" t="s">
        <v>156</v>
      </c>
      <c r="D146" s="211" t="s">
        <v>340</v>
      </c>
      <c r="E146" s="212"/>
      <c r="F146" s="212"/>
      <c r="G146" s="212"/>
      <c r="H146" s="212"/>
      <c r="I146" s="212"/>
      <c r="J146" s="212"/>
      <c r="K146" s="212"/>
      <c r="L146" s="212"/>
      <c r="M146" s="213"/>
      <c r="BX146" s="63" t="s">
        <v>340</v>
      </c>
    </row>
    <row r="147" spans="1:76" ht="14.5" x14ac:dyDescent="0.35">
      <c r="A147" s="57"/>
      <c r="D147" s="58" t="s">
        <v>341</v>
      </c>
      <c r="E147" s="59" t="s">
        <v>342</v>
      </c>
      <c r="G147" s="60">
        <v>1.51</v>
      </c>
      <c r="M147" s="61"/>
    </row>
    <row r="148" spans="1:76" ht="14.5" x14ac:dyDescent="0.35">
      <c r="A148" s="57"/>
      <c r="C148" s="62" t="s">
        <v>156</v>
      </c>
      <c r="D148" s="211" t="s">
        <v>340</v>
      </c>
      <c r="E148" s="212"/>
      <c r="F148" s="212"/>
      <c r="G148" s="212"/>
      <c r="H148" s="212"/>
      <c r="I148" s="212"/>
      <c r="J148" s="212"/>
      <c r="K148" s="212"/>
      <c r="L148" s="212"/>
      <c r="M148" s="213"/>
      <c r="BX148" s="63" t="s">
        <v>340</v>
      </c>
    </row>
    <row r="149" spans="1:76" ht="14.5" x14ac:dyDescent="0.35">
      <c r="A149" s="50" t="s">
        <v>10</v>
      </c>
      <c r="B149" s="51" t="s">
        <v>103</v>
      </c>
      <c r="C149" s="51" t="s">
        <v>343</v>
      </c>
      <c r="D149" s="206" t="s">
        <v>344</v>
      </c>
      <c r="E149" s="207"/>
      <c r="F149" s="52" t="s">
        <v>84</v>
      </c>
      <c r="G149" s="52" t="s">
        <v>84</v>
      </c>
      <c r="H149" s="52" t="s">
        <v>84</v>
      </c>
      <c r="I149" s="27">
        <f>SUM(I150:I157)</f>
        <v>0</v>
      </c>
      <c r="J149" s="34" t="s">
        <v>10</v>
      </c>
      <c r="K149" s="34" t="s">
        <v>10</v>
      </c>
      <c r="L149" s="27">
        <f>SUM(L150:L157)</f>
        <v>1.50576</v>
      </c>
      <c r="M149" s="53" t="s">
        <v>10</v>
      </c>
      <c r="AI149" s="34" t="s">
        <v>103</v>
      </c>
      <c r="AS149" s="27">
        <f>SUM(AJ150:AJ157)</f>
        <v>0</v>
      </c>
      <c r="AT149" s="27">
        <f>SUM(AK150:AK157)</f>
        <v>0</v>
      </c>
      <c r="AU149" s="27">
        <f>SUM(AL150:AL157)</f>
        <v>0</v>
      </c>
    </row>
    <row r="150" spans="1:76" ht="14.5" x14ac:dyDescent="0.35">
      <c r="A150" s="1" t="s">
        <v>345</v>
      </c>
      <c r="B150" s="2" t="s">
        <v>103</v>
      </c>
      <c r="C150" s="2" t="s">
        <v>346</v>
      </c>
      <c r="D150" s="155" t="s">
        <v>347</v>
      </c>
      <c r="E150" s="153"/>
      <c r="F150" s="2" t="s">
        <v>196</v>
      </c>
      <c r="G150" s="54">
        <f>'Stavební rozpočet'!G111</f>
        <v>24</v>
      </c>
      <c r="H150" s="94">
        <f>'Stavební rozpočet'!H111</f>
        <v>0</v>
      </c>
      <c r="I150" s="54">
        <f>G150*H150</f>
        <v>0</v>
      </c>
      <c r="J150" s="54">
        <f>'Stavební rozpočet'!J111</f>
        <v>3.1269999999999999E-2</v>
      </c>
      <c r="K150" s="54">
        <f>'Stavební rozpočet'!K111</f>
        <v>0</v>
      </c>
      <c r="L150" s="54">
        <f>G150*J150</f>
        <v>0.75048000000000004</v>
      </c>
      <c r="M150" s="55" t="s">
        <v>111</v>
      </c>
      <c r="Z150" s="54">
        <f>IF(AQ150="5",BJ150,0)</f>
        <v>0</v>
      </c>
      <c r="AB150" s="54">
        <f>IF(AQ150="1",BH150,0)</f>
        <v>0</v>
      </c>
      <c r="AC150" s="54">
        <f>IF(AQ150="1",BI150,0)</f>
        <v>0</v>
      </c>
      <c r="AD150" s="54">
        <f>IF(AQ150="7",BH150,0)</f>
        <v>0</v>
      </c>
      <c r="AE150" s="54">
        <f>IF(AQ150="7",BI150,0)</f>
        <v>0</v>
      </c>
      <c r="AF150" s="54">
        <f>IF(AQ150="2",BH150,0)</f>
        <v>0</v>
      </c>
      <c r="AG150" s="54">
        <f>IF(AQ150="2",BI150,0)</f>
        <v>0</v>
      </c>
      <c r="AH150" s="54">
        <f>IF(AQ150="0",BJ150,0)</f>
        <v>0</v>
      </c>
      <c r="AI150" s="34" t="s">
        <v>103</v>
      </c>
      <c r="AJ150" s="54">
        <f>IF(AN150=0,I150,0)</f>
        <v>0</v>
      </c>
      <c r="AK150" s="54">
        <f>IF(AN150=12,I150,0)</f>
        <v>0</v>
      </c>
      <c r="AL150" s="54">
        <f>IF(AN150=21,I150,0)</f>
        <v>0</v>
      </c>
      <c r="AN150" s="54">
        <v>21</v>
      </c>
      <c r="AO150" s="54">
        <f>H150*0.617040404</f>
        <v>0</v>
      </c>
      <c r="AP150" s="54">
        <f>H150*(1-0.617040404)</f>
        <v>0</v>
      </c>
      <c r="AQ150" s="56" t="s">
        <v>107</v>
      </c>
      <c r="AV150" s="54">
        <f>AW150+AX150</f>
        <v>0</v>
      </c>
      <c r="AW150" s="54">
        <f>G150*AO150</f>
        <v>0</v>
      </c>
      <c r="AX150" s="54">
        <f>G150*AP150</f>
        <v>0</v>
      </c>
      <c r="AY150" s="56" t="s">
        <v>348</v>
      </c>
      <c r="AZ150" s="56" t="s">
        <v>259</v>
      </c>
      <c r="BA150" s="34" t="s">
        <v>114</v>
      </c>
      <c r="BC150" s="54">
        <f>AW150+AX150</f>
        <v>0</v>
      </c>
      <c r="BD150" s="54">
        <f>H150/(100-BE150)*100</f>
        <v>0</v>
      </c>
      <c r="BE150" s="54">
        <v>0</v>
      </c>
      <c r="BF150" s="54">
        <f>L150</f>
        <v>0.75048000000000004</v>
      </c>
      <c r="BH150" s="54">
        <f>G150*AO150</f>
        <v>0</v>
      </c>
      <c r="BI150" s="54">
        <f>G150*AP150</f>
        <v>0</v>
      </c>
      <c r="BJ150" s="54">
        <f>G150*H150</f>
        <v>0</v>
      </c>
      <c r="BK150" s="54"/>
      <c r="BL150" s="54">
        <v>64</v>
      </c>
      <c r="BW150" s="54">
        <v>21</v>
      </c>
      <c r="BX150" s="3" t="s">
        <v>347</v>
      </c>
    </row>
    <row r="151" spans="1:76" ht="13.5" customHeight="1" x14ac:dyDescent="0.35">
      <c r="A151" s="57"/>
      <c r="C151" s="62" t="s">
        <v>122</v>
      </c>
      <c r="D151" s="214" t="s">
        <v>349</v>
      </c>
      <c r="E151" s="215"/>
      <c r="F151" s="215"/>
      <c r="G151" s="215"/>
      <c r="H151" s="215"/>
      <c r="I151" s="215"/>
      <c r="J151" s="215"/>
      <c r="K151" s="215"/>
      <c r="L151" s="215"/>
      <c r="M151" s="216"/>
    </row>
    <row r="152" spans="1:76" ht="14.5" x14ac:dyDescent="0.35">
      <c r="A152" s="57"/>
      <c r="D152" s="58" t="s">
        <v>208</v>
      </c>
      <c r="E152" s="59" t="s">
        <v>350</v>
      </c>
      <c r="G152" s="60">
        <v>0</v>
      </c>
      <c r="M152" s="61"/>
    </row>
    <row r="153" spans="1:76" ht="14.5" x14ac:dyDescent="0.35">
      <c r="A153" s="57"/>
      <c r="D153" s="58" t="s">
        <v>351</v>
      </c>
      <c r="E153" s="59" t="s">
        <v>352</v>
      </c>
      <c r="G153" s="60">
        <v>13</v>
      </c>
      <c r="M153" s="61"/>
    </row>
    <row r="154" spans="1:76" ht="130" x14ac:dyDescent="0.35">
      <c r="A154" s="57"/>
      <c r="C154" s="62" t="s">
        <v>156</v>
      </c>
      <c r="D154" s="211" t="s">
        <v>353</v>
      </c>
      <c r="E154" s="212"/>
      <c r="F154" s="212"/>
      <c r="G154" s="212"/>
      <c r="H154" s="212"/>
      <c r="I154" s="212"/>
      <c r="J154" s="212"/>
      <c r="K154" s="212"/>
      <c r="L154" s="212"/>
      <c r="M154" s="213"/>
      <c r="BX154" s="63" t="s">
        <v>353</v>
      </c>
    </row>
    <row r="155" spans="1:76" ht="14.5" x14ac:dyDescent="0.35">
      <c r="A155" s="57"/>
      <c r="D155" s="58" t="s">
        <v>354</v>
      </c>
      <c r="E155" s="59" t="s">
        <v>355</v>
      </c>
      <c r="G155" s="60">
        <v>11</v>
      </c>
      <c r="M155" s="61"/>
    </row>
    <row r="156" spans="1:76" ht="130" x14ac:dyDescent="0.35">
      <c r="A156" s="57"/>
      <c r="C156" s="62" t="s">
        <v>156</v>
      </c>
      <c r="D156" s="211" t="s">
        <v>353</v>
      </c>
      <c r="E156" s="212"/>
      <c r="F156" s="212"/>
      <c r="G156" s="212"/>
      <c r="H156" s="212"/>
      <c r="I156" s="212"/>
      <c r="J156" s="212"/>
      <c r="K156" s="212"/>
      <c r="L156" s="212"/>
      <c r="M156" s="213"/>
      <c r="BX156" s="63" t="s">
        <v>353</v>
      </c>
    </row>
    <row r="157" spans="1:76" ht="14.5" x14ac:dyDescent="0.35">
      <c r="A157" s="1" t="s">
        <v>356</v>
      </c>
      <c r="B157" s="2" t="s">
        <v>103</v>
      </c>
      <c r="C157" s="2" t="s">
        <v>357</v>
      </c>
      <c r="D157" s="155" t="s">
        <v>347</v>
      </c>
      <c r="E157" s="153"/>
      <c r="F157" s="2" t="s">
        <v>196</v>
      </c>
      <c r="G157" s="54">
        <f>'Stavební rozpočet'!G115</f>
        <v>24</v>
      </c>
      <c r="H157" s="94">
        <f>'Stavební rozpočet'!H115</f>
        <v>0</v>
      </c>
      <c r="I157" s="54">
        <f>G157*H157</f>
        <v>0</v>
      </c>
      <c r="J157" s="54">
        <f>'Stavební rozpočet'!J115</f>
        <v>3.1469999999999998E-2</v>
      </c>
      <c r="K157" s="54">
        <f>'Stavební rozpočet'!K115</f>
        <v>0</v>
      </c>
      <c r="L157" s="54">
        <f>G157*J157</f>
        <v>0.75527999999999995</v>
      </c>
      <c r="M157" s="55" t="s">
        <v>111</v>
      </c>
      <c r="Z157" s="54">
        <f>IF(AQ157="5",BJ157,0)</f>
        <v>0</v>
      </c>
      <c r="AB157" s="54">
        <f>IF(AQ157="1",BH157,0)</f>
        <v>0</v>
      </c>
      <c r="AC157" s="54">
        <f>IF(AQ157="1",BI157,0)</f>
        <v>0</v>
      </c>
      <c r="AD157" s="54">
        <f>IF(AQ157="7",BH157,0)</f>
        <v>0</v>
      </c>
      <c r="AE157" s="54">
        <f>IF(AQ157="7",BI157,0)</f>
        <v>0</v>
      </c>
      <c r="AF157" s="54">
        <f>IF(AQ157="2",BH157,0)</f>
        <v>0</v>
      </c>
      <c r="AG157" s="54">
        <f>IF(AQ157="2",BI157,0)</f>
        <v>0</v>
      </c>
      <c r="AH157" s="54">
        <f>IF(AQ157="0",BJ157,0)</f>
        <v>0</v>
      </c>
      <c r="AI157" s="34" t="s">
        <v>103</v>
      </c>
      <c r="AJ157" s="54">
        <f>IF(AN157=0,I157,0)</f>
        <v>0</v>
      </c>
      <c r="AK157" s="54">
        <f>IF(AN157=12,I157,0)</f>
        <v>0</v>
      </c>
      <c r="AL157" s="54">
        <f>IF(AN157=21,I157,0)</f>
        <v>0</v>
      </c>
      <c r="AN157" s="54">
        <v>21</v>
      </c>
      <c r="AO157" s="54">
        <f>H157*0.62087</f>
        <v>0</v>
      </c>
      <c r="AP157" s="54">
        <f>H157*(1-0.62087)</f>
        <v>0</v>
      </c>
      <c r="AQ157" s="56" t="s">
        <v>107</v>
      </c>
      <c r="AV157" s="54">
        <f>AW157+AX157</f>
        <v>0</v>
      </c>
      <c r="AW157" s="54">
        <f>G157*AO157</f>
        <v>0</v>
      </c>
      <c r="AX157" s="54">
        <f>G157*AP157</f>
        <v>0</v>
      </c>
      <c r="AY157" s="56" t="s">
        <v>348</v>
      </c>
      <c r="AZ157" s="56" t="s">
        <v>259</v>
      </c>
      <c r="BA157" s="34" t="s">
        <v>114</v>
      </c>
      <c r="BC157" s="54">
        <f>AW157+AX157</f>
        <v>0</v>
      </c>
      <c r="BD157" s="54">
        <f>H157/(100-BE157)*100</f>
        <v>0</v>
      </c>
      <c r="BE157" s="54">
        <v>0</v>
      </c>
      <c r="BF157" s="54">
        <f>L157</f>
        <v>0.75527999999999995</v>
      </c>
      <c r="BH157" s="54">
        <f>G157*AO157</f>
        <v>0</v>
      </c>
      <c r="BI157" s="54">
        <f>G157*AP157</f>
        <v>0</v>
      </c>
      <c r="BJ157" s="54">
        <f>G157*H157</f>
        <v>0</v>
      </c>
      <c r="BK157" s="54"/>
      <c r="BL157" s="54">
        <v>64</v>
      </c>
      <c r="BW157" s="54">
        <v>21</v>
      </c>
      <c r="BX157" s="3" t="s">
        <v>347</v>
      </c>
    </row>
    <row r="158" spans="1:76" ht="13.5" customHeight="1" x14ac:dyDescent="0.35">
      <c r="A158" s="57"/>
      <c r="C158" s="62" t="s">
        <v>122</v>
      </c>
      <c r="D158" s="214" t="s">
        <v>358</v>
      </c>
      <c r="E158" s="215"/>
      <c r="F158" s="215"/>
      <c r="G158" s="215"/>
      <c r="H158" s="215"/>
      <c r="I158" s="215"/>
      <c r="J158" s="215"/>
      <c r="K158" s="215"/>
      <c r="L158" s="215"/>
      <c r="M158" s="216"/>
    </row>
    <row r="159" spans="1:76" ht="14.5" x14ac:dyDescent="0.35">
      <c r="A159" s="57"/>
      <c r="D159" s="58" t="s">
        <v>208</v>
      </c>
      <c r="E159" s="59" t="s">
        <v>350</v>
      </c>
      <c r="G159" s="60">
        <v>0</v>
      </c>
      <c r="M159" s="61"/>
    </row>
    <row r="160" spans="1:76" ht="14.5" x14ac:dyDescent="0.35">
      <c r="A160" s="57"/>
      <c r="D160" s="58" t="s">
        <v>351</v>
      </c>
      <c r="E160" s="59" t="s">
        <v>359</v>
      </c>
      <c r="G160" s="60">
        <v>13</v>
      </c>
      <c r="M160" s="61"/>
    </row>
    <row r="161" spans="1:76" ht="130" x14ac:dyDescent="0.35">
      <c r="A161" s="57"/>
      <c r="C161" s="62" t="s">
        <v>156</v>
      </c>
      <c r="D161" s="211" t="s">
        <v>353</v>
      </c>
      <c r="E161" s="212"/>
      <c r="F161" s="212"/>
      <c r="G161" s="212"/>
      <c r="H161" s="212"/>
      <c r="I161" s="212"/>
      <c r="J161" s="212"/>
      <c r="K161" s="212"/>
      <c r="L161" s="212"/>
      <c r="M161" s="213"/>
      <c r="BX161" s="63" t="s">
        <v>353</v>
      </c>
    </row>
    <row r="162" spans="1:76" ht="14.5" x14ac:dyDescent="0.35">
      <c r="A162" s="57"/>
      <c r="D162" s="58" t="s">
        <v>354</v>
      </c>
      <c r="E162" s="59" t="s">
        <v>360</v>
      </c>
      <c r="G162" s="60">
        <v>11</v>
      </c>
      <c r="M162" s="61"/>
    </row>
    <row r="163" spans="1:76" ht="130" x14ac:dyDescent="0.35">
      <c r="A163" s="57"/>
      <c r="C163" s="62" t="s">
        <v>156</v>
      </c>
      <c r="D163" s="211" t="s">
        <v>353</v>
      </c>
      <c r="E163" s="212"/>
      <c r="F163" s="212"/>
      <c r="G163" s="212"/>
      <c r="H163" s="212"/>
      <c r="I163" s="212"/>
      <c r="J163" s="212"/>
      <c r="K163" s="212"/>
      <c r="L163" s="212"/>
      <c r="M163" s="213"/>
      <c r="BX163" s="63" t="s">
        <v>353</v>
      </c>
    </row>
    <row r="164" spans="1:76" ht="14.5" x14ac:dyDescent="0.35">
      <c r="A164" s="50" t="s">
        <v>10</v>
      </c>
      <c r="B164" s="51" t="s">
        <v>103</v>
      </c>
      <c r="C164" s="51" t="s">
        <v>361</v>
      </c>
      <c r="D164" s="206" t="s">
        <v>362</v>
      </c>
      <c r="E164" s="207"/>
      <c r="F164" s="52" t="s">
        <v>84</v>
      </c>
      <c r="G164" s="52" t="s">
        <v>84</v>
      </c>
      <c r="H164" s="52" t="s">
        <v>84</v>
      </c>
      <c r="I164" s="27">
        <f>SUM(I165:I191)</f>
        <v>0</v>
      </c>
      <c r="J164" s="34" t="s">
        <v>10</v>
      </c>
      <c r="K164" s="34" t="s">
        <v>10</v>
      </c>
      <c r="L164" s="27">
        <f>SUM(L165:L191)</f>
        <v>1.0591094400000001</v>
      </c>
      <c r="M164" s="53" t="s">
        <v>10</v>
      </c>
      <c r="AI164" s="34" t="s">
        <v>103</v>
      </c>
      <c r="AS164" s="27">
        <f>SUM(AJ165:AJ191)</f>
        <v>0</v>
      </c>
      <c r="AT164" s="27">
        <f>SUM(AK165:AK191)</f>
        <v>0</v>
      </c>
      <c r="AU164" s="27">
        <f>SUM(AL165:AL191)</f>
        <v>0</v>
      </c>
    </row>
    <row r="165" spans="1:76" ht="14.5" x14ac:dyDescent="0.35">
      <c r="A165" s="1" t="s">
        <v>363</v>
      </c>
      <c r="B165" s="2" t="s">
        <v>103</v>
      </c>
      <c r="C165" s="2" t="s">
        <v>364</v>
      </c>
      <c r="D165" s="155" t="s">
        <v>365</v>
      </c>
      <c r="E165" s="153"/>
      <c r="F165" s="2" t="s">
        <v>110</v>
      </c>
      <c r="G165" s="54">
        <f>'Stavební rozpočet'!G120</f>
        <v>85.248000000000005</v>
      </c>
      <c r="H165" s="94">
        <f>'Stavební rozpočet'!H120</f>
        <v>0</v>
      </c>
      <c r="I165" s="54">
        <f>G165*H165</f>
        <v>0</v>
      </c>
      <c r="J165" s="54">
        <f>'Stavební rozpočet'!J120</f>
        <v>3.7799999999999999E-3</v>
      </c>
      <c r="K165" s="54">
        <f>'Stavební rozpočet'!K120</f>
        <v>0</v>
      </c>
      <c r="L165" s="54">
        <f>G165*J165</f>
        <v>0.32223743999999999</v>
      </c>
      <c r="M165" s="55" t="s">
        <v>111</v>
      </c>
      <c r="Z165" s="54">
        <f>IF(AQ165="5",BJ165,0)</f>
        <v>0</v>
      </c>
      <c r="AB165" s="54">
        <f>IF(AQ165="1",BH165,0)</f>
        <v>0</v>
      </c>
      <c r="AC165" s="54">
        <f>IF(AQ165="1",BI165,0)</f>
        <v>0</v>
      </c>
      <c r="AD165" s="54">
        <f>IF(AQ165="7",BH165,0)</f>
        <v>0</v>
      </c>
      <c r="AE165" s="54">
        <f>IF(AQ165="7",BI165,0)</f>
        <v>0</v>
      </c>
      <c r="AF165" s="54">
        <f>IF(AQ165="2",BH165,0)</f>
        <v>0</v>
      </c>
      <c r="AG165" s="54">
        <f>IF(AQ165="2",BI165,0)</f>
        <v>0</v>
      </c>
      <c r="AH165" s="54">
        <f>IF(AQ165="0",BJ165,0)</f>
        <v>0</v>
      </c>
      <c r="AI165" s="34" t="s">
        <v>103</v>
      </c>
      <c r="AJ165" s="54">
        <f>IF(AN165=0,I165,0)</f>
        <v>0</v>
      </c>
      <c r="AK165" s="54">
        <f>IF(AN165=12,I165,0)</f>
        <v>0</v>
      </c>
      <c r="AL165" s="54">
        <f>IF(AN165=21,I165,0)</f>
        <v>0</v>
      </c>
      <c r="AN165" s="54">
        <v>21</v>
      </c>
      <c r="AO165" s="54">
        <f>H165*0.668423021</f>
        <v>0</v>
      </c>
      <c r="AP165" s="54">
        <f>H165*(1-0.668423021)</f>
        <v>0</v>
      </c>
      <c r="AQ165" s="56" t="s">
        <v>168</v>
      </c>
      <c r="AV165" s="54">
        <f>AW165+AX165</f>
        <v>0</v>
      </c>
      <c r="AW165" s="54">
        <f>G165*AO165</f>
        <v>0</v>
      </c>
      <c r="AX165" s="54">
        <f>G165*AP165</f>
        <v>0</v>
      </c>
      <c r="AY165" s="56" t="s">
        <v>366</v>
      </c>
      <c r="AZ165" s="56" t="s">
        <v>367</v>
      </c>
      <c r="BA165" s="34" t="s">
        <v>114</v>
      </c>
      <c r="BC165" s="54">
        <f>AW165+AX165</f>
        <v>0</v>
      </c>
      <c r="BD165" s="54">
        <f>H165/(100-BE165)*100</f>
        <v>0</v>
      </c>
      <c r="BE165" s="54">
        <v>0</v>
      </c>
      <c r="BF165" s="54">
        <f>L165</f>
        <v>0.32223743999999999</v>
      </c>
      <c r="BH165" s="54">
        <f>G165*AO165</f>
        <v>0</v>
      </c>
      <c r="BI165" s="54">
        <f>G165*AP165</f>
        <v>0</v>
      </c>
      <c r="BJ165" s="54">
        <f>G165*H165</f>
        <v>0</v>
      </c>
      <c r="BK165" s="54"/>
      <c r="BL165" s="54">
        <v>711</v>
      </c>
      <c r="BW165" s="54">
        <v>21</v>
      </c>
      <c r="BX165" s="3" t="s">
        <v>365</v>
      </c>
    </row>
    <row r="166" spans="1:76" ht="27" customHeight="1" x14ac:dyDescent="0.35">
      <c r="A166" s="57"/>
      <c r="C166" s="62" t="s">
        <v>122</v>
      </c>
      <c r="D166" s="214" t="s">
        <v>368</v>
      </c>
      <c r="E166" s="215"/>
      <c r="F166" s="215"/>
      <c r="G166" s="215"/>
      <c r="H166" s="215"/>
      <c r="I166" s="215"/>
      <c r="J166" s="215"/>
      <c r="K166" s="215"/>
      <c r="L166" s="215"/>
      <c r="M166" s="216"/>
    </row>
    <row r="167" spans="1:76" ht="14.5" x14ac:dyDescent="0.35">
      <c r="A167" s="57"/>
      <c r="D167" s="58" t="s">
        <v>208</v>
      </c>
      <c r="E167" s="59" t="s">
        <v>369</v>
      </c>
      <c r="G167" s="60">
        <v>0</v>
      </c>
      <c r="M167" s="61"/>
    </row>
    <row r="168" spans="1:76" ht="14.5" x14ac:dyDescent="0.35">
      <c r="A168" s="57"/>
      <c r="D168" s="58" t="s">
        <v>370</v>
      </c>
      <c r="E168" s="59" t="s">
        <v>371</v>
      </c>
      <c r="G168" s="60">
        <v>22.058</v>
      </c>
      <c r="M168" s="61"/>
    </row>
    <row r="169" spans="1:76" ht="14.5" x14ac:dyDescent="0.35">
      <c r="A169" s="57"/>
      <c r="D169" s="58" t="s">
        <v>329</v>
      </c>
      <c r="E169" s="59" t="s">
        <v>372</v>
      </c>
      <c r="G169" s="60">
        <v>61.68</v>
      </c>
      <c r="M169" s="61"/>
    </row>
    <row r="170" spans="1:76" ht="14.5" x14ac:dyDescent="0.35">
      <c r="A170" s="57"/>
      <c r="D170" s="58" t="s">
        <v>341</v>
      </c>
      <c r="E170" s="59" t="s">
        <v>373</v>
      </c>
      <c r="G170" s="60">
        <v>1.51</v>
      </c>
      <c r="M170" s="61"/>
    </row>
    <row r="171" spans="1:76" ht="14.5" x14ac:dyDescent="0.35">
      <c r="A171" s="1" t="s">
        <v>374</v>
      </c>
      <c r="B171" s="2" t="s">
        <v>103</v>
      </c>
      <c r="C171" s="2" t="s">
        <v>375</v>
      </c>
      <c r="D171" s="155" t="s">
        <v>376</v>
      </c>
      <c r="E171" s="153"/>
      <c r="F171" s="2" t="s">
        <v>110</v>
      </c>
      <c r="G171" s="54">
        <f>'Stavební rozpočet'!G125</f>
        <v>192.13200000000001</v>
      </c>
      <c r="H171" s="94">
        <f>'Stavební rozpočet'!H125</f>
        <v>0</v>
      </c>
      <c r="I171" s="54">
        <f>G171*H171</f>
        <v>0</v>
      </c>
      <c r="J171" s="54">
        <f>'Stavební rozpočet'!J125</f>
        <v>3.3999999999999998E-3</v>
      </c>
      <c r="K171" s="54">
        <f>'Stavební rozpočet'!K125</f>
        <v>0</v>
      </c>
      <c r="L171" s="54">
        <f>G171*J171</f>
        <v>0.65324879999999996</v>
      </c>
      <c r="M171" s="55" t="s">
        <v>111</v>
      </c>
      <c r="Z171" s="54">
        <f>IF(AQ171="5",BJ171,0)</f>
        <v>0</v>
      </c>
      <c r="AB171" s="54">
        <f>IF(AQ171="1",BH171,0)</f>
        <v>0</v>
      </c>
      <c r="AC171" s="54">
        <f>IF(AQ171="1",BI171,0)</f>
        <v>0</v>
      </c>
      <c r="AD171" s="54">
        <f>IF(AQ171="7",BH171,0)</f>
        <v>0</v>
      </c>
      <c r="AE171" s="54">
        <f>IF(AQ171="7",BI171,0)</f>
        <v>0</v>
      </c>
      <c r="AF171" s="54">
        <f>IF(AQ171="2",BH171,0)</f>
        <v>0</v>
      </c>
      <c r="AG171" s="54">
        <f>IF(AQ171="2",BI171,0)</f>
        <v>0</v>
      </c>
      <c r="AH171" s="54">
        <f>IF(AQ171="0",BJ171,0)</f>
        <v>0</v>
      </c>
      <c r="AI171" s="34" t="s">
        <v>103</v>
      </c>
      <c r="AJ171" s="54">
        <f>IF(AN171=0,I171,0)</f>
        <v>0</v>
      </c>
      <c r="AK171" s="54">
        <f>IF(AN171=12,I171,0)</f>
        <v>0</v>
      </c>
      <c r="AL171" s="54">
        <f>IF(AN171=21,I171,0)</f>
        <v>0</v>
      </c>
      <c r="AN171" s="54">
        <v>21</v>
      </c>
      <c r="AO171" s="54">
        <f>H171*0.637914211</f>
        <v>0</v>
      </c>
      <c r="AP171" s="54">
        <f>H171*(1-0.637914211)</f>
        <v>0</v>
      </c>
      <c r="AQ171" s="56" t="s">
        <v>168</v>
      </c>
      <c r="AV171" s="54">
        <f>AW171+AX171</f>
        <v>0</v>
      </c>
      <c r="AW171" s="54">
        <f>G171*AO171</f>
        <v>0</v>
      </c>
      <c r="AX171" s="54">
        <f>G171*AP171</f>
        <v>0</v>
      </c>
      <c r="AY171" s="56" t="s">
        <v>366</v>
      </c>
      <c r="AZ171" s="56" t="s">
        <v>367</v>
      </c>
      <c r="BA171" s="34" t="s">
        <v>114</v>
      </c>
      <c r="BC171" s="54">
        <f>AW171+AX171</f>
        <v>0</v>
      </c>
      <c r="BD171" s="54">
        <f>H171/(100-BE171)*100</f>
        <v>0</v>
      </c>
      <c r="BE171" s="54">
        <v>0</v>
      </c>
      <c r="BF171" s="54">
        <f>L171</f>
        <v>0.65324879999999996</v>
      </c>
      <c r="BH171" s="54">
        <f>G171*AO171</f>
        <v>0</v>
      </c>
      <c r="BI171" s="54">
        <f>G171*AP171</f>
        <v>0</v>
      </c>
      <c r="BJ171" s="54">
        <f>G171*H171</f>
        <v>0</v>
      </c>
      <c r="BK171" s="54"/>
      <c r="BL171" s="54">
        <v>711</v>
      </c>
      <c r="BW171" s="54">
        <v>21</v>
      </c>
      <c r="BX171" s="3" t="s">
        <v>376</v>
      </c>
    </row>
    <row r="172" spans="1:76" ht="13.5" customHeight="1" x14ac:dyDescent="0.35">
      <c r="A172" s="57"/>
      <c r="C172" s="62" t="s">
        <v>122</v>
      </c>
      <c r="D172" s="214" t="s">
        <v>377</v>
      </c>
      <c r="E172" s="215"/>
      <c r="F172" s="215"/>
      <c r="G172" s="215"/>
      <c r="H172" s="215"/>
      <c r="I172" s="215"/>
      <c r="J172" s="215"/>
      <c r="K172" s="215"/>
      <c r="L172" s="215"/>
      <c r="M172" s="216"/>
    </row>
    <row r="173" spans="1:76" ht="14.5" x14ac:dyDescent="0.35">
      <c r="A173" s="57"/>
      <c r="D173" s="58" t="s">
        <v>208</v>
      </c>
      <c r="E173" s="59" t="s">
        <v>378</v>
      </c>
      <c r="G173" s="60">
        <v>0</v>
      </c>
      <c r="M173" s="61"/>
    </row>
    <row r="174" spans="1:76" ht="14.5" x14ac:dyDescent="0.35">
      <c r="A174" s="57"/>
      <c r="D174" s="58" t="s">
        <v>379</v>
      </c>
      <c r="E174" s="59" t="s">
        <v>380</v>
      </c>
      <c r="G174" s="60">
        <v>169.8</v>
      </c>
      <c r="M174" s="61"/>
    </row>
    <row r="175" spans="1:76" ht="14.5" x14ac:dyDescent="0.35">
      <c r="A175" s="57"/>
      <c r="D175" s="58" t="s">
        <v>381</v>
      </c>
      <c r="E175" s="59" t="s">
        <v>382</v>
      </c>
      <c r="G175" s="60">
        <v>4.8</v>
      </c>
      <c r="M175" s="61"/>
    </row>
    <row r="176" spans="1:76" ht="14.5" x14ac:dyDescent="0.35">
      <c r="A176" s="57"/>
      <c r="D176" s="58" t="s">
        <v>383</v>
      </c>
      <c r="E176" s="59" t="s">
        <v>384</v>
      </c>
      <c r="G176" s="60">
        <v>16.271999999999998</v>
      </c>
      <c r="M176" s="61"/>
    </row>
    <row r="177" spans="1:76" ht="14.5" x14ac:dyDescent="0.35">
      <c r="A177" s="57"/>
      <c r="D177" s="58" t="s">
        <v>385</v>
      </c>
      <c r="E177" s="59" t="s">
        <v>386</v>
      </c>
      <c r="G177" s="60">
        <v>1.26</v>
      </c>
      <c r="M177" s="61"/>
    </row>
    <row r="178" spans="1:76" ht="65" x14ac:dyDescent="0.35">
      <c r="A178" s="57"/>
      <c r="C178" s="62" t="s">
        <v>156</v>
      </c>
      <c r="D178" s="211" t="s">
        <v>387</v>
      </c>
      <c r="E178" s="212"/>
      <c r="F178" s="212"/>
      <c r="G178" s="212"/>
      <c r="H178" s="212"/>
      <c r="I178" s="212"/>
      <c r="J178" s="212"/>
      <c r="K178" s="212"/>
      <c r="L178" s="212"/>
      <c r="M178" s="213"/>
      <c r="BX178" s="63" t="s">
        <v>387</v>
      </c>
    </row>
    <row r="179" spans="1:76" ht="14.5" x14ac:dyDescent="0.35">
      <c r="A179" s="1" t="s">
        <v>388</v>
      </c>
      <c r="B179" s="2" t="s">
        <v>103</v>
      </c>
      <c r="C179" s="2" t="s">
        <v>389</v>
      </c>
      <c r="D179" s="155" t="s">
        <v>390</v>
      </c>
      <c r="E179" s="153"/>
      <c r="F179" s="2" t="s">
        <v>153</v>
      </c>
      <c r="G179" s="54">
        <f>'Stavební rozpočet'!G131</f>
        <v>148.08000000000001</v>
      </c>
      <c r="H179" s="94">
        <f>'Stavební rozpočet'!H131</f>
        <v>0</v>
      </c>
      <c r="I179" s="54">
        <f>G179*H179</f>
        <v>0</v>
      </c>
      <c r="J179" s="54">
        <f>'Stavební rozpočet'!J131</f>
        <v>2.9E-4</v>
      </c>
      <c r="K179" s="54">
        <f>'Stavební rozpočet'!K131</f>
        <v>0</v>
      </c>
      <c r="L179" s="54">
        <f>G179*J179</f>
        <v>4.2943200000000001E-2</v>
      </c>
      <c r="M179" s="55" t="s">
        <v>111</v>
      </c>
      <c r="Z179" s="54">
        <f>IF(AQ179="5",BJ179,0)</f>
        <v>0</v>
      </c>
      <c r="AB179" s="54">
        <f>IF(AQ179="1",BH179,0)</f>
        <v>0</v>
      </c>
      <c r="AC179" s="54">
        <f>IF(AQ179="1",BI179,0)</f>
        <v>0</v>
      </c>
      <c r="AD179" s="54">
        <f>IF(AQ179="7",BH179,0)</f>
        <v>0</v>
      </c>
      <c r="AE179" s="54">
        <f>IF(AQ179="7",BI179,0)</f>
        <v>0</v>
      </c>
      <c r="AF179" s="54">
        <f>IF(AQ179="2",BH179,0)</f>
        <v>0</v>
      </c>
      <c r="AG179" s="54">
        <f>IF(AQ179="2",BI179,0)</f>
        <v>0</v>
      </c>
      <c r="AH179" s="54">
        <f>IF(AQ179="0",BJ179,0)</f>
        <v>0</v>
      </c>
      <c r="AI179" s="34" t="s">
        <v>103</v>
      </c>
      <c r="AJ179" s="54">
        <f>IF(AN179=0,I179,0)</f>
        <v>0</v>
      </c>
      <c r="AK179" s="54">
        <f>IF(AN179=12,I179,0)</f>
        <v>0</v>
      </c>
      <c r="AL179" s="54">
        <f>IF(AN179=21,I179,0)</f>
        <v>0</v>
      </c>
      <c r="AN179" s="54">
        <v>21</v>
      </c>
      <c r="AO179" s="54">
        <f>H179*0.666968257</f>
        <v>0</v>
      </c>
      <c r="AP179" s="54">
        <f>H179*(1-0.666968257)</f>
        <v>0</v>
      </c>
      <c r="AQ179" s="56" t="s">
        <v>168</v>
      </c>
      <c r="AV179" s="54">
        <f>AW179+AX179</f>
        <v>0</v>
      </c>
      <c r="AW179" s="54">
        <f>G179*AO179</f>
        <v>0</v>
      </c>
      <c r="AX179" s="54">
        <f>G179*AP179</f>
        <v>0</v>
      </c>
      <c r="AY179" s="56" t="s">
        <v>366</v>
      </c>
      <c r="AZ179" s="56" t="s">
        <v>367</v>
      </c>
      <c r="BA179" s="34" t="s">
        <v>114</v>
      </c>
      <c r="BC179" s="54">
        <f>AW179+AX179</f>
        <v>0</v>
      </c>
      <c r="BD179" s="54">
        <f>H179/(100-BE179)*100</f>
        <v>0</v>
      </c>
      <c r="BE179" s="54">
        <v>0</v>
      </c>
      <c r="BF179" s="54">
        <f>L179</f>
        <v>4.2943200000000001E-2</v>
      </c>
      <c r="BH179" s="54">
        <f>G179*AO179</f>
        <v>0</v>
      </c>
      <c r="BI179" s="54">
        <f>G179*AP179</f>
        <v>0</v>
      </c>
      <c r="BJ179" s="54">
        <f>G179*H179</f>
        <v>0</v>
      </c>
      <c r="BK179" s="54"/>
      <c r="BL179" s="54">
        <v>711</v>
      </c>
      <c r="BW179" s="54">
        <v>21</v>
      </c>
      <c r="BX179" s="3" t="s">
        <v>390</v>
      </c>
    </row>
    <row r="180" spans="1:76" ht="13.5" customHeight="1" x14ac:dyDescent="0.35">
      <c r="A180" s="57"/>
      <c r="C180" s="62" t="s">
        <v>122</v>
      </c>
      <c r="D180" s="214" t="s">
        <v>391</v>
      </c>
      <c r="E180" s="215"/>
      <c r="F180" s="215"/>
      <c r="G180" s="215"/>
      <c r="H180" s="215"/>
      <c r="I180" s="215"/>
      <c r="J180" s="215"/>
      <c r="K180" s="215"/>
      <c r="L180" s="215"/>
      <c r="M180" s="216"/>
    </row>
    <row r="181" spans="1:76" ht="14.5" x14ac:dyDescent="0.35">
      <c r="A181" s="57"/>
      <c r="D181" s="58" t="s">
        <v>392</v>
      </c>
      <c r="E181" s="59" t="s">
        <v>393</v>
      </c>
      <c r="G181" s="60">
        <v>167.28</v>
      </c>
      <c r="M181" s="61"/>
    </row>
    <row r="182" spans="1:76" ht="14.5" x14ac:dyDescent="0.35">
      <c r="A182" s="57"/>
      <c r="D182" s="58" t="s">
        <v>394</v>
      </c>
      <c r="E182" s="59" t="s">
        <v>395</v>
      </c>
      <c r="G182" s="60">
        <v>-19.2</v>
      </c>
      <c r="M182" s="61"/>
    </row>
    <row r="183" spans="1:76" ht="26" x14ac:dyDescent="0.35">
      <c r="A183" s="57"/>
      <c r="C183" s="62" t="s">
        <v>156</v>
      </c>
      <c r="D183" s="211" t="s">
        <v>396</v>
      </c>
      <c r="E183" s="212"/>
      <c r="F183" s="212"/>
      <c r="G183" s="212"/>
      <c r="H183" s="212"/>
      <c r="I183" s="212"/>
      <c r="J183" s="212"/>
      <c r="K183" s="212"/>
      <c r="L183" s="212"/>
      <c r="M183" s="213"/>
      <c r="BX183" s="63" t="s">
        <v>396</v>
      </c>
    </row>
    <row r="184" spans="1:76" ht="14.5" x14ac:dyDescent="0.35">
      <c r="A184" s="1" t="s">
        <v>397</v>
      </c>
      <c r="B184" s="2" t="s">
        <v>103</v>
      </c>
      <c r="C184" s="2" t="s">
        <v>398</v>
      </c>
      <c r="D184" s="155" t="s">
        <v>399</v>
      </c>
      <c r="E184" s="153"/>
      <c r="F184" s="2" t="s">
        <v>153</v>
      </c>
      <c r="G184" s="54">
        <f>'Stavební rozpočet'!G134</f>
        <v>108</v>
      </c>
      <c r="H184" s="94">
        <f>'Stavební rozpočet'!H134</f>
        <v>0</v>
      </c>
      <c r="I184" s="54">
        <f>G184*H184</f>
        <v>0</v>
      </c>
      <c r="J184" s="54">
        <f>'Stavební rozpočet'!J134</f>
        <v>2.9E-4</v>
      </c>
      <c r="K184" s="54">
        <f>'Stavební rozpočet'!K134</f>
        <v>0</v>
      </c>
      <c r="L184" s="54">
        <f>G184*J184</f>
        <v>3.1320000000000001E-2</v>
      </c>
      <c r="M184" s="55" t="s">
        <v>111</v>
      </c>
      <c r="Z184" s="54">
        <f>IF(AQ184="5",BJ184,0)</f>
        <v>0</v>
      </c>
      <c r="AB184" s="54">
        <f>IF(AQ184="1",BH184,0)</f>
        <v>0</v>
      </c>
      <c r="AC184" s="54">
        <f>IF(AQ184="1",BI184,0)</f>
        <v>0</v>
      </c>
      <c r="AD184" s="54">
        <f>IF(AQ184="7",BH184,0)</f>
        <v>0</v>
      </c>
      <c r="AE184" s="54">
        <f>IF(AQ184="7",BI184,0)</f>
        <v>0</v>
      </c>
      <c r="AF184" s="54">
        <f>IF(AQ184="2",BH184,0)</f>
        <v>0</v>
      </c>
      <c r="AG184" s="54">
        <f>IF(AQ184="2",BI184,0)</f>
        <v>0</v>
      </c>
      <c r="AH184" s="54">
        <f>IF(AQ184="0",BJ184,0)</f>
        <v>0</v>
      </c>
      <c r="AI184" s="34" t="s">
        <v>103</v>
      </c>
      <c r="AJ184" s="54">
        <f>IF(AN184=0,I184,0)</f>
        <v>0</v>
      </c>
      <c r="AK184" s="54">
        <f>IF(AN184=12,I184,0)</f>
        <v>0</v>
      </c>
      <c r="AL184" s="54">
        <f>IF(AN184=21,I184,0)</f>
        <v>0</v>
      </c>
      <c r="AN184" s="54">
        <v>21</v>
      </c>
      <c r="AO184" s="54">
        <f>H184*0.611310044</f>
        <v>0</v>
      </c>
      <c r="AP184" s="54">
        <f>H184*(1-0.611310044)</f>
        <v>0</v>
      </c>
      <c r="AQ184" s="56" t="s">
        <v>168</v>
      </c>
      <c r="AV184" s="54">
        <f>AW184+AX184</f>
        <v>0</v>
      </c>
      <c r="AW184" s="54">
        <f>G184*AO184</f>
        <v>0</v>
      </c>
      <c r="AX184" s="54">
        <f>G184*AP184</f>
        <v>0</v>
      </c>
      <c r="AY184" s="56" t="s">
        <v>366</v>
      </c>
      <c r="AZ184" s="56" t="s">
        <v>367</v>
      </c>
      <c r="BA184" s="34" t="s">
        <v>114</v>
      </c>
      <c r="BC184" s="54">
        <f>AW184+AX184</f>
        <v>0</v>
      </c>
      <c r="BD184" s="54">
        <f>H184/(100-BE184)*100</f>
        <v>0</v>
      </c>
      <c r="BE184" s="54">
        <v>0</v>
      </c>
      <c r="BF184" s="54">
        <f>L184</f>
        <v>3.1320000000000001E-2</v>
      </c>
      <c r="BH184" s="54">
        <f>G184*AO184</f>
        <v>0</v>
      </c>
      <c r="BI184" s="54">
        <f>G184*AP184</f>
        <v>0</v>
      </c>
      <c r="BJ184" s="54">
        <f>G184*H184</f>
        <v>0</v>
      </c>
      <c r="BK184" s="54"/>
      <c r="BL184" s="54">
        <v>711</v>
      </c>
      <c r="BW184" s="54">
        <v>21</v>
      </c>
      <c r="BX184" s="3" t="s">
        <v>399</v>
      </c>
    </row>
    <row r="185" spans="1:76" ht="13.5" customHeight="1" x14ac:dyDescent="0.35">
      <c r="A185" s="57"/>
      <c r="C185" s="62" t="s">
        <v>122</v>
      </c>
      <c r="D185" s="214" t="s">
        <v>391</v>
      </c>
      <c r="E185" s="215"/>
      <c r="F185" s="215"/>
      <c r="G185" s="215"/>
      <c r="H185" s="215"/>
      <c r="I185" s="215"/>
      <c r="J185" s="215"/>
      <c r="K185" s="215"/>
      <c r="L185" s="215"/>
      <c r="M185" s="216"/>
    </row>
    <row r="186" spans="1:76" ht="14.5" x14ac:dyDescent="0.35">
      <c r="A186" s="57"/>
      <c r="D186" s="58" t="s">
        <v>400</v>
      </c>
      <c r="E186" s="59" t="s">
        <v>401</v>
      </c>
      <c r="G186" s="60">
        <v>108</v>
      </c>
      <c r="M186" s="61"/>
    </row>
    <row r="187" spans="1:76" ht="14.5" x14ac:dyDescent="0.35">
      <c r="A187" s="57"/>
      <c r="C187" s="62" t="s">
        <v>156</v>
      </c>
      <c r="D187" s="211" t="s">
        <v>402</v>
      </c>
      <c r="E187" s="212"/>
      <c r="F187" s="212"/>
      <c r="G187" s="212"/>
      <c r="H187" s="212"/>
      <c r="I187" s="212"/>
      <c r="J187" s="212"/>
      <c r="K187" s="212"/>
      <c r="L187" s="212"/>
      <c r="M187" s="213"/>
      <c r="BX187" s="63" t="s">
        <v>402</v>
      </c>
    </row>
    <row r="188" spans="1:76" ht="14.5" x14ac:dyDescent="0.35">
      <c r="A188" s="1" t="s">
        <v>403</v>
      </c>
      <c r="B188" s="2" t="s">
        <v>103</v>
      </c>
      <c r="C188" s="2" t="s">
        <v>404</v>
      </c>
      <c r="D188" s="155" t="s">
        <v>405</v>
      </c>
      <c r="E188" s="153"/>
      <c r="F188" s="2" t="s">
        <v>196</v>
      </c>
      <c r="G188" s="54">
        <f>'Stavební rozpočet'!G136</f>
        <v>24</v>
      </c>
      <c r="H188" s="94">
        <f>'Stavební rozpočet'!H136</f>
        <v>0</v>
      </c>
      <c r="I188" s="54">
        <f>G188*H188</f>
        <v>0</v>
      </c>
      <c r="J188" s="54">
        <f>'Stavební rozpočet'!J136</f>
        <v>3.8999999999999999E-4</v>
      </c>
      <c r="K188" s="54">
        <f>'Stavební rozpočet'!K136</f>
        <v>0</v>
      </c>
      <c r="L188" s="54">
        <f>G188*J188</f>
        <v>9.3600000000000003E-3</v>
      </c>
      <c r="M188" s="55" t="s">
        <v>111</v>
      </c>
      <c r="Z188" s="54">
        <f>IF(AQ188="5",BJ188,0)</f>
        <v>0</v>
      </c>
      <c r="AB188" s="54">
        <f>IF(AQ188="1",BH188,0)</f>
        <v>0</v>
      </c>
      <c r="AC188" s="54">
        <f>IF(AQ188="1",BI188,0)</f>
        <v>0</v>
      </c>
      <c r="AD188" s="54">
        <f>IF(AQ188="7",BH188,0)</f>
        <v>0</v>
      </c>
      <c r="AE188" s="54">
        <f>IF(AQ188="7",BI188,0)</f>
        <v>0</v>
      </c>
      <c r="AF188" s="54">
        <f>IF(AQ188="2",BH188,0)</f>
        <v>0</v>
      </c>
      <c r="AG188" s="54">
        <f>IF(AQ188="2",BI188,0)</f>
        <v>0</v>
      </c>
      <c r="AH188" s="54">
        <f>IF(AQ188="0",BJ188,0)</f>
        <v>0</v>
      </c>
      <c r="AI188" s="34" t="s">
        <v>103</v>
      </c>
      <c r="AJ188" s="54">
        <f>IF(AN188=0,I188,0)</f>
        <v>0</v>
      </c>
      <c r="AK188" s="54">
        <f>IF(AN188=12,I188,0)</f>
        <v>0</v>
      </c>
      <c r="AL188" s="54">
        <f>IF(AN188=21,I188,0)</f>
        <v>0</v>
      </c>
      <c r="AN188" s="54">
        <v>21</v>
      </c>
      <c r="AO188" s="54">
        <f>H188*0.851183355</f>
        <v>0</v>
      </c>
      <c r="AP188" s="54">
        <f>H188*(1-0.851183355)</f>
        <v>0</v>
      </c>
      <c r="AQ188" s="56" t="s">
        <v>168</v>
      </c>
      <c r="AV188" s="54">
        <f>AW188+AX188</f>
        <v>0</v>
      </c>
      <c r="AW188" s="54">
        <f>G188*AO188</f>
        <v>0</v>
      </c>
      <c r="AX188" s="54">
        <f>G188*AP188</f>
        <v>0</v>
      </c>
      <c r="AY188" s="56" t="s">
        <v>366</v>
      </c>
      <c r="AZ188" s="56" t="s">
        <v>367</v>
      </c>
      <c r="BA188" s="34" t="s">
        <v>114</v>
      </c>
      <c r="BC188" s="54">
        <f>AW188+AX188</f>
        <v>0</v>
      </c>
      <c r="BD188" s="54">
        <f>H188/(100-BE188)*100</f>
        <v>0</v>
      </c>
      <c r="BE188" s="54">
        <v>0</v>
      </c>
      <c r="BF188" s="54">
        <f>L188</f>
        <v>9.3600000000000003E-3</v>
      </c>
      <c r="BH188" s="54">
        <f>G188*AO188</f>
        <v>0</v>
      </c>
      <c r="BI188" s="54">
        <f>G188*AP188</f>
        <v>0</v>
      </c>
      <c r="BJ188" s="54">
        <f>G188*H188</f>
        <v>0</v>
      </c>
      <c r="BK188" s="54"/>
      <c r="BL188" s="54">
        <v>711</v>
      </c>
      <c r="BW188" s="54">
        <v>21</v>
      </c>
      <c r="BX188" s="3" t="s">
        <v>405</v>
      </c>
    </row>
    <row r="189" spans="1:76" ht="14.5" x14ac:dyDescent="0.35">
      <c r="A189" s="57"/>
      <c r="D189" s="58" t="s">
        <v>406</v>
      </c>
      <c r="E189" s="59" t="s">
        <v>407</v>
      </c>
      <c r="G189" s="60">
        <v>24</v>
      </c>
      <c r="M189" s="61"/>
    </row>
    <row r="190" spans="1:76" ht="52" x14ac:dyDescent="0.35">
      <c r="A190" s="57"/>
      <c r="C190" s="62" t="s">
        <v>156</v>
      </c>
      <c r="D190" s="211" t="s">
        <v>408</v>
      </c>
      <c r="E190" s="212"/>
      <c r="F190" s="212"/>
      <c r="G190" s="212"/>
      <c r="H190" s="212"/>
      <c r="I190" s="212"/>
      <c r="J190" s="212"/>
      <c r="K190" s="212"/>
      <c r="L190" s="212"/>
      <c r="M190" s="213"/>
      <c r="BX190" s="63" t="s">
        <v>408</v>
      </c>
    </row>
    <row r="191" spans="1:76" ht="14.5" x14ac:dyDescent="0.35">
      <c r="A191" s="1" t="s">
        <v>409</v>
      </c>
      <c r="B191" s="2" t="s">
        <v>103</v>
      </c>
      <c r="C191" s="2" t="s">
        <v>410</v>
      </c>
      <c r="D191" s="155" t="s">
        <v>411</v>
      </c>
      <c r="E191" s="153"/>
      <c r="F191" s="2" t="s">
        <v>412</v>
      </c>
      <c r="G191" s="54">
        <f>'Stavební rozpočet'!G138</f>
        <v>1.0589999999999999</v>
      </c>
      <c r="H191" s="94">
        <f>'Stavební rozpočet'!H138</f>
        <v>0</v>
      </c>
      <c r="I191" s="54">
        <f>G191*H191</f>
        <v>0</v>
      </c>
      <c r="J191" s="54">
        <f>'Stavební rozpočet'!J138</f>
        <v>0</v>
      </c>
      <c r="K191" s="54">
        <f>'Stavební rozpočet'!K138</f>
        <v>0</v>
      </c>
      <c r="L191" s="54">
        <f>G191*J191</f>
        <v>0</v>
      </c>
      <c r="M191" s="55" t="s">
        <v>111</v>
      </c>
      <c r="Z191" s="54">
        <f>IF(AQ191="5",BJ191,0)</f>
        <v>0</v>
      </c>
      <c r="AB191" s="54">
        <f>IF(AQ191="1",BH191,0)</f>
        <v>0</v>
      </c>
      <c r="AC191" s="54">
        <f>IF(AQ191="1",BI191,0)</f>
        <v>0</v>
      </c>
      <c r="AD191" s="54">
        <f>IF(AQ191="7",BH191,0)</f>
        <v>0</v>
      </c>
      <c r="AE191" s="54">
        <f>IF(AQ191="7",BI191,0)</f>
        <v>0</v>
      </c>
      <c r="AF191" s="54">
        <f>IF(AQ191="2",BH191,0)</f>
        <v>0</v>
      </c>
      <c r="AG191" s="54">
        <f>IF(AQ191="2",BI191,0)</f>
        <v>0</v>
      </c>
      <c r="AH191" s="54">
        <f>IF(AQ191="0",BJ191,0)</f>
        <v>0</v>
      </c>
      <c r="AI191" s="34" t="s">
        <v>103</v>
      </c>
      <c r="AJ191" s="54">
        <f>IF(AN191=0,I191,0)</f>
        <v>0</v>
      </c>
      <c r="AK191" s="54">
        <f>IF(AN191=12,I191,0)</f>
        <v>0</v>
      </c>
      <c r="AL191" s="54">
        <f>IF(AN191=21,I191,0)</f>
        <v>0</v>
      </c>
      <c r="AN191" s="54">
        <v>21</v>
      </c>
      <c r="AO191" s="54">
        <f>H191*0</f>
        <v>0</v>
      </c>
      <c r="AP191" s="54">
        <f>H191*(1-0)</f>
        <v>0</v>
      </c>
      <c r="AQ191" s="56" t="s">
        <v>150</v>
      </c>
      <c r="AV191" s="54">
        <f>AW191+AX191</f>
        <v>0</v>
      </c>
      <c r="AW191" s="54">
        <f>G191*AO191</f>
        <v>0</v>
      </c>
      <c r="AX191" s="54">
        <f>G191*AP191</f>
        <v>0</v>
      </c>
      <c r="AY191" s="56" t="s">
        <v>366</v>
      </c>
      <c r="AZ191" s="56" t="s">
        <v>367</v>
      </c>
      <c r="BA191" s="34" t="s">
        <v>114</v>
      </c>
      <c r="BC191" s="54">
        <f>AW191+AX191</f>
        <v>0</v>
      </c>
      <c r="BD191" s="54">
        <f>H191/(100-BE191)*100</f>
        <v>0</v>
      </c>
      <c r="BE191" s="54">
        <v>0</v>
      </c>
      <c r="BF191" s="54">
        <f>L191</f>
        <v>0</v>
      </c>
      <c r="BH191" s="54">
        <f>G191*AO191</f>
        <v>0</v>
      </c>
      <c r="BI191" s="54">
        <f>G191*AP191</f>
        <v>0</v>
      </c>
      <c r="BJ191" s="54">
        <f>G191*H191</f>
        <v>0</v>
      </c>
      <c r="BK191" s="54"/>
      <c r="BL191" s="54">
        <v>711</v>
      </c>
      <c r="BW191" s="54">
        <v>21</v>
      </c>
      <c r="BX191" s="3" t="s">
        <v>411</v>
      </c>
    </row>
    <row r="192" spans="1:76" ht="14.5" x14ac:dyDescent="0.35">
      <c r="A192" s="50" t="s">
        <v>10</v>
      </c>
      <c r="B192" s="51" t="s">
        <v>103</v>
      </c>
      <c r="C192" s="51" t="s">
        <v>413</v>
      </c>
      <c r="D192" s="206" t="s">
        <v>414</v>
      </c>
      <c r="E192" s="207"/>
      <c r="F192" s="52" t="s">
        <v>84</v>
      </c>
      <c r="G192" s="52" t="s">
        <v>84</v>
      </c>
      <c r="H192" s="52" t="s">
        <v>84</v>
      </c>
      <c r="I192" s="27">
        <f>SUM(I193:I239)</f>
        <v>0</v>
      </c>
      <c r="J192" s="34" t="s">
        <v>10</v>
      </c>
      <c r="K192" s="34" t="s">
        <v>10</v>
      </c>
      <c r="L192" s="27">
        <f>SUM(L193:L239)</f>
        <v>9.648000000000001E-2</v>
      </c>
      <c r="M192" s="53" t="s">
        <v>10</v>
      </c>
      <c r="AI192" s="34" t="s">
        <v>103</v>
      </c>
      <c r="AS192" s="27">
        <f>SUM(AJ193:AJ239)</f>
        <v>0</v>
      </c>
      <c r="AT192" s="27">
        <f>SUM(AK193:AK239)</f>
        <v>0</v>
      </c>
      <c r="AU192" s="27">
        <f>SUM(AL193:AL239)</f>
        <v>0</v>
      </c>
    </row>
    <row r="193" spans="1:76" ht="14.5" x14ac:dyDescent="0.35">
      <c r="A193" s="1" t="s">
        <v>105</v>
      </c>
      <c r="B193" s="2" t="s">
        <v>103</v>
      </c>
      <c r="C193" s="2" t="s">
        <v>415</v>
      </c>
      <c r="D193" s="155" t="s">
        <v>416</v>
      </c>
      <c r="E193" s="153"/>
      <c r="F193" s="2" t="s">
        <v>153</v>
      </c>
      <c r="G193" s="54">
        <f>'Stavební rozpočet'!G140</f>
        <v>67.2</v>
      </c>
      <c r="H193" s="94">
        <f>'Stavební rozpočet'!H140</f>
        <v>0</v>
      </c>
      <c r="I193" s="54">
        <f>G193*H193</f>
        <v>0</v>
      </c>
      <c r="J193" s="54">
        <f>'Stavební rozpočet'!J140</f>
        <v>3.8000000000000002E-4</v>
      </c>
      <c r="K193" s="54">
        <f>'Stavební rozpočet'!K140</f>
        <v>0</v>
      </c>
      <c r="L193" s="54">
        <f>G193*J193</f>
        <v>2.5536000000000003E-2</v>
      </c>
      <c r="M193" s="55" t="s">
        <v>111</v>
      </c>
      <c r="Z193" s="54">
        <f>IF(AQ193="5",BJ193,0)</f>
        <v>0</v>
      </c>
      <c r="AB193" s="54">
        <f>IF(AQ193="1",BH193,0)</f>
        <v>0</v>
      </c>
      <c r="AC193" s="54">
        <f>IF(AQ193="1",BI193,0)</f>
        <v>0</v>
      </c>
      <c r="AD193" s="54">
        <f>IF(AQ193="7",BH193,0)</f>
        <v>0</v>
      </c>
      <c r="AE193" s="54">
        <f>IF(AQ193="7",BI193,0)</f>
        <v>0</v>
      </c>
      <c r="AF193" s="54">
        <f>IF(AQ193="2",BH193,0)</f>
        <v>0</v>
      </c>
      <c r="AG193" s="54">
        <f>IF(AQ193="2",BI193,0)</f>
        <v>0</v>
      </c>
      <c r="AH193" s="54">
        <f>IF(AQ193="0",BJ193,0)</f>
        <v>0</v>
      </c>
      <c r="AI193" s="34" t="s">
        <v>103</v>
      </c>
      <c r="AJ193" s="54">
        <f>IF(AN193=0,I193,0)</f>
        <v>0</v>
      </c>
      <c r="AK193" s="54">
        <f>IF(AN193=12,I193,0)</f>
        <v>0</v>
      </c>
      <c r="AL193" s="54">
        <f>IF(AN193=21,I193,0)</f>
        <v>0</v>
      </c>
      <c r="AN193" s="54">
        <v>21</v>
      </c>
      <c r="AO193" s="54">
        <f>H193*0.278442478</f>
        <v>0</v>
      </c>
      <c r="AP193" s="54">
        <f>H193*(1-0.278442478)</f>
        <v>0</v>
      </c>
      <c r="AQ193" s="56" t="s">
        <v>168</v>
      </c>
      <c r="AV193" s="54">
        <f>AW193+AX193</f>
        <v>0</v>
      </c>
      <c r="AW193" s="54">
        <f>G193*AO193</f>
        <v>0</v>
      </c>
      <c r="AX193" s="54">
        <f>G193*AP193</f>
        <v>0</v>
      </c>
      <c r="AY193" s="56" t="s">
        <v>417</v>
      </c>
      <c r="AZ193" s="56" t="s">
        <v>418</v>
      </c>
      <c r="BA193" s="34" t="s">
        <v>114</v>
      </c>
      <c r="BC193" s="54">
        <f>AW193+AX193</f>
        <v>0</v>
      </c>
      <c r="BD193" s="54">
        <f>H193/(100-BE193)*100</f>
        <v>0</v>
      </c>
      <c r="BE193" s="54">
        <v>0</v>
      </c>
      <c r="BF193" s="54">
        <f>L193</f>
        <v>2.5536000000000003E-2</v>
      </c>
      <c r="BH193" s="54">
        <f>G193*AO193</f>
        <v>0</v>
      </c>
      <c r="BI193" s="54">
        <f>G193*AP193</f>
        <v>0</v>
      </c>
      <c r="BJ193" s="54">
        <f>G193*H193</f>
        <v>0</v>
      </c>
      <c r="BK193" s="54"/>
      <c r="BL193" s="54">
        <v>721</v>
      </c>
      <c r="BW193" s="54">
        <v>21</v>
      </c>
      <c r="BX193" s="3" t="s">
        <v>416</v>
      </c>
    </row>
    <row r="194" spans="1:76" ht="14.5" x14ac:dyDescent="0.35">
      <c r="A194" s="57"/>
      <c r="D194" s="58" t="s">
        <v>208</v>
      </c>
      <c r="E194" s="59" t="s">
        <v>419</v>
      </c>
      <c r="G194" s="60">
        <v>0</v>
      </c>
      <c r="M194" s="61"/>
    </row>
    <row r="195" spans="1:76" ht="14.5" x14ac:dyDescent="0.35">
      <c r="A195" s="57"/>
      <c r="D195" s="58" t="s">
        <v>420</v>
      </c>
      <c r="E195" s="59" t="s">
        <v>421</v>
      </c>
      <c r="G195" s="60">
        <v>67.2</v>
      </c>
      <c r="M195" s="61"/>
    </row>
    <row r="196" spans="1:76" ht="14.5" x14ac:dyDescent="0.35">
      <c r="A196" s="64" t="s">
        <v>422</v>
      </c>
      <c r="B196" s="65" t="s">
        <v>103</v>
      </c>
      <c r="C196" s="65" t="s">
        <v>423</v>
      </c>
      <c r="D196" s="217" t="s">
        <v>424</v>
      </c>
      <c r="E196" s="218"/>
      <c r="F196" s="65" t="s">
        <v>196</v>
      </c>
      <c r="G196" s="67">
        <f>'Stavební rozpočet'!G143</f>
        <v>24</v>
      </c>
      <c r="H196" s="95">
        <f>'Stavební rozpočet'!H143</f>
        <v>0</v>
      </c>
      <c r="I196" s="67">
        <f>G196*H196</f>
        <v>0</v>
      </c>
      <c r="J196" s="67">
        <f>'Stavební rozpočet'!J143</f>
        <v>3.0000000000000001E-5</v>
      </c>
      <c r="K196" s="67">
        <f>'Stavební rozpočet'!K143</f>
        <v>0</v>
      </c>
      <c r="L196" s="67">
        <f>G196*J196</f>
        <v>7.2000000000000005E-4</v>
      </c>
      <c r="M196" s="68" t="s">
        <v>111</v>
      </c>
      <c r="Z196" s="54">
        <f>IF(AQ196="5",BJ196,0)</f>
        <v>0</v>
      </c>
      <c r="AB196" s="54">
        <f>IF(AQ196="1",BH196,0)</f>
        <v>0</v>
      </c>
      <c r="AC196" s="54">
        <f>IF(AQ196="1",BI196,0)</f>
        <v>0</v>
      </c>
      <c r="AD196" s="54">
        <f>IF(AQ196="7",BH196,0)</f>
        <v>0</v>
      </c>
      <c r="AE196" s="54">
        <f>IF(AQ196="7",BI196,0)</f>
        <v>0</v>
      </c>
      <c r="AF196" s="54">
        <f>IF(AQ196="2",BH196,0)</f>
        <v>0</v>
      </c>
      <c r="AG196" s="54">
        <f>IF(AQ196="2",BI196,0)</f>
        <v>0</v>
      </c>
      <c r="AH196" s="54">
        <f>IF(AQ196="0",BJ196,0)</f>
        <v>0</v>
      </c>
      <c r="AI196" s="34" t="s">
        <v>103</v>
      </c>
      <c r="AJ196" s="67">
        <f>IF(AN196=0,I196,0)</f>
        <v>0</v>
      </c>
      <c r="AK196" s="67">
        <f>IF(AN196=12,I196,0)</f>
        <v>0</v>
      </c>
      <c r="AL196" s="67">
        <f>IF(AN196=21,I196,0)</f>
        <v>0</v>
      </c>
      <c r="AN196" s="54">
        <v>21</v>
      </c>
      <c r="AO196" s="54">
        <f>H196*1</f>
        <v>0</v>
      </c>
      <c r="AP196" s="54">
        <f>H196*(1-1)</f>
        <v>0</v>
      </c>
      <c r="AQ196" s="69" t="s">
        <v>168</v>
      </c>
      <c r="AV196" s="54">
        <f>AW196+AX196</f>
        <v>0</v>
      </c>
      <c r="AW196" s="54">
        <f>G196*AO196</f>
        <v>0</v>
      </c>
      <c r="AX196" s="54">
        <f>G196*AP196</f>
        <v>0</v>
      </c>
      <c r="AY196" s="56" t="s">
        <v>417</v>
      </c>
      <c r="AZ196" s="56" t="s">
        <v>418</v>
      </c>
      <c r="BA196" s="34" t="s">
        <v>114</v>
      </c>
      <c r="BC196" s="54">
        <f>AW196+AX196</f>
        <v>0</v>
      </c>
      <c r="BD196" s="54">
        <f>H196/(100-BE196)*100</f>
        <v>0</v>
      </c>
      <c r="BE196" s="54">
        <v>0</v>
      </c>
      <c r="BF196" s="54">
        <f>L196</f>
        <v>7.2000000000000005E-4</v>
      </c>
      <c r="BH196" s="67">
        <f>G196*AO196</f>
        <v>0</v>
      </c>
      <c r="BI196" s="67">
        <f>G196*AP196</f>
        <v>0</v>
      </c>
      <c r="BJ196" s="67">
        <f>G196*H196</f>
        <v>0</v>
      </c>
      <c r="BK196" s="67"/>
      <c r="BL196" s="54">
        <v>721</v>
      </c>
      <c r="BW196" s="54">
        <v>21</v>
      </c>
      <c r="BX196" s="66" t="s">
        <v>424</v>
      </c>
    </row>
    <row r="197" spans="1:76" ht="14.5" x14ac:dyDescent="0.35">
      <c r="A197" s="57"/>
      <c r="D197" s="58" t="s">
        <v>406</v>
      </c>
      <c r="E197" s="59" t="s">
        <v>425</v>
      </c>
      <c r="G197" s="60">
        <v>24</v>
      </c>
      <c r="M197" s="61"/>
    </row>
    <row r="198" spans="1:76" ht="14.5" x14ac:dyDescent="0.35">
      <c r="A198" s="57"/>
      <c r="C198" s="62" t="s">
        <v>156</v>
      </c>
      <c r="D198" s="211" t="s">
        <v>426</v>
      </c>
      <c r="E198" s="212"/>
      <c r="F198" s="212"/>
      <c r="G198" s="212"/>
      <c r="H198" s="212"/>
      <c r="I198" s="212"/>
      <c r="J198" s="212"/>
      <c r="K198" s="212"/>
      <c r="L198" s="212"/>
      <c r="M198" s="213"/>
      <c r="BX198" s="70" t="s">
        <v>426</v>
      </c>
    </row>
    <row r="199" spans="1:76" ht="14.5" x14ac:dyDescent="0.35">
      <c r="A199" s="64" t="s">
        <v>427</v>
      </c>
      <c r="B199" s="65" t="s">
        <v>103</v>
      </c>
      <c r="C199" s="65" t="s">
        <v>428</v>
      </c>
      <c r="D199" s="217" t="s">
        <v>429</v>
      </c>
      <c r="E199" s="218"/>
      <c r="F199" s="65" t="s">
        <v>196</v>
      </c>
      <c r="G199" s="67">
        <f>'Stavební rozpočet'!G145</f>
        <v>120</v>
      </c>
      <c r="H199" s="95">
        <f>'Stavební rozpočet'!H145</f>
        <v>0</v>
      </c>
      <c r="I199" s="67">
        <f>G199*H199</f>
        <v>0</v>
      </c>
      <c r="J199" s="67">
        <f>'Stavební rozpočet'!J145</f>
        <v>4.0000000000000003E-5</v>
      </c>
      <c r="K199" s="67">
        <f>'Stavební rozpočet'!K145</f>
        <v>0</v>
      </c>
      <c r="L199" s="67">
        <f>G199*J199</f>
        <v>4.8000000000000004E-3</v>
      </c>
      <c r="M199" s="68" t="s">
        <v>111</v>
      </c>
      <c r="Z199" s="54">
        <f>IF(AQ199="5",BJ199,0)</f>
        <v>0</v>
      </c>
      <c r="AB199" s="54">
        <f>IF(AQ199="1",BH199,0)</f>
        <v>0</v>
      </c>
      <c r="AC199" s="54">
        <f>IF(AQ199="1",BI199,0)</f>
        <v>0</v>
      </c>
      <c r="AD199" s="54">
        <f>IF(AQ199="7",BH199,0)</f>
        <v>0</v>
      </c>
      <c r="AE199" s="54">
        <f>IF(AQ199="7",BI199,0)</f>
        <v>0</v>
      </c>
      <c r="AF199" s="54">
        <f>IF(AQ199="2",BH199,0)</f>
        <v>0</v>
      </c>
      <c r="AG199" s="54">
        <f>IF(AQ199="2",BI199,0)</f>
        <v>0</v>
      </c>
      <c r="AH199" s="54">
        <f>IF(AQ199="0",BJ199,0)</f>
        <v>0</v>
      </c>
      <c r="AI199" s="34" t="s">
        <v>103</v>
      </c>
      <c r="AJ199" s="67">
        <f>IF(AN199=0,I199,0)</f>
        <v>0</v>
      </c>
      <c r="AK199" s="67">
        <f>IF(AN199=12,I199,0)</f>
        <v>0</v>
      </c>
      <c r="AL199" s="67">
        <f>IF(AN199=21,I199,0)</f>
        <v>0</v>
      </c>
      <c r="AN199" s="54">
        <v>21</v>
      </c>
      <c r="AO199" s="54">
        <f>H199*1</f>
        <v>0</v>
      </c>
      <c r="AP199" s="54">
        <f>H199*(1-1)</f>
        <v>0</v>
      </c>
      <c r="AQ199" s="69" t="s">
        <v>168</v>
      </c>
      <c r="AV199" s="54">
        <f>AW199+AX199</f>
        <v>0</v>
      </c>
      <c r="AW199" s="54">
        <f>G199*AO199</f>
        <v>0</v>
      </c>
      <c r="AX199" s="54">
        <f>G199*AP199</f>
        <v>0</v>
      </c>
      <c r="AY199" s="56" t="s">
        <v>417</v>
      </c>
      <c r="AZ199" s="56" t="s">
        <v>418</v>
      </c>
      <c r="BA199" s="34" t="s">
        <v>114</v>
      </c>
      <c r="BC199" s="54">
        <f>AW199+AX199</f>
        <v>0</v>
      </c>
      <c r="BD199" s="54">
        <f>H199/(100-BE199)*100</f>
        <v>0</v>
      </c>
      <c r="BE199" s="54">
        <v>0</v>
      </c>
      <c r="BF199" s="54">
        <f>L199</f>
        <v>4.8000000000000004E-3</v>
      </c>
      <c r="BH199" s="67">
        <f>G199*AO199</f>
        <v>0</v>
      </c>
      <c r="BI199" s="67">
        <f>G199*AP199</f>
        <v>0</v>
      </c>
      <c r="BJ199" s="67">
        <f>G199*H199</f>
        <v>0</v>
      </c>
      <c r="BK199" s="67"/>
      <c r="BL199" s="54">
        <v>721</v>
      </c>
      <c r="BW199" s="54">
        <v>21</v>
      </c>
      <c r="BX199" s="66" t="s">
        <v>429</v>
      </c>
    </row>
    <row r="200" spans="1:76" ht="14.5" x14ac:dyDescent="0.35">
      <c r="A200" s="57"/>
      <c r="D200" s="58" t="s">
        <v>430</v>
      </c>
      <c r="E200" s="59" t="s">
        <v>425</v>
      </c>
      <c r="G200" s="60">
        <v>120</v>
      </c>
      <c r="M200" s="61"/>
    </row>
    <row r="201" spans="1:76" ht="14.5" x14ac:dyDescent="0.35">
      <c r="A201" s="57"/>
      <c r="C201" s="62" t="s">
        <v>156</v>
      </c>
      <c r="D201" s="211" t="s">
        <v>431</v>
      </c>
      <c r="E201" s="212"/>
      <c r="F201" s="212"/>
      <c r="G201" s="212"/>
      <c r="H201" s="212"/>
      <c r="I201" s="212"/>
      <c r="J201" s="212"/>
      <c r="K201" s="212"/>
      <c r="L201" s="212"/>
      <c r="M201" s="213"/>
      <c r="BX201" s="70" t="s">
        <v>431</v>
      </c>
    </row>
    <row r="202" spans="1:76" ht="14.5" x14ac:dyDescent="0.35">
      <c r="A202" s="1" t="s">
        <v>432</v>
      </c>
      <c r="B202" s="2" t="s">
        <v>103</v>
      </c>
      <c r="C202" s="2" t="s">
        <v>433</v>
      </c>
      <c r="D202" s="155" t="s">
        <v>434</v>
      </c>
      <c r="E202" s="153"/>
      <c r="F202" s="2" t="s">
        <v>153</v>
      </c>
      <c r="G202" s="54">
        <f>'Stavební rozpočet'!G147</f>
        <v>14.4</v>
      </c>
      <c r="H202" s="94">
        <f>'Stavební rozpočet'!H147</f>
        <v>0</v>
      </c>
      <c r="I202" s="54">
        <f>G202*H202</f>
        <v>0</v>
      </c>
      <c r="J202" s="54">
        <f>'Stavební rozpočet'!J147</f>
        <v>4.6999999999999999E-4</v>
      </c>
      <c r="K202" s="54">
        <f>'Stavební rozpočet'!K147</f>
        <v>0</v>
      </c>
      <c r="L202" s="54">
        <f>G202*J202</f>
        <v>6.7679999999999997E-3</v>
      </c>
      <c r="M202" s="55" t="s">
        <v>111</v>
      </c>
      <c r="Z202" s="54">
        <f>IF(AQ202="5",BJ202,0)</f>
        <v>0</v>
      </c>
      <c r="AB202" s="54">
        <f>IF(AQ202="1",BH202,0)</f>
        <v>0</v>
      </c>
      <c r="AC202" s="54">
        <f>IF(AQ202="1",BI202,0)</f>
        <v>0</v>
      </c>
      <c r="AD202" s="54">
        <f>IF(AQ202="7",BH202,0)</f>
        <v>0</v>
      </c>
      <c r="AE202" s="54">
        <f>IF(AQ202="7",BI202,0)</f>
        <v>0</v>
      </c>
      <c r="AF202" s="54">
        <f>IF(AQ202="2",BH202,0)</f>
        <v>0</v>
      </c>
      <c r="AG202" s="54">
        <f>IF(AQ202="2",BI202,0)</f>
        <v>0</v>
      </c>
      <c r="AH202" s="54">
        <f>IF(AQ202="0",BJ202,0)</f>
        <v>0</v>
      </c>
      <c r="AI202" s="34" t="s">
        <v>103</v>
      </c>
      <c r="AJ202" s="54">
        <f>IF(AN202=0,I202,0)</f>
        <v>0</v>
      </c>
      <c r="AK202" s="54">
        <f>IF(AN202=12,I202,0)</f>
        <v>0</v>
      </c>
      <c r="AL202" s="54">
        <f>IF(AN202=21,I202,0)</f>
        <v>0</v>
      </c>
      <c r="AN202" s="54">
        <v>21</v>
      </c>
      <c r="AO202" s="54">
        <f>H202*0.288317757</f>
        <v>0</v>
      </c>
      <c r="AP202" s="54">
        <f>H202*(1-0.288317757)</f>
        <v>0</v>
      </c>
      <c r="AQ202" s="56" t="s">
        <v>168</v>
      </c>
      <c r="AV202" s="54">
        <f>AW202+AX202</f>
        <v>0</v>
      </c>
      <c r="AW202" s="54">
        <f>G202*AO202</f>
        <v>0</v>
      </c>
      <c r="AX202" s="54">
        <f>G202*AP202</f>
        <v>0</v>
      </c>
      <c r="AY202" s="56" t="s">
        <v>417</v>
      </c>
      <c r="AZ202" s="56" t="s">
        <v>418</v>
      </c>
      <c r="BA202" s="34" t="s">
        <v>114</v>
      </c>
      <c r="BC202" s="54">
        <f>AW202+AX202</f>
        <v>0</v>
      </c>
      <c r="BD202" s="54">
        <f>H202/(100-BE202)*100</f>
        <v>0</v>
      </c>
      <c r="BE202" s="54">
        <v>0</v>
      </c>
      <c r="BF202" s="54">
        <f>L202</f>
        <v>6.7679999999999997E-3</v>
      </c>
      <c r="BH202" s="54">
        <f>G202*AO202</f>
        <v>0</v>
      </c>
      <c r="BI202" s="54">
        <f>G202*AP202</f>
        <v>0</v>
      </c>
      <c r="BJ202" s="54">
        <f>G202*H202</f>
        <v>0</v>
      </c>
      <c r="BK202" s="54"/>
      <c r="BL202" s="54">
        <v>721</v>
      </c>
      <c r="BW202" s="54">
        <v>21</v>
      </c>
      <c r="BX202" s="3" t="s">
        <v>434</v>
      </c>
    </row>
    <row r="203" spans="1:76" ht="14.5" x14ac:dyDescent="0.35">
      <c r="A203" s="57"/>
      <c r="D203" s="58" t="s">
        <v>208</v>
      </c>
      <c r="E203" s="59" t="s">
        <v>419</v>
      </c>
      <c r="G203" s="60">
        <v>0</v>
      </c>
      <c r="M203" s="61"/>
    </row>
    <row r="204" spans="1:76" ht="14.5" x14ac:dyDescent="0.35">
      <c r="A204" s="57"/>
      <c r="D204" s="58" t="s">
        <v>435</v>
      </c>
      <c r="E204" s="59" t="s">
        <v>436</v>
      </c>
      <c r="G204" s="60">
        <v>14.4</v>
      </c>
      <c r="M204" s="61"/>
    </row>
    <row r="205" spans="1:76" ht="14.5" x14ac:dyDescent="0.35">
      <c r="A205" s="64" t="s">
        <v>437</v>
      </c>
      <c r="B205" s="65" t="s">
        <v>103</v>
      </c>
      <c r="C205" s="65" t="s">
        <v>438</v>
      </c>
      <c r="D205" s="217" t="s">
        <v>439</v>
      </c>
      <c r="E205" s="218"/>
      <c r="F205" s="65" t="s">
        <v>196</v>
      </c>
      <c r="G205" s="67">
        <f>'Stavební rozpočet'!G150</f>
        <v>24</v>
      </c>
      <c r="H205" s="95">
        <f>'Stavební rozpočet'!H150</f>
        <v>0</v>
      </c>
      <c r="I205" s="67">
        <f>G205*H205</f>
        <v>0</v>
      </c>
      <c r="J205" s="67">
        <f>'Stavební rozpočet'!J150</f>
        <v>4.0000000000000003E-5</v>
      </c>
      <c r="K205" s="67">
        <f>'Stavební rozpočet'!K150</f>
        <v>0</v>
      </c>
      <c r="L205" s="67">
        <f>G205*J205</f>
        <v>9.6000000000000013E-4</v>
      </c>
      <c r="M205" s="68" t="s">
        <v>111</v>
      </c>
      <c r="Z205" s="54">
        <f>IF(AQ205="5",BJ205,0)</f>
        <v>0</v>
      </c>
      <c r="AB205" s="54">
        <f>IF(AQ205="1",BH205,0)</f>
        <v>0</v>
      </c>
      <c r="AC205" s="54">
        <f>IF(AQ205="1",BI205,0)</f>
        <v>0</v>
      </c>
      <c r="AD205" s="54">
        <f>IF(AQ205="7",BH205,0)</f>
        <v>0</v>
      </c>
      <c r="AE205" s="54">
        <f>IF(AQ205="7",BI205,0)</f>
        <v>0</v>
      </c>
      <c r="AF205" s="54">
        <f>IF(AQ205="2",BH205,0)</f>
        <v>0</v>
      </c>
      <c r="AG205" s="54">
        <f>IF(AQ205="2",BI205,0)</f>
        <v>0</v>
      </c>
      <c r="AH205" s="54">
        <f>IF(AQ205="0",BJ205,0)</f>
        <v>0</v>
      </c>
      <c r="AI205" s="34" t="s">
        <v>103</v>
      </c>
      <c r="AJ205" s="67">
        <f>IF(AN205=0,I205,0)</f>
        <v>0</v>
      </c>
      <c r="AK205" s="67">
        <f>IF(AN205=12,I205,0)</f>
        <v>0</v>
      </c>
      <c r="AL205" s="67">
        <f>IF(AN205=21,I205,0)</f>
        <v>0</v>
      </c>
      <c r="AN205" s="54">
        <v>21</v>
      </c>
      <c r="AO205" s="54">
        <f>H205*1</f>
        <v>0</v>
      </c>
      <c r="AP205" s="54">
        <f>H205*(1-1)</f>
        <v>0</v>
      </c>
      <c r="AQ205" s="69" t="s">
        <v>168</v>
      </c>
      <c r="AV205" s="54">
        <f>AW205+AX205</f>
        <v>0</v>
      </c>
      <c r="AW205" s="54">
        <f>G205*AO205</f>
        <v>0</v>
      </c>
      <c r="AX205" s="54">
        <f>G205*AP205</f>
        <v>0</v>
      </c>
      <c r="AY205" s="56" t="s">
        <v>417</v>
      </c>
      <c r="AZ205" s="56" t="s">
        <v>418</v>
      </c>
      <c r="BA205" s="34" t="s">
        <v>114</v>
      </c>
      <c r="BC205" s="54">
        <f>AW205+AX205</f>
        <v>0</v>
      </c>
      <c r="BD205" s="54">
        <f>H205/(100-BE205)*100</f>
        <v>0</v>
      </c>
      <c r="BE205" s="54">
        <v>0</v>
      </c>
      <c r="BF205" s="54">
        <f>L205</f>
        <v>9.6000000000000013E-4</v>
      </c>
      <c r="BH205" s="67">
        <f>G205*AO205</f>
        <v>0</v>
      </c>
      <c r="BI205" s="67">
        <f>G205*AP205</f>
        <v>0</v>
      </c>
      <c r="BJ205" s="67">
        <f>G205*H205</f>
        <v>0</v>
      </c>
      <c r="BK205" s="67"/>
      <c r="BL205" s="54">
        <v>721</v>
      </c>
      <c r="BW205" s="54">
        <v>21</v>
      </c>
      <c r="BX205" s="66" t="s">
        <v>439</v>
      </c>
    </row>
    <row r="206" spans="1:76" ht="14.5" x14ac:dyDescent="0.35">
      <c r="A206" s="57"/>
      <c r="D206" s="58" t="s">
        <v>406</v>
      </c>
      <c r="E206" s="59" t="s">
        <v>425</v>
      </c>
      <c r="G206" s="60">
        <v>24</v>
      </c>
      <c r="M206" s="61"/>
    </row>
    <row r="207" spans="1:76" ht="14.5" x14ac:dyDescent="0.35">
      <c r="A207" s="57"/>
      <c r="C207" s="62" t="s">
        <v>156</v>
      </c>
      <c r="D207" s="211" t="s">
        <v>440</v>
      </c>
      <c r="E207" s="212"/>
      <c r="F207" s="212"/>
      <c r="G207" s="212"/>
      <c r="H207" s="212"/>
      <c r="I207" s="212"/>
      <c r="J207" s="212"/>
      <c r="K207" s="212"/>
      <c r="L207" s="212"/>
      <c r="M207" s="213"/>
      <c r="BX207" s="70" t="s">
        <v>440</v>
      </c>
    </row>
    <row r="208" spans="1:76" ht="14.5" x14ac:dyDescent="0.35">
      <c r="A208" s="64" t="s">
        <v>441</v>
      </c>
      <c r="B208" s="65" t="s">
        <v>103</v>
      </c>
      <c r="C208" s="65" t="s">
        <v>442</v>
      </c>
      <c r="D208" s="217" t="s">
        <v>443</v>
      </c>
      <c r="E208" s="218"/>
      <c r="F208" s="65" t="s">
        <v>196</v>
      </c>
      <c r="G208" s="67">
        <f>'Stavební rozpočet'!G152</f>
        <v>24</v>
      </c>
      <c r="H208" s="95">
        <f>'Stavební rozpočet'!H152</f>
        <v>0</v>
      </c>
      <c r="I208" s="67">
        <f>G208*H208</f>
        <v>0</v>
      </c>
      <c r="J208" s="67">
        <f>'Stavební rozpočet'!J152</f>
        <v>5.0000000000000002E-5</v>
      </c>
      <c r="K208" s="67">
        <f>'Stavební rozpočet'!K152</f>
        <v>0</v>
      </c>
      <c r="L208" s="67">
        <f>G208*J208</f>
        <v>1.2000000000000001E-3</v>
      </c>
      <c r="M208" s="68" t="s">
        <v>111</v>
      </c>
      <c r="Z208" s="54">
        <f>IF(AQ208="5",BJ208,0)</f>
        <v>0</v>
      </c>
      <c r="AB208" s="54">
        <f>IF(AQ208="1",BH208,0)</f>
        <v>0</v>
      </c>
      <c r="AC208" s="54">
        <f>IF(AQ208="1",BI208,0)</f>
        <v>0</v>
      </c>
      <c r="AD208" s="54">
        <f>IF(AQ208="7",BH208,0)</f>
        <v>0</v>
      </c>
      <c r="AE208" s="54">
        <f>IF(AQ208="7",BI208,0)</f>
        <v>0</v>
      </c>
      <c r="AF208" s="54">
        <f>IF(AQ208="2",BH208,0)</f>
        <v>0</v>
      </c>
      <c r="AG208" s="54">
        <f>IF(AQ208="2",BI208,0)</f>
        <v>0</v>
      </c>
      <c r="AH208" s="54">
        <f>IF(AQ208="0",BJ208,0)</f>
        <v>0</v>
      </c>
      <c r="AI208" s="34" t="s">
        <v>103</v>
      </c>
      <c r="AJ208" s="67">
        <f>IF(AN208=0,I208,0)</f>
        <v>0</v>
      </c>
      <c r="AK208" s="67">
        <f>IF(AN208=12,I208,0)</f>
        <v>0</v>
      </c>
      <c r="AL208" s="67">
        <f>IF(AN208=21,I208,0)</f>
        <v>0</v>
      </c>
      <c r="AN208" s="54">
        <v>21</v>
      </c>
      <c r="AO208" s="54">
        <f>H208*1</f>
        <v>0</v>
      </c>
      <c r="AP208" s="54">
        <f>H208*(1-1)</f>
        <v>0</v>
      </c>
      <c r="AQ208" s="69" t="s">
        <v>168</v>
      </c>
      <c r="AV208" s="54">
        <f>AW208+AX208</f>
        <v>0</v>
      </c>
      <c r="AW208" s="54">
        <f>G208*AO208</f>
        <v>0</v>
      </c>
      <c r="AX208" s="54">
        <f>G208*AP208</f>
        <v>0</v>
      </c>
      <c r="AY208" s="56" t="s">
        <v>417</v>
      </c>
      <c r="AZ208" s="56" t="s">
        <v>418</v>
      </c>
      <c r="BA208" s="34" t="s">
        <v>114</v>
      </c>
      <c r="BC208" s="54">
        <f>AW208+AX208</f>
        <v>0</v>
      </c>
      <c r="BD208" s="54">
        <f>H208/(100-BE208)*100</f>
        <v>0</v>
      </c>
      <c r="BE208" s="54">
        <v>0</v>
      </c>
      <c r="BF208" s="54">
        <f>L208</f>
        <v>1.2000000000000001E-3</v>
      </c>
      <c r="BH208" s="67">
        <f>G208*AO208</f>
        <v>0</v>
      </c>
      <c r="BI208" s="67">
        <f>G208*AP208</f>
        <v>0</v>
      </c>
      <c r="BJ208" s="67">
        <f>G208*H208</f>
        <v>0</v>
      </c>
      <c r="BK208" s="67"/>
      <c r="BL208" s="54">
        <v>721</v>
      </c>
      <c r="BW208" s="54">
        <v>21</v>
      </c>
      <c r="BX208" s="66" t="s">
        <v>443</v>
      </c>
    </row>
    <row r="209" spans="1:76" ht="14.5" x14ac:dyDescent="0.35">
      <c r="A209" s="57"/>
      <c r="D209" s="58" t="s">
        <v>406</v>
      </c>
      <c r="E209" s="59" t="s">
        <v>425</v>
      </c>
      <c r="G209" s="60">
        <v>24</v>
      </c>
      <c r="M209" s="61"/>
    </row>
    <row r="210" spans="1:76" ht="14.5" x14ac:dyDescent="0.35">
      <c r="A210" s="57"/>
      <c r="C210" s="62" t="s">
        <v>156</v>
      </c>
      <c r="D210" s="211" t="s">
        <v>444</v>
      </c>
      <c r="E210" s="212"/>
      <c r="F210" s="212"/>
      <c r="G210" s="212"/>
      <c r="H210" s="212"/>
      <c r="I210" s="212"/>
      <c r="J210" s="212"/>
      <c r="K210" s="212"/>
      <c r="L210" s="212"/>
      <c r="M210" s="213"/>
      <c r="BX210" s="70" t="s">
        <v>444</v>
      </c>
    </row>
    <row r="211" spans="1:76" ht="14.5" x14ac:dyDescent="0.35">
      <c r="A211" s="64" t="s">
        <v>445</v>
      </c>
      <c r="B211" s="65" t="s">
        <v>103</v>
      </c>
      <c r="C211" s="65" t="s">
        <v>446</v>
      </c>
      <c r="D211" s="217" t="s">
        <v>447</v>
      </c>
      <c r="E211" s="218"/>
      <c r="F211" s="65" t="s">
        <v>196</v>
      </c>
      <c r="G211" s="67">
        <f>'Stavební rozpočet'!G154</f>
        <v>24</v>
      </c>
      <c r="H211" s="95">
        <f>'Stavební rozpočet'!H154</f>
        <v>0</v>
      </c>
      <c r="I211" s="67">
        <f>G211*H211</f>
        <v>0</v>
      </c>
      <c r="J211" s="67">
        <f>'Stavební rozpočet'!J154</f>
        <v>6.9999999999999994E-5</v>
      </c>
      <c r="K211" s="67">
        <f>'Stavební rozpočet'!K154</f>
        <v>0</v>
      </c>
      <c r="L211" s="67">
        <f>G211*J211</f>
        <v>1.6799999999999999E-3</v>
      </c>
      <c r="M211" s="68" t="s">
        <v>111</v>
      </c>
      <c r="Z211" s="54">
        <f>IF(AQ211="5",BJ211,0)</f>
        <v>0</v>
      </c>
      <c r="AB211" s="54">
        <f>IF(AQ211="1",BH211,0)</f>
        <v>0</v>
      </c>
      <c r="AC211" s="54">
        <f>IF(AQ211="1",BI211,0)</f>
        <v>0</v>
      </c>
      <c r="AD211" s="54">
        <f>IF(AQ211="7",BH211,0)</f>
        <v>0</v>
      </c>
      <c r="AE211" s="54">
        <f>IF(AQ211="7",BI211,0)</f>
        <v>0</v>
      </c>
      <c r="AF211" s="54">
        <f>IF(AQ211="2",BH211,0)</f>
        <v>0</v>
      </c>
      <c r="AG211" s="54">
        <f>IF(AQ211="2",BI211,0)</f>
        <v>0</v>
      </c>
      <c r="AH211" s="54">
        <f>IF(AQ211="0",BJ211,0)</f>
        <v>0</v>
      </c>
      <c r="AI211" s="34" t="s">
        <v>103</v>
      </c>
      <c r="AJ211" s="67">
        <f>IF(AN211=0,I211,0)</f>
        <v>0</v>
      </c>
      <c r="AK211" s="67">
        <f>IF(AN211=12,I211,0)</f>
        <v>0</v>
      </c>
      <c r="AL211" s="67">
        <f>IF(AN211=21,I211,0)</f>
        <v>0</v>
      </c>
      <c r="AN211" s="54">
        <v>21</v>
      </c>
      <c r="AO211" s="54">
        <f>H211*1</f>
        <v>0</v>
      </c>
      <c r="AP211" s="54">
        <f>H211*(1-1)</f>
        <v>0</v>
      </c>
      <c r="AQ211" s="69" t="s">
        <v>168</v>
      </c>
      <c r="AV211" s="54">
        <f>AW211+AX211</f>
        <v>0</v>
      </c>
      <c r="AW211" s="54">
        <f>G211*AO211</f>
        <v>0</v>
      </c>
      <c r="AX211" s="54">
        <f>G211*AP211</f>
        <v>0</v>
      </c>
      <c r="AY211" s="56" t="s">
        <v>417</v>
      </c>
      <c r="AZ211" s="56" t="s">
        <v>418</v>
      </c>
      <c r="BA211" s="34" t="s">
        <v>114</v>
      </c>
      <c r="BC211" s="54">
        <f>AW211+AX211</f>
        <v>0</v>
      </c>
      <c r="BD211" s="54">
        <f>H211/(100-BE211)*100</f>
        <v>0</v>
      </c>
      <c r="BE211" s="54">
        <v>0</v>
      </c>
      <c r="BF211" s="54">
        <f>L211</f>
        <v>1.6799999999999999E-3</v>
      </c>
      <c r="BH211" s="67">
        <f>G211*AO211</f>
        <v>0</v>
      </c>
      <c r="BI211" s="67">
        <f>G211*AP211</f>
        <v>0</v>
      </c>
      <c r="BJ211" s="67">
        <f>G211*H211</f>
        <v>0</v>
      </c>
      <c r="BK211" s="67"/>
      <c r="BL211" s="54">
        <v>721</v>
      </c>
      <c r="BW211" s="54">
        <v>21</v>
      </c>
      <c r="BX211" s="66" t="s">
        <v>447</v>
      </c>
    </row>
    <row r="212" spans="1:76" ht="14.5" x14ac:dyDescent="0.35">
      <c r="A212" s="57"/>
      <c r="D212" s="58" t="s">
        <v>406</v>
      </c>
      <c r="E212" s="59" t="s">
        <v>425</v>
      </c>
      <c r="G212" s="60">
        <v>24</v>
      </c>
      <c r="M212" s="61"/>
    </row>
    <row r="213" spans="1:76" ht="14.5" x14ac:dyDescent="0.35">
      <c r="A213" s="57"/>
      <c r="C213" s="62" t="s">
        <v>156</v>
      </c>
      <c r="D213" s="211" t="s">
        <v>448</v>
      </c>
      <c r="E213" s="212"/>
      <c r="F213" s="212"/>
      <c r="G213" s="212"/>
      <c r="H213" s="212"/>
      <c r="I213" s="212"/>
      <c r="J213" s="212"/>
      <c r="K213" s="212"/>
      <c r="L213" s="212"/>
      <c r="M213" s="213"/>
      <c r="BX213" s="70" t="s">
        <v>448</v>
      </c>
    </row>
    <row r="214" spans="1:76" ht="14.5" x14ac:dyDescent="0.35">
      <c r="A214" s="64" t="s">
        <v>201</v>
      </c>
      <c r="B214" s="65" t="s">
        <v>103</v>
      </c>
      <c r="C214" s="65" t="s">
        <v>449</v>
      </c>
      <c r="D214" s="217" t="s">
        <v>450</v>
      </c>
      <c r="E214" s="218"/>
      <c r="F214" s="65" t="s">
        <v>196</v>
      </c>
      <c r="G214" s="67">
        <f>'Stavební rozpočet'!G156</f>
        <v>24</v>
      </c>
      <c r="H214" s="95">
        <f>'Stavební rozpočet'!H156</f>
        <v>0</v>
      </c>
      <c r="I214" s="67">
        <f>G214*H214</f>
        <v>0</v>
      </c>
      <c r="J214" s="67">
        <f>'Stavební rozpočet'!J156</f>
        <v>4.0000000000000003E-5</v>
      </c>
      <c r="K214" s="67">
        <f>'Stavební rozpočet'!K156</f>
        <v>0</v>
      </c>
      <c r="L214" s="67">
        <f>G214*J214</f>
        <v>9.6000000000000013E-4</v>
      </c>
      <c r="M214" s="68" t="s">
        <v>111</v>
      </c>
      <c r="Z214" s="54">
        <f>IF(AQ214="5",BJ214,0)</f>
        <v>0</v>
      </c>
      <c r="AB214" s="54">
        <f>IF(AQ214="1",BH214,0)</f>
        <v>0</v>
      </c>
      <c r="AC214" s="54">
        <f>IF(AQ214="1",BI214,0)</f>
        <v>0</v>
      </c>
      <c r="AD214" s="54">
        <f>IF(AQ214="7",BH214,0)</f>
        <v>0</v>
      </c>
      <c r="AE214" s="54">
        <f>IF(AQ214="7",BI214,0)</f>
        <v>0</v>
      </c>
      <c r="AF214" s="54">
        <f>IF(AQ214="2",BH214,0)</f>
        <v>0</v>
      </c>
      <c r="AG214" s="54">
        <f>IF(AQ214="2",BI214,0)</f>
        <v>0</v>
      </c>
      <c r="AH214" s="54">
        <f>IF(AQ214="0",BJ214,0)</f>
        <v>0</v>
      </c>
      <c r="AI214" s="34" t="s">
        <v>103</v>
      </c>
      <c r="AJ214" s="67">
        <f>IF(AN214=0,I214,0)</f>
        <v>0</v>
      </c>
      <c r="AK214" s="67">
        <f>IF(AN214=12,I214,0)</f>
        <v>0</v>
      </c>
      <c r="AL214" s="67">
        <f>IF(AN214=21,I214,0)</f>
        <v>0</v>
      </c>
      <c r="AN214" s="54">
        <v>21</v>
      </c>
      <c r="AO214" s="54">
        <f>H214*1</f>
        <v>0</v>
      </c>
      <c r="AP214" s="54">
        <f>H214*(1-1)</f>
        <v>0</v>
      </c>
      <c r="AQ214" s="69" t="s">
        <v>168</v>
      </c>
      <c r="AV214" s="54">
        <f>AW214+AX214</f>
        <v>0</v>
      </c>
      <c r="AW214" s="54">
        <f>G214*AO214</f>
        <v>0</v>
      </c>
      <c r="AX214" s="54">
        <f>G214*AP214</f>
        <v>0</v>
      </c>
      <c r="AY214" s="56" t="s">
        <v>417</v>
      </c>
      <c r="AZ214" s="56" t="s">
        <v>418</v>
      </c>
      <c r="BA214" s="34" t="s">
        <v>114</v>
      </c>
      <c r="BC214" s="54">
        <f>AW214+AX214</f>
        <v>0</v>
      </c>
      <c r="BD214" s="54">
        <f>H214/(100-BE214)*100</f>
        <v>0</v>
      </c>
      <c r="BE214" s="54">
        <v>0</v>
      </c>
      <c r="BF214" s="54">
        <f>L214</f>
        <v>9.6000000000000013E-4</v>
      </c>
      <c r="BH214" s="67">
        <f>G214*AO214</f>
        <v>0</v>
      </c>
      <c r="BI214" s="67">
        <f>G214*AP214</f>
        <v>0</v>
      </c>
      <c r="BJ214" s="67">
        <f>G214*H214</f>
        <v>0</v>
      </c>
      <c r="BK214" s="67"/>
      <c r="BL214" s="54">
        <v>721</v>
      </c>
      <c r="BW214" s="54">
        <v>21</v>
      </c>
      <c r="BX214" s="66" t="s">
        <v>450</v>
      </c>
    </row>
    <row r="215" spans="1:76" ht="14.5" x14ac:dyDescent="0.35">
      <c r="A215" s="57"/>
      <c r="D215" s="58" t="s">
        <v>406</v>
      </c>
      <c r="E215" s="59" t="s">
        <v>425</v>
      </c>
      <c r="G215" s="60">
        <v>24</v>
      </c>
      <c r="M215" s="61"/>
    </row>
    <row r="216" spans="1:76" ht="14.5" x14ac:dyDescent="0.35">
      <c r="A216" s="57"/>
      <c r="C216" s="62" t="s">
        <v>156</v>
      </c>
      <c r="D216" s="211" t="s">
        <v>451</v>
      </c>
      <c r="E216" s="212"/>
      <c r="F216" s="212"/>
      <c r="G216" s="212"/>
      <c r="H216" s="212"/>
      <c r="I216" s="212"/>
      <c r="J216" s="212"/>
      <c r="K216" s="212"/>
      <c r="L216" s="212"/>
      <c r="M216" s="213"/>
      <c r="BX216" s="70" t="s">
        <v>451</v>
      </c>
    </row>
    <row r="217" spans="1:76" ht="14.5" x14ac:dyDescent="0.35">
      <c r="A217" s="1" t="s">
        <v>452</v>
      </c>
      <c r="B217" s="2" t="s">
        <v>103</v>
      </c>
      <c r="C217" s="2" t="s">
        <v>453</v>
      </c>
      <c r="D217" s="155" t="s">
        <v>454</v>
      </c>
      <c r="E217" s="153"/>
      <c r="F217" s="2" t="s">
        <v>153</v>
      </c>
      <c r="G217" s="54">
        <f>'Stavební rozpočet'!G158</f>
        <v>16.8</v>
      </c>
      <c r="H217" s="94">
        <f>'Stavební rozpočet'!H158</f>
        <v>0</v>
      </c>
      <c r="I217" s="54">
        <f>G217*H217</f>
        <v>0</v>
      </c>
      <c r="J217" s="54">
        <f>'Stavební rozpočet'!J158</f>
        <v>1.5200000000000001E-3</v>
      </c>
      <c r="K217" s="54">
        <f>'Stavební rozpočet'!K158</f>
        <v>0</v>
      </c>
      <c r="L217" s="54">
        <f>G217*J217</f>
        <v>2.5536000000000003E-2</v>
      </c>
      <c r="M217" s="55" t="s">
        <v>111</v>
      </c>
      <c r="Z217" s="54">
        <f>IF(AQ217="5",BJ217,0)</f>
        <v>0</v>
      </c>
      <c r="AB217" s="54">
        <f>IF(AQ217="1",BH217,0)</f>
        <v>0</v>
      </c>
      <c r="AC217" s="54">
        <f>IF(AQ217="1",BI217,0)</f>
        <v>0</v>
      </c>
      <c r="AD217" s="54">
        <f>IF(AQ217="7",BH217,0)</f>
        <v>0</v>
      </c>
      <c r="AE217" s="54">
        <f>IF(AQ217="7",BI217,0)</f>
        <v>0</v>
      </c>
      <c r="AF217" s="54">
        <f>IF(AQ217="2",BH217,0)</f>
        <v>0</v>
      </c>
      <c r="AG217" s="54">
        <f>IF(AQ217="2",BI217,0)</f>
        <v>0</v>
      </c>
      <c r="AH217" s="54">
        <f>IF(AQ217="0",BJ217,0)</f>
        <v>0</v>
      </c>
      <c r="AI217" s="34" t="s">
        <v>103</v>
      </c>
      <c r="AJ217" s="54">
        <f>IF(AN217=0,I217,0)</f>
        <v>0</v>
      </c>
      <c r="AK217" s="54">
        <f>IF(AN217=12,I217,0)</f>
        <v>0</v>
      </c>
      <c r="AL217" s="54">
        <f>IF(AN217=21,I217,0)</f>
        <v>0</v>
      </c>
      <c r="AN217" s="54">
        <v>21</v>
      </c>
      <c r="AO217" s="54">
        <f>H217*0.262895257</f>
        <v>0</v>
      </c>
      <c r="AP217" s="54">
        <f>H217*(1-0.262895257)</f>
        <v>0</v>
      </c>
      <c r="AQ217" s="56" t="s">
        <v>168</v>
      </c>
      <c r="AV217" s="54">
        <f>AW217+AX217</f>
        <v>0</v>
      </c>
      <c r="AW217" s="54">
        <f>G217*AO217</f>
        <v>0</v>
      </c>
      <c r="AX217" s="54">
        <f>G217*AP217</f>
        <v>0</v>
      </c>
      <c r="AY217" s="56" t="s">
        <v>417</v>
      </c>
      <c r="AZ217" s="56" t="s">
        <v>418</v>
      </c>
      <c r="BA217" s="34" t="s">
        <v>114</v>
      </c>
      <c r="BC217" s="54">
        <f>AW217+AX217</f>
        <v>0</v>
      </c>
      <c r="BD217" s="54">
        <f>H217/(100-BE217)*100</f>
        <v>0</v>
      </c>
      <c r="BE217" s="54">
        <v>0</v>
      </c>
      <c r="BF217" s="54">
        <f>L217</f>
        <v>2.5536000000000003E-2</v>
      </c>
      <c r="BH217" s="54">
        <f>G217*AO217</f>
        <v>0</v>
      </c>
      <c r="BI217" s="54">
        <f>G217*AP217</f>
        <v>0</v>
      </c>
      <c r="BJ217" s="54">
        <f>G217*H217</f>
        <v>0</v>
      </c>
      <c r="BK217" s="54"/>
      <c r="BL217" s="54">
        <v>721</v>
      </c>
      <c r="BW217" s="54">
        <v>21</v>
      </c>
      <c r="BX217" s="3" t="s">
        <v>454</v>
      </c>
    </row>
    <row r="218" spans="1:76" ht="14.5" x14ac:dyDescent="0.35">
      <c r="A218" s="57"/>
      <c r="D218" s="58" t="s">
        <v>208</v>
      </c>
      <c r="E218" s="59" t="s">
        <v>419</v>
      </c>
      <c r="G218" s="60">
        <v>0</v>
      </c>
      <c r="M218" s="61"/>
    </row>
    <row r="219" spans="1:76" ht="14.5" x14ac:dyDescent="0.35">
      <c r="A219" s="57"/>
      <c r="D219" s="58" t="s">
        <v>455</v>
      </c>
      <c r="E219" s="59" t="s">
        <v>456</v>
      </c>
      <c r="G219" s="60">
        <v>16.8</v>
      </c>
      <c r="M219" s="61"/>
    </row>
    <row r="220" spans="1:76" ht="14.5" x14ac:dyDescent="0.35">
      <c r="A220" s="64" t="s">
        <v>457</v>
      </c>
      <c r="B220" s="65" t="s">
        <v>103</v>
      </c>
      <c r="C220" s="65" t="s">
        <v>458</v>
      </c>
      <c r="D220" s="217" t="s">
        <v>459</v>
      </c>
      <c r="E220" s="218"/>
      <c r="F220" s="65" t="s">
        <v>196</v>
      </c>
      <c r="G220" s="67">
        <f>'Stavební rozpočet'!G161</f>
        <v>72</v>
      </c>
      <c r="H220" s="95">
        <f>'Stavební rozpočet'!H161</f>
        <v>0</v>
      </c>
      <c r="I220" s="67">
        <f>G220*H220</f>
        <v>0</v>
      </c>
      <c r="J220" s="67">
        <f>'Stavební rozpočet'!J161</f>
        <v>1.8000000000000001E-4</v>
      </c>
      <c r="K220" s="67">
        <f>'Stavební rozpočet'!K161</f>
        <v>0</v>
      </c>
      <c r="L220" s="67">
        <f>G220*J220</f>
        <v>1.2960000000000001E-2</v>
      </c>
      <c r="M220" s="68" t="s">
        <v>111</v>
      </c>
      <c r="Z220" s="54">
        <f>IF(AQ220="5",BJ220,0)</f>
        <v>0</v>
      </c>
      <c r="AB220" s="54">
        <f>IF(AQ220="1",BH220,0)</f>
        <v>0</v>
      </c>
      <c r="AC220" s="54">
        <f>IF(AQ220="1",BI220,0)</f>
        <v>0</v>
      </c>
      <c r="AD220" s="54">
        <f>IF(AQ220="7",BH220,0)</f>
        <v>0</v>
      </c>
      <c r="AE220" s="54">
        <f>IF(AQ220="7",BI220,0)</f>
        <v>0</v>
      </c>
      <c r="AF220" s="54">
        <f>IF(AQ220="2",BH220,0)</f>
        <v>0</v>
      </c>
      <c r="AG220" s="54">
        <f>IF(AQ220="2",BI220,0)</f>
        <v>0</v>
      </c>
      <c r="AH220" s="54">
        <f>IF(AQ220="0",BJ220,0)</f>
        <v>0</v>
      </c>
      <c r="AI220" s="34" t="s">
        <v>103</v>
      </c>
      <c r="AJ220" s="67">
        <f>IF(AN220=0,I220,0)</f>
        <v>0</v>
      </c>
      <c r="AK220" s="67">
        <f>IF(AN220=12,I220,0)</f>
        <v>0</v>
      </c>
      <c r="AL220" s="67">
        <f>IF(AN220=21,I220,0)</f>
        <v>0</v>
      </c>
      <c r="AN220" s="54">
        <v>21</v>
      </c>
      <c r="AO220" s="54">
        <f>H220*1</f>
        <v>0</v>
      </c>
      <c r="AP220" s="54">
        <f>H220*(1-1)</f>
        <v>0</v>
      </c>
      <c r="AQ220" s="69" t="s">
        <v>168</v>
      </c>
      <c r="AV220" s="54">
        <f>AW220+AX220</f>
        <v>0</v>
      </c>
      <c r="AW220" s="54">
        <f>G220*AO220</f>
        <v>0</v>
      </c>
      <c r="AX220" s="54">
        <f>G220*AP220</f>
        <v>0</v>
      </c>
      <c r="AY220" s="56" t="s">
        <v>417</v>
      </c>
      <c r="AZ220" s="56" t="s">
        <v>418</v>
      </c>
      <c r="BA220" s="34" t="s">
        <v>114</v>
      </c>
      <c r="BC220" s="54">
        <f>AW220+AX220</f>
        <v>0</v>
      </c>
      <c r="BD220" s="54">
        <f>H220/(100-BE220)*100</f>
        <v>0</v>
      </c>
      <c r="BE220" s="54">
        <v>0</v>
      </c>
      <c r="BF220" s="54">
        <f>L220</f>
        <v>1.2960000000000001E-2</v>
      </c>
      <c r="BH220" s="67">
        <f>G220*AO220</f>
        <v>0</v>
      </c>
      <c r="BI220" s="67">
        <f>G220*AP220</f>
        <v>0</v>
      </c>
      <c r="BJ220" s="67">
        <f>G220*H220</f>
        <v>0</v>
      </c>
      <c r="BK220" s="67"/>
      <c r="BL220" s="54">
        <v>721</v>
      </c>
      <c r="BW220" s="54">
        <v>21</v>
      </c>
      <c r="BX220" s="66" t="s">
        <v>459</v>
      </c>
    </row>
    <row r="221" spans="1:76" ht="14.5" x14ac:dyDescent="0.35">
      <c r="A221" s="57"/>
      <c r="D221" s="58" t="s">
        <v>460</v>
      </c>
      <c r="E221" s="59" t="s">
        <v>425</v>
      </c>
      <c r="G221" s="60">
        <v>72</v>
      </c>
      <c r="M221" s="61"/>
    </row>
    <row r="222" spans="1:76" ht="14.5" x14ac:dyDescent="0.35">
      <c r="A222" s="57"/>
      <c r="C222" s="62" t="s">
        <v>156</v>
      </c>
      <c r="D222" s="211" t="s">
        <v>461</v>
      </c>
      <c r="E222" s="212"/>
      <c r="F222" s="212"/>
      <c r="G222" s="212"/>
      <c r="H222" s="212"/>
      <c r="I222" s="212"/>
      <c r="J222" s="212"/>
      <c r="K222" s="212"/>
      <c r="L222" s="212"/>
      <c r="M222" s="213"/>
      <c r="BX222" s="70" t="s">
        <v>461</v>
      </c>
    </row>
    <row r="223" spans="1:76" ht="14.5" x14ac:dyDescent="0.35">
      <c r="A223" s="64" t="s">
        <v>462</v>
      </c>
      <c r="B223" s="65" t="s">
        <v>103</v>
      </c>
      <c r="C223" s="65" t="s">
        <v>463</v>
      </c>
      <c r="D223" s="217" t="s">
        <v>464</v>
      </c>
      <c r="E223" s="218"/>
      <c r="F223" s="65" t="s">
        <v>196</v>
      </c>
      <c r="G223" s="67">
        <f>'Stavební rozpočet'!G163</f>
        <v>24</v>
      </c>
      <c r="H223" s="95">
        <f>'Stavební rozpočet'!H163</f>
        <v>0</v>
      </c>
      <c r="I223" s="67">
        <f>G223*H223</f>
        <v>0</v>
      </c>
      <c r="J223" s="67">
        <f>'Stavební rozpočet'!J163</f>
        <v>2.5000000000000001E-4</v>
      </c>
      <c r="K223" s="67">
        <f>'Stavební rozpočet'!K163</f>
        <v>0</v>
      </c>
      <c r="L223" s="67">
        <f>G223*J223</f>
        <v>6.0000000000000001E-3</v>
      </c>
      <c r="M223" s="68" t="s">
        <v>111</v>
      </c>
      <c r="Z223" s="54">
        <f>IF(AQ223="5",BJ223,0)</f>
        <v>0</v>
      </c>
      <c r="AB223" s="54">
        <f>IF(AQ223="1",BH223,0)</f>
        <v>0</v>
      </c>
      <c r="AC223" s="54">
        <f>IF(AQ223="1",BI223,0)</f>
        <v>0</v>
      </c>
      <c r="AD223" s="54">
        <f>IF(AQ223="7",BH223,0)</f>
        <v>0</v>
      </c>
      <c r="AE223" s="54">
        <f>IF(AQ223="7",BI223,0)</f>
        <v>0</v>
      </c>
      <c r="AF223" s="54">
        <f>IF(AQ223="2",BH223,0)</f>
        <v>0</v>
      </c>
      <c r="AG223" s="54">
        <f>IF(AQ223="2",BI223,0)</f>
        <v>0</v>
      </c>
      <c r="AH223" s="54">
        <f>IF(AQ223="0",BJ223,0)</f>
        <v>0</v>
      </c>
      <c r="AI223" s="34" t="s">
        <v>103</v>
      </c>
      <c r="AJ223" s="67">
        <f>IF(AN223=0,I223,0)</f>
        <v>0</v>
      </c>
      <c r="AK223" s="67">
        <f>IF(AN223=12,I223,0)</f>
        <v>0</v>
      </c>
      <c r="AL223" s="67">
        <f>IF(AN223=21,I223,0)</f>
        <v>0</v>
      </c>
      <c r="AN223" s="54">
        <v>21</v>
      </c>
      <c r="AO223" s="54">
        <f>H223*1</f>
        <v>0</v>
      </c>
      <c r="AP223" s="54">
        <f>H223*(1-1)</f>
        <v>0</v>
      </c>
      <c r="AQ223" s="69" t="s">
        <v>168</v>
      </c>
      <c r="AV223" s="54">
        <f>AW223+AX223</f>
        <v>0</v>
      </c>
      <c r="AW223" s="54">
        <f>G223*AO223</f>
        <v>0</v>
      </c>
      <c r="AX223" s="54">
        <f>G223*AP223</f>
        <v>0</v>
      </c>
      <c r="AY223" s="56" t="s">
        <v>417</v>
      </c>
      <c r="AZ223" s="56" t="s">
        <v>418</v>
      </c>
      <c r="BA223" s="34" t="s">
        <v>114</v>
      </c>
      <c r="BC223" s="54">
        <f>AW223+AX223</f>
        <v>0</v>
      </c>
      <c r="BD223" s="54">
        <f>H223/(100-BE223)*100</f>
        <v>0</v>
      </c>
      <c r="BE223" s="54">
        <v>0</v>
      </c>
      <c r="BF223" s="54">
        <f>L223</f>
        <v>6.0000000000000001E-3</v>
      </c>
      <c r="BH223" s="67">
        <f>G223*AO223</f>
        <v>0</v>
      </c>
      <c r="BI223" s="67">
        <f>G223*AP223</f>
        <v>0</v>
      </c>
      <c r="BJ223" s="67">
        <f>G223*H223</f>
        <v>0</v>
      </c>
      <c r="BK223" s="67"/>
      <c r="BL223" s="54">
        <v>721</v>
      </c>
      <c r="BW223" s="54">
        <v>21</v>
      </c>
      <c r="BX223" s="66" t="s">
        <v>464</v>
      </c>
    </row>
    <row r="224" spans="1:76" ht="14.5" x14ac:dyDescent="0.35">
      <c r="A224" s="57"/>
      <c r="D224" s="58" t="s">
        <v>406</v>
      </c>
      <c r="E224" s="59" t="s">
        <v>425</v>
      </c>
      <c r="G224" s="60">
        <v>24</v>
      </c>
      <c r="M224" s="61"/>
    </row>
    <row r="225" spans="1:76" ht="14.5" x14ac:dyDescent="0.35">
      <c r="A225" s="57"/>
      <c r="C225" s="62" t="s">
        <v>156</v>
      </c>
      <c r="D225" s="211" t="s">
        <v>465</v>
      </c>
      <c r="E225" s="212"/>
      <c r="F225" s="212"/>
      <c r="G225" s="212"/>
      <c r="H225" s="212"/>
      <c r="I225" s="212"/>
      <c r="J225" s="212"/>
      <c r="K225" s="212"/>
      <c r="L225" s="212"/>
      <c r="M225" s="213"/>
      <c r="BX225" s="70" t="s">
        <v>465</v>
      </c>
    </row>
    <row r="226" spans="1:76" ht="14.5" x14ac:dyDescent="0.35">
      <c r="A226" s="64" t="s">
        <v>466</v>
      </c>
      <c r="B226" s="65" t="s">
        <v>103</v>
      </c>
      <c r="C226" s="65" t="s">
        <v>467</v>
      </c>
      <c r="D226" s="217" t="s">
        <v>468</v>
      </c>
      <c r="E226" s="218"/>
      <c r="F226" s="65" t="s">
        <v>196</v>
      </c>
      <c r="G226" s="67">
        <f>'Stavební rozpočet'!G165</f>
        <v>24</v>
      </c>
      <c r="H226" s="95">
        <f>'Stavební rozpočet'!H165</f>
        <v>0</v>
      </c>
      <c r="I226" s="67">
        <f>G226*H226</f>
        <v>0</v>
      </c>
      <c r="J226" s="67">
        <f>'Stavební rozpočet'!J165</f>
        <v>3.8999999999999999E-4</v>
      </c>
      <c r="K226" s="67">
        <f>'Stavební rozpočet'!K165</f>
        <v>0</v>
      </c>
      <c r="L226" s="67">
        <f>G226*J226</f>
        <v>9.3600000000000003E-3</v>
      </c>
      <c r="M226" s="68" t="s">
        <v>111</v>
      </c>
      <c r="Z226" s="54">
        <f>IF(AQ226="5",BJ226,0)</f>
        <v>0</v>
      </c>
      <c r="AB226" s="54">
        <f>IF(AQ226="1",BH226,0)</f>
        <v>0</v>
      </c>
      <c r="AC226" s="54">
        <f>IF(AQ226="1",BI226,0)</f>
        <v>0</v>
      </c>
      <c r="AD226" s="54">
        <f>IF(AQ226="7",BH226,0)</f>
        <v>0</v>
      </c>
      <c r="AE226" s="54">
        <f>IF(AQ226="7",BI226,0)</f>
        <v>0</v>
      </c>
      <c r="AF226" s="54">
        <f>IF(AQ226="2",BH226,0)</f>
        <v>0</v>
      </c>
      <c r="AG226" s="54">
        <f>IF(AQ226="2",BI226,0)</f>
        <v>0</v>
      </c>
      <c r="AH226" s="54">
        <f>IF(AQ226="0",BJ226,0)</f>
        <v>0</v>
      </c>
      <c r="AI226" s="34" t="s">
        <v>103</v>
      </c>
      <c r="AJ226" s="67">
        <f>IF(AN226=0,I226,0)</f>
        <v>0</v>
      </c>
      <c r="AK226" s="67">
        <f>IF(AN226=12,I226,0)</f>
        <v>0</v>
      </c>
      <c r="AL226" s="67">
        <f>IF(AN226=21,I226,0)</f>
        <v>0</v>
      </c>
      <c r="AN226" s="54">
        <v>21</v>
      </c>
      <c r="AO226" s="54">
        <f>H226*1</f>
        <v>0</v>
      </c>
      <c r="AP226" s="54">
        <f>H226*(1-1)</f>
        <v>0</v>
      </c>
      <c r="AQ226" s="69" t="s">
        <v>168</v>
      </c>
      <c r="AV226" s="54">
        <f>AW226+AX226</f>
        <v>0</v>
      </c>
      <c r="AW226" s="54">
        <f>G226*AO226</f>
        <v>0</v>
      </c>
      <c r="AX226" s="54">
        <f>G226*AP226</f>
        <v>0</v>
      </c>
      <c r="AY226" s="56" t="s">
        <v>417</v>
      </c>
      <c r="AZ226" s="56" t="s">
        <v>418</v>
      </c>
      <c r="BA226" s="34" t="s">
        <v>114</v>
      </c>
      <c r="BC226" s="54">
        <f>AW226+AX226</f>
        <v>0</v>
      </c>
      <c r="BD226" s="54">
        <f>H226/(100-BE226)*100</f>
        <v>0</v>
      </c>
      <c r="BE226" s="54">
        <v>0</v>
      </c>
      <c r="BF226" s="54">
        <f>L226</f>
        <v>9.3600000000000003E-3</v>
      </c>
      <c r="BH226" s="67">
        <f>G226*AO226</f>
        <v>0</v>
      </c>
      <c r="BI226" s="67">
        <f>G226*AP226</f>
        <v>0</v>
      </c>
      <c r="BJ226" s="67">
        <f>G226*H226</f>
        <v>0</v>
      </c>
      <c r="BK226" s="67"/>
      <c r="BL226" s="54">
        <v>721</v>
      </c>
      <c r="BW226" s="54">
        <v>21</v>
      </c>
      <c r="BX226" s="66" t="s">
        <v>468</v>
      </c>
    </row>
    <row r="227" spans="1:76" ht="14.5" x14ac:dyDescent="0.35">
      <c r="A227" s="57"/>
      <c r="D227" s="58" t="s">
        <v>406</v>
      </c>
      <c r="E227" s="59" t="s">
        <v>425</v>
      </c>
      <c r="G227" s="60">
        <v>24</v>
      </c>
      <c r="M227" s="61"/>
    </row>
    <row r="228" spans="1:76" ht="14.5" x14ac:dyDescent="0.35">
      <c r="A228" s="57"/>
      <c r="C228" s="62" t="s">
        <v>156</v>
      </c>
      <c r="D228" s="211" t="s">
        <v>469</v>
      </c>
      <c r="E228" s="212"/>
      <c r="F228" s="212"/>
      <c r="G228" s="212"/>
      <c r="H228" s="212"/>
      <c r="I228" s="212"/>
      <c r="J228" s="212"/>
      <c r="K228" s="212"/>
      <c r="L228" s="212"/>
      <c r="M228" s="213"/>
      <c r="BX228" s="70" t="s">
        <v>469</v>
      </c>
    </row>
    <row r="229" spans="1:76" ht="14.5" x14ac:dyDescent="0.35">
      <c r="A229" s="1" t="s">
        <v>470</v>
      </c>
      <c r="B229" s="2" t="s">
        <v>103</v>
      </c>
      <c r="C229" s="2" t="s">
        <v>471</v>
      </c>
      <c r="D229" s="155" t="s">
        <v>472</v>
      </c>
      <c r="E229" s="153"/>
      <c r="F229" s="2" t="s">
        <v>196</v>
      </c>
      <c r="G229" s="54">
        <f>'Stavební rozpočet'!G167</f>
        <v>24</v>
      </c>
      <c r="H229" s="94">
        <f>'Stavební rozpočet'!H167</f>
        <v>0</v>
      </c>
      <c r="I229" s="54">
        <f>G229*H229</f>
        <v>0</v>
      </c>
      <c r="J229" s="54">
        <f>'Stavební rozpočet'!J167</f>
        <v>0</v>
      </c>
      <c r="K229" s="54">
        <f>'Stavební rozpočet'!K167</f>
        <v>0</v>
      </c>
      <c r="L229" s="54">
        <f>G229*J229</f>
        <v>0</v>
      </c>
      <c r="M229" s="55" t="s">
        <v>111</v>
      </c>
      <c r="Z229" s="54">
        <f>IF(AQ229="5",BJ229,0)</f>
        <v>0</v>
      </c>
      <c r="AB229" s="54">
        <f>IF(AQ229="1",BH229,0)</f>
        <v>0</v>
      </c>
      <c r="AC229" s="54">
        <f>IF(AQ229="1",BI229,0)</f>
        <v>0</v>
      </c>
      <c r="AD229" s="54">
        <f>IF(AQ229="7",BH229,0)</f>
        <v>0</v>
      </c>
      <c r="AE229" s="54">
        <f>IF(AQ229="7",BI229,0)</f>
        <v>0</v>
      </c>
      <c r="AF229" s="54">
        <f>IF(AQ229="2",BH229,0)</f>
        <v>0</v>
      </c>
      <c r="AG229" s="54">
        <f>IF(AQ229="2",BI229,0)</f>
        <v>0</v>
      </c>
      <c r="AH229" s="54">
        <f>IF(AQ229="0",BJ229,0)</f>
        <v>0</v>
      </c>
      <c r="AI229" s="34" t="s">
        <v>103</v>
      </c>
      <c r="AJ229" s="54">
        <f>IF(AN229=0,I229,0)</f>
        <v>0</v>
      </c>
      <c r="AK229" s="54">
        <f>IF(AN229=12,I229,0)</f>
        <v>0</v>
      </c>
      <c r="AL229" s="54">
        <f>IF(AN229=21,I229,0)</f>
        <v>0</v>
      </c>
      <c r="AN229" s="54">
        <v>21</v>
      </c>
      <c r="AO229" s="54">
        <f>H229*0</f>
        <v>0</v>
      </c>
      <c r="AP229" s="54">
        <f>H229*(1-0)</f>
        <v>0</v>
      </c>
      <c r="AQ229" s="56" t="s">
        <v>168</v>
      </c>
      <c r="AV229" s="54">
        <f>AW229+AX229</f>
        <v>0</v>
      </c>
      <c r="AW229" s="54">
        <f>G229*AO229</f>
        <v>0</v>
      </c>
      <c r="AX229" s="54">
        <f>G229*AP229</f>
        <v>0</v>
      </c>
      <c r="AY229" s="56" t="s">
        <v>417</v>
      </c>
      <c r="AZ229" s="56" t="s">
        <v>418</v>
      </c>
      <c r="BA229" s="34" t="s">
        <v>114</v>
      </c>
      <c r="BC229" s="54">
        <f>AW229+AX229</f>
        <v>0</v>
      </c>
      <c r="BD229" s="54">
        <f>H229/(100-BE229)*100</f>
        <v>0</v>
      </c>
      <c r="BE229" s="54">
        <v>0</v>
      </c>
      <c r="BF229" s="54">
        <f>L229</f>
        <v>0</v>
      </c>
      <c r="BH229" s="54">
        <f>G229*AO229</f>
        <v>0</v>
      </c>
      <c r="BI229" s="54">
        <f>G229*AP229</f>
        <v>0</v>
      </c>
      <c r="BJ229" s="54">
        <f>G229*H229</f>
        <v>0</v>
      </c>
      <c r="BK229" s="54"/>
      <c r="BL229" s="54">
        <v>721</v>
      </c>
      <c r="BW229" s="54">
        <v>21</v>
      </c>
      <c r="BX229" s="3" t="s">
        <v>472</v>
      </c>
    </row>
    <row r="230" spans="1:76" ht="14.5" x14ac:dyDescent="0.35">
      <c r="A230" s="57"/>
      <c r="D230" s="58" t="s">
        <v>208</v>
      </c>
      <c r="E230" s="59" t="s">
        <v>473</v>
      </c>
      <c r="G230" s="60">
        <v>0</v>
      </c>
      <c r="M230" s="61"/>
    </row>
    <row r="231" spans="1:76" ht="14.5" x14ac:dyDescent="0.35">
      <c r="A231" s="57"/>
      <c r="D231" s="58" t="s">
        <v>406</v>
      </c>
      <c r="E231" s="59" t="s">
        <v>474</v>
      </c>
      <c r="G231" s="60">
        <v>24</v>
      </c>
      <c r="M231" s="61"/>
    </row>
    <row r="232" spans="1:76" ht="14.5" x14ac:dyDescent="0.35">
      <c r="A232" s="1" t="s">
        <v>475</v>
      </c>
      <c r="B232" s="2" t="s">
        <v>103</v>
      </c>
      <c r="C232" s="2" t="s">
        <v>476</v>
      </c>
      <c r="D232" s="155" t="s">
        <v>477</v>
      </c>
      <c r="E232" s="153"/>
      <c r="F232" s="2" t="s">
        <v>153</v>
      </c>
      <c r="G232" s="54">
        <f>'Stavební rozpočet'!G170</f>
        <v>98.4</v>
      </c>
      <c r="H232" s="94">
        <f>'Stavební rozpočet'!H170</f>
        <v>0</v>
      </c>
      <c r="I232" s="54">
        <f>G232*H232</f>
        <v>0</v>
      </c>
      <c r="J232" s="54">
        <f>'Stavební rozpočet'!J170</f>
        <v>0</v>
      </c>
      <c r="K232" s="54">
        <f>'Stavební rozpočet'!K170</f>
        <v>0</v>
      </c>
      <c r="L232" s="54">
        <f>G232*J232</f>
        <v>0</v>
      </c>
      <c r="M232" s="55" t="s">
        <v>111</v>
      </c>
      <c r="Z232" s="54">
        <f>IF(AQ232="5",BJ232,0)</f>
        <v>0</v>
      </c>
      <c r="AB232" s="54">
        <f>IF(AQ232="1",BH232,0)</f>
        <v>0</v>
      </c>
      <c r="AC232" s="54">
        <f>IF(AQ232="1",BI232,0)</f>
        <v>0</v>
      </c>
      <c r="AD232" s="54">
        <f>IF(AQ232="7",BH232,0)</f>
        <v>0</v>
      </c>
      <c r="AE232" s="54">
        <f>IF(AQ232="7",BI232,0)</f>
        <v>0</v>
      </c>
      <c r="AF232" s="54">
        <f>IF(AQ232="2",BH232,0)</f>
        <v>0</v>
      </c>
      <c r="AG232" s="54">
        <f>IF(AQ232="2",BI232,0)</f>
        <v>0</v>
      </c>
      <c r="AH232" s="54">
        <f>IF(AQ232="0",BJ232,0)</f>
        <v>0</v>
      </c>
      <c r="AI232" s="34" t="s">
        <v>103</v>
      </c>
      <c r="AJ232" s="54">
        <f>IF(AN232=0,I232,0)</f>
        <v>0</v>
      </c>
      <c r="AK232" s="54">
        <f>IF(AN232=12,I232,0)</f>
        <v>0</v>
      </c>
      <c r="AL232" s="54">
        <f>IF(AN232=21,I232,0)</f>
        <v>0</v>
      </c>
      <c r="AN232" s="54">
        <v>21</v>
      </c>
      <c r="AO232" s="54">
        <f>H232*0.028571429</f>
        <v>0</v>
      </c>
      <c r="AP232" s="54">
        <f>H232*(1-0.028571429)</f>
        <v>0</v>
      </c>
      <c r="AQ232" s="56" t="s">
        <v>168</v>
      </c>
      <c r="AV232" s="54">
        <f>AW232+AX232</f>
        <v>0</v>
      </c>
      <c r="AW232" s="54">
        <f>G232*AO232</f>
        <v>0</v>
      </c>
      <c r="AX232" s="54">
        <f>G232*AP232</f>
        <v>0</v>
      </c>
      <c r="AY232" s="56" t="s">
        <v>417</v>
      </c>
      <c r="AZ232" s="56" t="s">
        <v>418</v>
      </c>
      <c r="BA232" s="34" t="s">
        <v>114</v>
      </c>
      <c r="BC232" s="54">
        <f>AW232+AX232</f>
        <v>0</v>
      </c>
      <c r="BD232" s="54">
        <f>H232/(100-BE232)*100</f>
        <v>0</v>
      </c>
      <c r="BE232" s="54">
        <v>0</v>
      </c>
      <c r="BF232" s="54">
        <f>L232</f>
        <v>0</v>
      </c>
      <c r="BH232" s="54">
        <f>G232*AO232</f>
        <v>0</v>
      </c>
      <c r="BI232" s="54">
        <f>G232*AP232</f>
        <v>0</v>
      </c>
      <c r="BJ232" s="54">
        <f>G232*H232</f>
        <v>0</v>
      </c>
      <c r="BK232" s="54"/>
      <c r="BL232" s="54">
        <v>721</v>
      </c>
      <c r="BW232" s="54">
        <v>21</v>
      </c>
      <c r="BX232" s="3" t="s">
        <v>477</v>
      </c>
    </row>
    <row r="233" spans="1:76" ht="14.5" x14ac:dyDescent="0.35">
      <c r="A233" s="57"/>
      <c r="D233" s="58" t="s">
        <v>420</v>
      </c>
      <c r="E233" s="59" t="s">
        <v>10</v>
      </c>
      <c r="G233" s="60">
        <v>67.2</v>
      </c>
      <c r="M233" s="61"/>
    </row>
    <row r="234" spans="1:76" ht="14.5" x14ac:dyDescent="0.35">
      <c r="A234" s="57"/>
      <c r="D234" s="58" t="s">
        <v>435</v>
      </c>
      <c r="E234" s="59" t="s">
        <v>10</v>
      </c>
      <c r="G234" s="60">
        <v>14.4</v>
      </c>
      <c r="M234" s="61"/>
    </row>
    <row r="235" spans="1:76" ht="14.5" x14ac:dyDescent="0.35">
      <c r="A235" s="57"/>
      <c r="D235" s="58" t="s">
        <v>455</v>
      </c>
      <c r="E235" s="59" t="s">
        <v>10</v>
      </c>
      <c r="G235" s="60">
        <v>16.8</v>
      </c>
      <c r="M235" s="61"/>
    </row>
    <row r="236" spans="1:76" ht="25" x14ac:dyDescent="0.35">
      <c r="A236" s="1" t="s">
        <v>478</v>
      </c>
      <c r="B236" s="2" t="s">
        <v>103</v>
      </c>
      <c r="C236" s="2" t="s">
        <v>479</v>
      </c>
      <c r="D236" s="155" t="s">
        <v>480</v>
      </c>
      <c r="E236" s="153"/>
      <c r="F236" s="2" t="s">
        <v>481</v>
      </c>
      <c r="G236" s="54">
        <f>'Stavební rozpočet'!G174</f>
        <v>48</v>
      </c>
      <c r="H236" s="94">
        <f>'Stavební rozpočet'!H174</f>
        <v>0</v>
      </c>
      <c r="I236" s="54">
        <f>G236*H236</f>
        <v>0</v>
      </c>
      <c r="J236" s="54">
        <f>'Stavební rozpočet'!J174</f>
        <v>0</v>
      </c>
      <c r="K236" s="54">
        <f>'Stavební rozpočet'!K174</f>
        <v>0</v>
      </c>
      <c r="L236" s="54">
        <f>G236*J236</f>
        <v>0</v>
      </c>
      <c r="M236" s="55" t="s">
        <v>10</v>
      </c>
      <c r="Z236" s="54">
        <f>IF(AQ236="5",BJ236,0)</f>
        <v>0</v>
      </c>
      <c r="AB236" s="54">
        <f>IF(AQ236="1",BH236,0)</f>
        <v>0</v>
      </c>
      <c r="AC236" s="54">
        <f>IF(AQ236="1",BI236,0)</f>
        <v>0</v>
      </c>
      <c r="AD236" s="54">
        <f>IF(AQ236="7",BH236,0)</f>
        <v>0</v>
      </c>
      <c r="AE236" s="54">
        <f>IF(AQ236="7",BI236,0)</f>
        <v>0</v>
      </c>
      <c r="AF236" s="54">
        <f>IF(AQ236="2",BH236,0)</f>
        <v>0</v>
      </c>
      <c r="AG236" s="54">
        <f>IF(AQ236="2",BI236,0)</f>
        <v>0</v>
      </c>
      <c r="AH236" s="54">
        <f>IF(AQ236="0",BJ236,0)</f>
        <v>0</v>
      </c>
      <c r="AI236" s="34" t="s">
        <v>103</v>
      </c>
      <c r="AJ236" s="54">
        <f>IF(AN236=0,I236,0)</f>
        <v>0</v>
      </c>
      <c r="AK236" s="54">
        <f>IF(AN236=12,I236,0)</f>
        <v>0</v>
      </c>
      <c r="AL236" s="54">
        <f>IF(AN236=21,I236,0)</f>
        <v>0</v>
      </c>
      <c r="AN236" s="54">
        <v>21</v>
      </c>
      <c r="AO236" s="54">
        <f>H236*0</f>
        <v>0</v>
      </c>
      <c r="AP236" s="54">
        <f>H236*(1-0)</f>
        <v>0</v>
      </c>
      <c r="AQ236" s="56" t="s">
        <v>168</v>
      </c>
      <c r="AV236" s="54">
        <f>AW236+AX236</f>
        <v>0</v>
      </c>
      <c r="AW236" s="54">
        <f>G236*AO236</f>
        <v>0</v>
      </c>
      <c r="AX236" s="54">
        <f>G236*AP236</f>
        <v>0</v>
      </c>
      <c r="AY236" s="56" t="s">
        <v>417</v>
      </c>
      <c r="AZ236" s="56" t="s">
        <v>418</v>
      </c>
      <c r="BA236" s="34" t="s">
        <v>114</v>
      </c>
      <c r="BC236" s="54">
        <f>AW236+AX236</f>
        <v>0</v>
      </c>
      <c r="BD236" s="54">
        <f>H236/(100-BE236)*100</f>
        <v>0</v>
      </c>
      <c r="BE236" s="54">
        <v>0</v>
      </c>
      <c r="BF236" s="54">
        <f>L236</f>
        <v>0</v>
      </c>
      <c r="BH236" s="54">
        <f>G236*AO236</f>
        <v>0</v>
      </c>
      <c r="BI236" s="54">
        <f>G236*AP236</f>
        <v>0</v>
      </c>
      <c r="BJ236" s="54">
        <f>G236*H236</f>
        <v>0</v>
      </c>
      <c r="BK236" s="54"/>
      <c r="BL236" s="54">
        <v>721</v>
      </c>
      <c r="BW236" s="54">
        <v>21</v>
      </c>
      <c r="BX236" s="3" t="s">
        <v>480</v>
      </c>
    </row>
    <row r="237" spans="1:76" ht="40.5" customHeight="1" x14ac:dyDescent="0.35">
      <c r="A237" s="57"/>
      <c r="C237" s="62" t="s">
        <v>122</v>
      </c>
      <c r="D237" s="214" t="s">
        <v>482</v>
      </c>
      <c r="E237" s="215"/>
      <c r="F237" s="215"/>
      <c r="G237" s="215"/>
      <c r="H237" s="215"/>
      <c r="I237" s="215"/>
      <c r="J237" s="215"/>
      <c r="K237" s="215"/>
      <c r="L237" s="215"/>
      <c r="M237" s="216"/>
    </row>
    <row r="238" spans="1:76" ht="14.5" x14ac:dyDescent="0.35">
      <c r="A238" s="57"/>
      <c r="D238" s="58" t="s">
        <v>483</v>
      </c>
      <c r="E238" s="59" t="s">
        <v>484</v>
      </c>
      <c r="G238" s="60">
        <v>48</v>
      </c>
      <c r="M238" s="61"/>
    </row>
    <row r="239" spans="1:76" ht="14.5" x14ac:dyDescent="0.35">
      <c r="A239" s="1" t="s">
        <v>485</v>
      </c>
      <c r="B239" s="2" t="s">
        <v>103</v>
      </c>
      <c r="C239" s="2" t="s">
        <v>486</v>
      </c>
      <c r="D239" s="155" t="s">
        <v>487</v>
      </c>
      <c r="E239" s="153"/>
      <c r="F239" s="2" t="s">
        <v>412</v>
      </c>
      <c r="G239" s="54">
        <f>'Stavební rozpočet'!G176</f>
        <v>9.6000000000000002E-2</v>
      </c>
      <c r="H239" s="94">
        <f>'Stavební rozpočet'!H176</f>
        <v>0</v>
      </c>
      <c r="I239" s="54">
        <f>G239*H239</f>
        <v>0</v>
      </c>
      <c r="J239" s="54">
        <f>'Stavební rozpočet'!J176</f>
        <v>0</v>
      </c>
      <c r="K239" s="54">
        <f>'Stavební rozpočet'!K176</f>
        <v>0</v>
      </c>
      <c r="L239" s="54">
        <f>G239*J239</f>
        <v>0</v>
      </c>
      <c r="M239" s="55" t="s">
        <v>111</v>
      </c>
      <c r="Z239" s="54">
        <f>IF(AQ239="5",BJ239,0)</f>
        <v>0</v>
      </c>
      <c r="AB239" s="54">
        <f>IF(AQ239="1",BH239,0)</f>
        <v>0</v>
      </c>
      <c r="AC239" s="54">
        <f>IF(AQ239="1",BI239,0)</f>
        <v>0</v>
      </c>
      <c r="AD239" s="54">
        <f>IF(AQ239="7",BH239,0)</f>
        <v>0</v>
      </c>
      <c r="AE239" s="54">
        <f>IF(AQ239="7",BI239,0)</f>
        <v>0</v>
      </c>
      <c r="AF239" s="54">
        <f>IF(AQ239="2",BH239,0)</f>
        <v>0</v>
      </c>
      <c r="AG239" s="54">
        <f>IF(AQ239="2",BI239,0)</f>
        <v>0</v>
      </c>
      <c r="AH239" s="54">
        <f>IF(AQ239="0",BJ239,0)</f>
        <v>0</v>
      </c>
      <c r="AI239" s="34" t="s">
        <v>103</v>
      </c>
      <c r="AJ239" s="54">
        <f>IF(AN239=0,I239,0)</f>
        <v>0</v>
      </c>
      <c r="AK239" s="54">
        <f>IF(AN239=12,I239,0)</f>
        <v>0</v>
      </c>
      <c r="AL239" s="54">
        <f>IF(AN239=21,I239,0)</f>
        <v>0</v>
      </c>
      <c r="AN239" s="54">
        <v>21</v>
      </c>
      <c r="AO239" s="54">
        <f>H239*0</f>
        <v>0</v>
      </c>
      <c r="AP239" s="54">
        <f>H239*(1-0)</f>
        <v>0</v>
      </c>
      <c r="AQ239" s="56" t="s">
        <v>150</v>
      </c>
      <c r="AV239" s="54">
        <f>AW239+AX239</f>
        <v>0</v>
      </c>
      <c r="AW239" s="54">
        <f>G239*AO239</f>
        <v>0</v>
      </c>
      <c r="AX239" s="54">
        <f>G239*AP239</f>
        <v>0</v>
      </c>
      <c r="AY239" s="56" t="s">
        <v>417</v>
      </c>
      <c r="AZ239" s="56" t="s">
        <v>418</v>
      </c>
      <c r="BA239" s="34" t="s">
        <v>114</v>
      </c>
      <c r="BC239" s="54">
        <f>AW239+AX239</f>
        <v>0</v>
      </c>
      <c r="BD239" s="54">
        <f>H239/(100-BE239)*100</f>
        <v>0</v>
      </c>
      <c r="BE239" s="54">
        <v>0</v>
      </c>
      <c r="BF239" s="54">
        <f>L239</f>
        <v>0</v>
      </c>
      <c r="BH239" s="54">
        <f>G239*AO239</f>
        <v>0</v>
      </c>
      <c r="BI239" s="54">
        <f>G239*AP239</f>
        <v>0</v>
      </c>
      <c r="BJ239" s="54">
        <f>G239*H239</f>
        <v>0</v>
      </c>
      <c r="BK239" s="54"/>
      <c r="BL239" s="54">
        <v>721</v>
      </c>
      <c r="BW239" s="54">
        <v>21</v>
      </c>
      <c r="BX239" s="3" t="s">
        <v>487</v>
      </c>
    </row>
    <row r="240" spans="1:76" ht="14.5" x14ac:dyDescent="0.35">
      <c r="A240" s="50" t="s">
        <v>10</v>
      </c>
      <c r="B240" s="51" t="s">
        <v>103</v>
      </c>
      <c r="C240" s="51" t="s">
        <v>488</v>
      </c>
      <c r="D240" s="206" t="s">
        <v>489</v>
      </c>
      <c r="E240" s="207"/>
      <c r="F240" s="52" t="s">
        <v>84</v>
      </c>
      <c r="G240" s="52" t="s">
        <v>84</v>
      </c>
      <c r="H240" s="52" t="s">
        <v>84</v>
      </c>
      <c r="I240" s="27">
        <f>SUM(I241:I346)</f>
        <v>0</v>
      </c>
      <c r="J240" s="34" t="s">
        <v>10</v>
      </c>
      <c r="K240" s="34" t="s">
        <v>10</v>
      </c>
      <c r="L240" s="27">
        <f>SUM(L241:L346)</f>
        <v>0.21678</v>
      </c>
      <c r="M240" s="53" t="s">
        <v>10</v>
      </c>
      <c r="AI240" s="34" t="s">
        <v>103</v>
      </c>
      <c r="AS240" s="27">
        <f>SUM(AJ241:AJ346)</f>
        <v>0</v>
      </c>
      <c r="AT240" s="27">
        <f>SUM(AK241:AK346)</f>
        <v>0</v>
      </c>
      <c r="AU240" s="27">
        <f>SUM(AL241:AL346)</f>
        <v>0</v>
      </c>
    </row>
    <row r="241" spans="1:76" ht="14.5" x14ac:dyDescent="0.35">
      <c r="A241" s="1" t="s">
        <v>490</v>
      </c>
      <c r="B241" s="2" t="s">
        <v>103</v>
      </c>
      <c r="C241" s="2" t="s">
        <v>491</v>
      </c>
      <c r="D241" s="155" t="s">
        <v>492</v>
      </c>
      <c r="E241" s="153"/>
      <c r="F241" s="2" t="s">
        <v>153</v>
      </c>
      <c r="G241" s="54">
        <f>'Stavební rozpočet'!G178</f>
        <v>182.4</v>
      </c>
      <c r="H241" s="94">
        <f>'Stavební rozpočet'!H178</f>
        <v>0</v>
      </c>
      <c r="I241" s="54">
        <f>G241*H241</f>
        <v>0</v>
      </c>
      <c r="J241" s="54">
        <f>'Stavební rozpočet'!J178</f>
        <v>3.6999999999999999E-4</v>
      </c>
      <c r="K241" s="54">
        <f>'Stavební rozpočet'!K178</f>
        <v>0</v>
      </c>
      <c r="L241" s="54">
        <f>G241*J241</f>
        <v>6.7488000000000006E-2</v>
      </c>
      <c r="M241" s="55" t="s">
        <v>111</v>
      </c>
      <c r="Z241" s="54">
        <f>IF(AQ241="5",BJ241,0)</f>
        <v>0</v>
      </c>
      <c r="AB241" s="54">
        <f>IF(AQ241="1",BH241,0)</f>
        <v>0</v>
      </c>
      <c r="AC241" s="54">
        <f>IF(AQ241="1",BI241,0)</f>
        <v>0</v>
      </c>
      <c r="AD241" s="54">
        <f>IF(AQ241="7",BH241,0)</f>
        <v>0</v>
      </c>
      <c r="AE241" s="54">
        <f>IF(AQ241="7",BI241,0)</f>
        <v>0</v>
      </c>
      <c r="AF241" s="54">
        <f>IF(AQ241="2",BH241,0)</f>
        <v>0</v>
      </c>
      <c r="AG241" s="54">
        <f>IF(AQ241="2",BI241,0)</f>
        <v>0</v>
      </c>
      <c r="AH241" s="54">
        <f>IF(AQ241="0",BJ241,0)</f>
        <v>0</v>
      </c>
      <c r="AI241" s="34" t="s">
        <v>103</v>
      </c>
      <c r="AJ241" s="54">
        <f>IF(AN241=0,I241,0)</f>
        <v>0</v>
      </c>
      <c r="AK241" s="54">
        <f>IF(AN241=12,I241,0)</f>
        <v>0</v>
      </c>
      <c r="AL241" s="54">
        <f>IF(AN241=21,I241,0)</f>
        <v>0</v>
      </c>
      <c r="AN241" s="54">
        <v>21</v>
      </c>
      <c r="AO241" s="54">
        <f>H241*0.379660629</f>
        <v>0</v>
      </c>
      <c r="AP241" s="54">
        <f>H241*(1-0.379660629)</f>
        <v>0</v>
      </c>
      <c r="AQ241" s="56" t="s">
        <v>168</v>
      </c>
      <c r="AV241" s="54">
        <f>AW241+AX241</f>
        <v>0</v>
      </c>
      <c r="AW241" s="54">
        <f>G241*AO241</f>
        <v>0</v>
      </c>
      <c r="AX241" s="54">
        <f>G241*AP241</f>
        <v>0</v>
      </c>
      <c r="AY241" s="56" t="s">
        <v>493</v>
      </c>
      <c r="AZ241" s="56" t="s">
        <v>418</v>
      </c>
      <c r="BA241" s="34" t="s">
        <v>114</v>
      </c>
      <c r="BC241" s="54">
        <f>AW241+AX241</f>
        <v>0</v>
      </c>
      <c r="BD241" s="54">
        <f>H241/(100-BE241)*100</f>
        <v>0</v>
      </c>
      <c r="BE241" s="54">
        <v>0</v>
      </c>
      <c r="BF241" s="54">
        <f>L241</f>
        <v>6.7488000000000006E-2</v>
      </c>
      <c r="BH241" s="54">
        <f>G241*AO241</f>
        <v>0</v>
      </c>
      <c r="BI241" s="54">
        <f>G241*AP241</f>
        <v>0</v>
      </c>
      <c r="BJ241" s="54">
        <f>G241*H241</f>
        <v>0</v>
      </c>
      <c r="BK241" s="54"/>
      <c r="BL241" s="54">
        <v>722</v>
      </c>
      <c r="BW241" s="54">
        <v>21</v>
      </c>
      <c r="BX241" s="3" t="s">
        <v>492</v>
      </c>
    </row>
    <row r="242" spans="1:76" ht="14.5" x14ac:dyDescent="0.35">
      <c r="A242" s="57"/>
      <c r="D242" s="58" t="s">
        <v>208</v>
      </c>
      <c r="E242" s="59" t="s">
        <v>473</v>
      </c>
      <c r="G242" s="60">
        <v>0</v>
      </c>
      <c r="M242" s="61"/>
    </row>
    <row r="243" spans="1:76" ht="14.5" x14ac:dyDescent="0.35">
      <c r="A243" s="57"/>
      <c r="D243" s="58" t="s">
        <v>494</v>
      </c>
      <c r="E243" s="59" t="s">
        <v>495</v>
      </c>
      <c r="G243" s="60">
        <v>100.8</v>
      </c>
      <c r="M243" s="61"/>
    </row>
    <row r="244" spans="1:76" ht="14.5" x14ac:dyDescent="0.35">
      <c r="A244" s="57"/>
      <c r="D244" s="58" t="s">
        <v>496</v>
      </c>
      <c r="E244" s="59" t="s">
        <v>497</v>
      </c>
      <c r="G244" s="60">
        <v>81.599999999999994</v>
      </c>
      <c r="M244" s="61"/>
    </row>
    <row r="245" spans="1:76" ht="14.5" x14ac:dyDescent="0.35">
      <c r="A245" s="1" t="s">
        <v>498</v>
      </c>
      <c r="B245" s="2" t="s">
        <v>103</v>
      </c>
      <c r="C245" s="2" t="s">
        <v>499</v>
      </c>
      <c r="D245" s="155" t="s">
        <v>500</v>
      </c>
      <c r="E245" s="153"/>
      <c r="F245" s="2" t="s">
        <v>153</v>
      </c>
      <c r="G245" s="54">
        <f>'Stavební rozpočet'!G182</f>
        <v>64.8</v>
      </c>
      <c r="H245" s="94">
        <f>'Stavební rozpočet'!H182</f>
        <v>0</v>
      </c>
      <c r="I245" s="54">
        <f>G245*H245</f>
        <v>0</v>
      </c>
      <c r="J245" s="54">
        <f>'Stavební rozpočet'!J182</f>
        <v>4.0000000000000002E-4</v>
      </c>
      <c r="K245" s="54">
        <f>'Stavební rozpočet'!K182</f>
        <v>0</v>
      </c>
      <c r="L245" s="54">
        <f>G245*J245</f>
        <v>2.5919999999999999E-2</v>
      </c>
      <c r="M245" s="55" t="s">
        <v>111</v>
      </c>
      <c r="Z245" s="54">
        <f>IF(AQ245="5",BJ245,0)</f>
        <v>0</v>
      </c>
      <c r="AB245" s="54">
        <f>IF(AQ245="1",BH245,0)</f>
        <v>0</v>
      </c>
      <c r="AC245" s="54">
        <f>IF(AQ245="1",BI245,0)</f>
        <v>0</v>
      </c>
      <c r="AD245" s="54">
        <f>IF(AQ245="7",BH245,0)</f>
        <v>0</v>
      </c>
      <c r="AE245" s="54">
        <f>IF(AQ245="7",BI245,0)</f>
        <v>0</v>
      </c>
      <c r="AF245" s="54">
        <f>IF(AQ245="2",BH245,0)</f>
        <v>0</v>
      </c>
      <c r="AG245" s="54">
        <f>IF(AQ245="2",BI245,0)</f>
        <v>0</v>
      </c>
      <c r="AH245" s="54">
        <f>IF(AQ245="0",BJ245,0)</f>
        <v>0</v>
      </c>
      <c r="AI245" s="34" t="s">
        <v>103</v>
      </c>
      <c r="AJ245" s="54">
        <f>IF(AN245=0,I245,0)</f>
        <v>0</v>
      </c>
      <c r="AK245" s="54">
        <f>IF(AN245=12,I245,0)</f>
        <v>0</v>
      </c>
      <c r="AL245" s="54">
        <f>IF(AN245=21,I245,0)</f>
        <v>0</v>
      </c>
      <c r="AN245" s="54">
        <v>21</v>
      </c>
      <c r="AO245" s="54">
        <f>H245*0.380752885</f>
        <v>0</v>
      </c>
      <c r="AP245" s="54">
        <f>H245*(1-0.380752885)</f>
        <v>0</v>
      </c>
      <c r="AQ245" s="56" t="s">
        <v>168</v>
      </c>
      <c r="AV245" s="54">
        <f>AW245+AX245</f>
        <v>0</v>
      </c>
      <c r="AW245" s="54">
        <f>G245*AO245</f>
        <v>0</v>
      </c>
      <c r="AX245" s="54">
        <f>G245*AP245</f>
        <v>0</v>
      </c>
      <c r="AY245" s="56" t="s">
        <v>493</v>
      </c>
      <c r="AZ245" s="56" t="s">
        <v>418</v>
      </c>
      <c r="BA245" s="34" t="s">
        <v>114</v>
      </c>
      <c r="BC245" s="54">
        <f>AW245+AX245</f>
        <v>0</v>
      </c>
      <c r="BD245" s="54">
        <f>H245/(100-BE245)*100</f>
        <v>0</v>
      </c>
      <c r="BE245" s="54">
        <v>0</v>
      </c>
      <c r="BF245" s="54">
        <f>L245</f>
        <v>2.5919999999999999E-2</v>
      </c>
      <c r="BH245" s="54">
        <f>G245*AO245</f>
        <v>0</v>
      </c>
      <c r="BI245" s="54">
        <f>G245*AP245</f>
        <v>0</v>
      </c>
      <c r="BJ245" s="54">
        <f>G245*H245</f>
        <v>0</v>
      </c>
      <c r="BK245" s="54"/>
      <c r="BL245" s="54">
        <v>722</v>
      </c>
      <c r="BW245" s="54">
        <v>21</v>
      </c>
      <c r="BX245" s="3" t="s">
        <v>500</v>
      </c>
    </row>
    <row r="246" spans="1:76" ht="14.5" x14ac:dyDescent="0.35">
      <c r="A246" s="57"/>
      <c r="D246" s="58" t="s">
        <v>208</v>
      </c>
      <c r="E246" s="59" t="s">
        <v>473</v>
      </c>
      <c r="G246" s="60">
        <v>0</v>
      </c>
      <c r="M246" s="61"/>
    </row>
    <row r="247" spans="1:76" ht="14.5" x14ac:dyDescent="0.35">
      <c r="A247" s="57"/>
      <c r="D247" s="58" t="s">
        <v>501</v>
      </c>
      <c r="E247" s="59" t="s">
        <v>502</v>
      </c>
      <c r="G247" s="60">
        <v>33.6</v>
      </c>
      <c r="M247" s="61"/>
    </row>
    <row r="248" spans="1:76" ht="14.5" x14ac:dyDescent="0.35">
      <c r="A248" s="57"/>
      <c r="D248" s="58" t="s">
        <v>503</v>
      </c>
      <c r="E248" s="59" t="s">
        <v>504</v>
      </c>
      <c r="G248" s="60">
        <v>31.2</v>
      </c>
      <c r="M248" s="61"/>
    </row>
    <row r="249" spans="1:76" ht="14.5" x14ac:dyDescent="0.35">
      <c r="A249" s="1" t="s">
        <v>505</v>
      </c>
      <c r="B249" s="2" t="s">
        <v>103</v>
      </c>
      <c r="C249" s="2" t="s">
        <v>506</v>
      </c>
      <c r="D249" s="155" t="s">
        <v>507</v>
      </c>
      <c r="E249" s="153"/>
      <c r="F249" s="2" t="s">
        <v>196</v>
      </c>
      <c r="G249" s="54">
        <f>'Stavební rozpočet'!G186</f>
        <v>240</v>
      </c>
      <c r="H249" s="94">
        <f>'Stavební rozpočet'!H186</f>
        <v>0</v>
      </c>
      <c r="I249" s="54">
        <f>G249*H249</f>
        <v>0</v>
      </c>
      <c r="J249" s="54">
        <f>'Stavební rozpočet'!J186</f>
        <v>8.0000000000000007E-5</v>
      </c>
      <c r="K249" s="54">
        <f>'Stavební rozpočet'!K186</f>
        <v>0</v>
      </c>
      <c r="L249" s="54">
        <f>G249*J249</f>
        <v>1.9200000000000002E-2</v>
      </c>
      <c r="M249" s="55" t="s">
        <v>111</v>
      </c>
      <c r="Z249" s="54">
        <f>IF(AQ249="5",BJ249,0)</f>
        <v>0</v>
      </c>
      <c r="AB249" s="54">
        <f>IF(AQ249="1",BH249,0)</f>
        <v>0</v>
      </c>
      <c r="AC249" s="54">
        <f>IF(AQ249="1",BI249,0)</f>
        <v>0</v>
      </c>
      <c r="AD249" s="54">
        <f>IF(AQ249="7",BH249,0)</f>
        <v>0</v>
      </c>
      <c r="AE249" s="54">
        <f>IF(AQ249="7",BI249,0)</f>
        <v>0</v>
      </c>
      <c r="AF249" s="54">
        <f>IF(AQ249="2",BH249,0)</f>
        <v>0</v>
      </c>
      <c r="AG249" s="54">
        <f>IF(AQ249="2",BI249,0)</f>
        <v>0</v>
      </c>
      <c r="AH249" s="54">
        <f>IF(AQ249="0",BJ249,0)</f>
        <v>0</v>
      </c>
      <c r="AI249" s="34" t="s">
        <v>103</v>
      </c>
      <c r="AJ249" s="54">
        <f>IF(AN249=0,I249,0)</f>
        <v>0</v>
      </c>
      <c r="AK249" s="54">
        <f>IF(AN249=12,I249,0)</f>
        <v>0</v>
      </c>
      <c r="AL249" s="54">
        <f>IF(AN249=21,I249,0)</f>
        <v>0</v>
      </c>
      <c r="AN249" s="54">
        <v>21</v>
      </c>
      <c r="AO249" s="54">
        <f>H249*0.021266968</f>
        <v>0</v>
      </c>
      <c r="AP249" s="54">
        <f>H249*(1-0.021266968)</f>
        <v>0</v>
      </c>
      <c r="AQ249" s="56" t="s">
        <v>168</v>
      </c>
      <c r="AV249" s="54">
        <f>AW249+AX249</f>
        <v>0</v>
      </c>
      <c r="AW249" s="54">
        <f>G249*AO249</f>
        <v>0</v>
      </c>
      <c r="AX249" s="54">
        <f>G249*AP249</f>
        <v>0</v>
      </c>
      <c r="AY249" s="56" t="s">
        <v>493</v>
      </c>
      <c r="AZ249" s="56" t="s">
        <v>418</v>
      </c>
      <c r="BA249" s="34" t="s">
        <v>114</v>
      </c>
      <c r="BC249" s="54">
        <f>AW249+AX249</f>
        <v>0</v>
      </c>
      <c r="BD249" s="54">
        <f>H249/(100-BE249)*100</f>
        <v>0</v>
      </c>
      <c r="BE249" s="54">
        <v>0</v>
      </c>
      <c r="BF249" s="54">
        <f>L249</f>
        <v>1.9200000000000002E-2</v>
      </c>
      <c r="BH249" s="54">
        <f>G249*AO249</f>
        <v>0</v>
      </c>
      <c r="BI249" s="54">
        <f>G249*AP249</f>
        <v>0</v>
      </c>
      <c r="BJ249" s="54">
        <f>G249*H249</f>
        <v>0</v>
      </c>
      <c r="BK249" s="54"/>
      <c r="BL249" s="54">
        <v>722</v>
      </c>
      <c r="BW249" s="54">
        <v>21</v>
      </c>
      <c r="BX249" s="3" t="s">
        <v>507</v>
      </c>
    </row>
    <row r="250" spans="1:76" ht="14.5" x14ac:dyDescent="0.35">
      <c r="A250" s="57"/>
      <c r="D250" s="58" t="s">
        <v>208</v>
      </c>
      <c r="E250" s="59" t="s">
        <v>508</v>
      </c>
      <c r="G250" s="60">
        <v>0</v>
      </c>
      <c r="M250" s="61"/>
    </row>
    <row r="251" spans="1:76" ht="26" x14ac:dyDescent="0.35">
      <c r="A251" s="57"/>
      <c r="C251" s="62" t="s">
        <v>156</v>
      </c>
      <c r="D251" s="211" t="s">
        <v>509</v>
      </c>
      <c r="E251" s="212"/>
      <c r="F251" s="212"/>
      <c r="G251" s="212"/>
      <c r="H251" s="212"/>
      <c r="I251" s="212"/>
      <c r="J251" s="212"/>
      <c r="K251" s="212"/>
      <c r="L251" s="212"/>
      <c r="M251" s="213"/>
      <c r="BX251" s="63" t="s">
        <v>509</v>
      </c>
    </row>
    <row r="252" spans="1:76" ht="14.5" x14ac:dyDescent="0.35">
      <c r="A252" s="57"/>
      <c r="D252" s="58" t="s">
        <v>510</v>
      </c>
      <c r="E252" s="59" t="s">
        <v>511</v>
      </c>
      <c r="G252" s="60">
        <v>240</v>
      </c>
      <c r="M252" s="61"/>
    </row>
    <row r="253" spans="1:76" ht="26" x14ac:dyDescent="0.35">
      <c r="A253" s="57"/>
      <c r="C253" s="62" t="s">
        <v>156</v>
      </c>
      <c r="D253" s="211" t="s">
        <v>509</v>
      </c>
      <c r="E253" s="212"/>
      <c r="F253" s="212"/>
      <c r="G253" s="212"/>
      <c r="H253" s="212"/>
      <c r="I253" s="212"/>
      <c r="J253" s="212"/>
      <c r="K253" s="212"/>
      <c r="L253" s="212"/>
      <c r="M253" s="213"/>
      <c r="BX253" s="63" t="s">
        <v>509</v>
      </c>
    </row>
    <row r="254" spans="1:76" ht="14.5" x14ac:dyDescent="0.35">
      <c r="A254" s="64" t="s">
        <v>512</v>
      </c>
      <c r="B254" s="65" t="s">
        <v>103</v>
      </c>
      <c r="C254" s="65" t="s">
        <v>513</v>
      </c>
      <c r="D254" s="217" t="s">
        <v>514</v>
      </c>
      <c r="E254" s="218"/>
      <c r="F254" s="65" t="s">
        <v>196</v>
      </c>
      <c r="G254" s="67">
        <f>'Stavební rozpočet'!G189</f>
        <v>240</v>
      </c>
      <c r="H254" s="95">
        <f>'Stavební rozpočet'!H189</f>
        <v>0</v>
      </c>
      <c r="I254" s="67">
        <f>G254*H254</f>
        <v>0</v>
      </c>
      <c r="J254" s="67">
        <f>'Stavební rozpočet'!J189</f>
        <v>1.0000000000000001E-5</v>
      </c>
      <c r="K254" s="67">
        <f>'Stavební rozpočet'!K189</f>
        <v>0</v>
      </c>
      <c r="L254" s="67">
        <f>G254*J254</f>
        <v>2.4000000000000002E-3</v>
      </c>
      <c r="M254" s="68" t="s">
        <v>111</v>
      </c>
      <c r="Z254" s="54">
        <f>IF(AQ254="5",BJ254,0)</f>
        <v>0</v>
      </c>
      <c r="AB254" s="54">
        <f>IF(AQ254="1",BH254,0)</f>
        <v>0</v>
      </c>
      <c r="AC254" s="54">
        <f>IF(AQ254="1",BI254,0)</f>
        <v>0</v>
      </c>
      <c r="AD254" s="54">
        <f>IF(AQ254="7",BH254,0)</f>
        <v>0</v>
      </c>
      <c r="AE254" s="54">
        <f>IF(AQ254="7",BI254,0)</f>
        <v>0</v>
      </c>
      <c r="AF254" s="54">
        <f>IF(AQ254="2",BH254,0)</f>
        <v>0</v>
      </c>
      <c r="AG254" s="54">
        <f>IF(AQ254="2",BI254,0)</f>
        <v>0</v>
      </c>
      <c r="AH254" s="54">
        <f>IF(AQ254="0",BJ254,0)</f>
        <v>0</v>
      </c>
      <c r="AI254" s="34" t="s">
        <v>103</v>
      </c>
      <c r="AJ254" s="67">
        <f>IF(AN254=0,I254,0)</f>
        <v>0</v>
      </c>
      <c r="AK254" s="67">
        <f>IF(AN254=12,I254,0)</f>
        <v>0</v>
      </c>
      <c r="AL254" s="67">
        <f>IF(AN254=21,I254,0)</f>
        <v>0</v>
      </c>
      <c r="AN254" s="54">
        <v>21</v>
      </c>
      <c r="AO254" s="54">
        <f>H254*1</f>
        <v>0</v>
      </c>
      <c r="AP254" s="54">
        <f>H254*(1-1)</f>
        <v>0</v>
      </c>
      <c r="AQ254" s="69" t="s">
        <v>168</v>
      </c>
      <c r="AV254" s="54">
        <f>AW254+AX254</f>
        <v>0</v>
      </c>
      <c r="AW254" s="54">
        <f>G254*AO254</f>
        <v>0</v>
      </c>
      <c r="AX254" s="54">
        <f>G254*AP254</f>
        <v>0</v>
      </c>
      <c r="AY254" s="56" t="s">
        <v>493</v>
      </c>
      <c r="AZ254" s="56" t="s">
        <v>418</v>
      </c>
      <c r="BA254" s="34" t="s">
        <v>114</v>
      </c>
      <c r="BC254" s="54">
        <f>AW254+AX254</f>
        <v>0</v>
      </c>
      <c r="BD254" s="54">
        <f>H254/(100-BE254)*100</f>
        <v>0</v>
      </c>
      <c r="BE254" s="54">
        <v>0</v>
      </c>
      <c r="BF254" s="54">
        <f>L254</f>
        <v>2.4000000000000002E-3</v>
      </c>
      <c r="BH254" s="67">
        <f>G254*AO254</f>
        <v>0</v>
      </c>
      <c r="BI254" s="67">
        <f>G254*AP254</f>
        <v>0</v>
      </c>
      <c r="BJ254" s="67">
        <f>G254*H254</f>
        <v>0</v>
      </c>
      <c r="BK254" s="67"/>
      <c r="BL254" s="54">
        <v>722</v>
      </c>
      <c r="BW254" s="54">
        <v>21</v>
      </c>
      <c r="BX254" s="66" t="s">
        <v>514</v>
      </c>
    </row>
    <row r="255" spans="1:76" ht="14.5" x14ac:dyDescent="0.35">
      <c r="A255" s="57"/>
      <c r="D255" s="58" t="s">
        <v>208</v>
      </c>
      <c r="E255" s="59" t="s">
        <v>508</v>
      </c>
      <c r="G255" s="60">
        <v>0</v>
      </c>
      <c r="M255" s="61"/>
    </row>
    <row r="256" spans="1:76" ht="14.5" x14ac:dyDescent="0.35">
      <c r="A256" s="57"/>
      <c r="D256" s="58" t="s">
        <v>510</v>
      </c>
      <c r="E256" s="59" t="s">
        <v>515</v>
      </c>
      <c r="G256" s="60">
        <v>240</v>
      </c>
      <c r="M256" s="61"/>
    </row>
    <row r="257" spans="1:76" ht="65" x14ac:dyDescent="0.35">
      <c r="A257" s="57"/>
      <c r="C257" s="62" t="s">
        <v>156</v>
      </c>
      <c r="D257" s="211" t="s">
        <v>516</v>
      </c>
      <c r="E257" s="212"/>
      <c r="F257" s="212"/>
      <c r="G257" s="212"/>
      <c r="H257" s="212"/>
      <c r="I257" s="212"/>
      <c r="J257" s="212"/>
      <c r="K257" s="212"/>
      <c r="L257" s="212"/>
      <c r="M257" s="213"/>
      <c r="BX257" s="70" t="s">
        <v>516</v>
      </c>
    </row>
    <row r="258" spans="1:76" ht="14.5" x14ac:dyDescent="0.35">
      <c r="A258" s="64" t="s">
        <v>517</v>
      </c>
      <c r="B258" s="65" t="s">
        <v>103</v>
      </c>
      <c r="C258" s="65" t="s">
        <v>518</v>
      </c>
      <c r="D258" s="217" t="s">
        <v>519</v>
      </c>
      <c r="E258" s="218"/>
      <c r="F258" s="65" t="s">
        <v>196</v>
      </c>
      <c r="G258" s="67">
        <f>'Stavební rozpočet'!G192</f>
        <v>96</v>
      </c>
      <c r="H258" s="95">
        <f>'Stavební rozpočet'!H192</f>
        <v>0</v>
      </c>
      <c r="I258" s="67">
        <f>G258*H258</f>
        <v>0</v>
      </c>
      <c r="J258" s="67">
        <f>'Stavební rozpočet'!J192</f>
        <v>6.9999999999999994E-5</v>
      </c>
      <c r="K258" s="67">
        <f>'Stavební rozpočet'!K192</f>
        <v>0</v>
      </c>
      <c r="L258" s="67">
        <f>G258*J258</f>
        <v>6.7199999999999994E-3</v>
      </c>
      <c r="M258" s="68" t="s">
        <v>111</v>
      </c>
      <c r="Z258" s="54">
        <f>IF(AQ258="5",BJ258,0)</f>
        <v>0</v>
      </c>
      <c r="AB258" s="54">
        <f>IF(AQ258="1",BH258,0)</f>
        <v>0</v>
      </c>
      <c r="AC258" s="54">
        <f>IF(AQ258="1",BI258,0)</f>
        <v>0</v>
      </c>
      <c r="AD258" s="54">
        <f>IF(AQ258="7",BH258,0)</f>
        <v>0</v>
      </c>
      <c r="AE258" s="54">
        <f>IF(AQ258="7",BI258,0)</f>
        <v>0</v>
      </c>
      <c r="AF258" s="54">
        <f>IF(AQ258="2",BH258,0)</f>
        <v>0</v>
      </c>
      <c r="AG258" s="54">
        <f>IF(AQ258="2",BI258,0)</f>
        <v>0</v>
      </c>
      <c r="AH258" s="54">
        <f>IF(AQ258="0",BJ258,0)</f>
        <v>0</v>
      </c>
      <c r="AI258" s="34" t="s">
        <v>103</v>
      </c>
      <c r="AJ258" s="67">
        <f>IF(AN258=0,I258,0)</f>
        <v>0</v>
      </c>
      <c r="AK258" s="67">
        <f>IF(AN258=12,I258,0)</f>
        <v>0</v>
      </c>
      <c r="AL258" s="67">
        <f>IF(AN258=21,I258,0)</f>
        <v>0</v>
      </c>
      <c r="AN258" s="54">
        <v>21</v>
      </c>
      <c r="AO258" s="54">
        <f>H258*1</f>
        <v>0</v>
      </c>
      <c r="AP258" s="54">
        <f>H258*(1-1)</f>
        <v>0</v>
      </c>
      <c r="AQ258" s="69" t="s">
        <v>168</v>
      </c>
      <c r="AV258" s="54">
        <f>AW258+AX258</f>
        <v>0</v>
      </c>
      <c r="AW258" s="54">
        <f>G258*AO258</f>
        <v>0</v>
      </c>
      <c r="AX258" s="54">
        <f>G258*AP258</f>
        <v>0</v>
      </c>
      <c r="AY258" s="56" t="s">
        <v>493</v>
      </c>
      <c r="AZ258" s="56" t="s">
        <v>418</v>
      </c>
      <c r="BA258" s="34" t="s">
        <v>114</v>
      </c>
      <c r="BC258" s="54">
        <f>AW258+AX258</f>
        <v>0</v>
      </c>
      <c r="BD258" s="54">
        <f>H258/(100-BE258)*100</f>
        <v>0</v>
      </c>
      <c r="BE258" s="54">
        <v>0</v>
      </c>
      <c r="BF258" s="54">
        <f>L258</f>
        <v>6.7199999999999994E-3</v>
      </c>
      <c r="BH258" s="67">
        <f>G258*AO258</f>
        <v>0</v>
      </c>
      <c r="BI258" s="67">
        <f>G258*AP258</f>
        <v>0</v>
      </c>
      <c r="BJ258" s="67">
        <f>G258*H258</f>
        <v>0</v>
      </c>
      <c r="BK258" s="67"/>
      <c r="BL258" s="54">
        <v>722</v>
      </c>
      <c r="BW258" s="54">
        <v>21</v>
      </c>
      <c r="BX258" s="66" t="s">
        <v>519</v>
      </c>
    </row>
    <row r="259" spans="1:76" ht="14.5" x14ac:dyDescent="0.35">
      <c r="A259" s="57"/>
      <c r="D259" s="58" t="s">
        <v>208</v>
      </c>
      <c r="E259" s="59" t="s">
        <v>520</v>
      </c>
      <c r="G259" s="60">
        <v>0</v>
      </c>
      <c r="M259" s="61"/>
    </row>
    <row r="260" spans="1:76" ht="14.5" x14ac:dyDescent="0.35">
      <c r="A260" s="57"/>
      <c r="D260" s="58" t="s">
        <v>521</v>
      </c>
      <c r="E260" s="59" t="s">
        <v>522</v>
      </c>
      <c r="G260" s="60">
        <v>96</v>
      </c>
      <c r="M260" s="61"/>
    </row>
    <row r="261" spans="1:76" ht="65" x14ac:dyDescent="0.35">
      <c r="A261" s="57"/>
      <c r="C261" s="62" t="s">
        <v>156</v>
      </c>
      <c r="D261" s="211" t="s">
        <v>516</v>
      </c>
      <c r="E261" s="212"/>
      <c r="F261" s="212"/>
      <c r="G261" s="212"/>
      <c r="H261" s="212"/>
      <c r="I261" s="212"/>
      <c r="J261" s="212"/>
      <c r="K261" s="212"/>
      <c r="L261" s="212"/>
      <c r="M261" s="213"/>
      <c r="BX261" s="70" t="s">
        <v>516</v>
      </c>
    </row>
    <row r="262" spans="1:76" ht="14.5" x14ac:dyDescent="0.35">
      <c r="A262" s="1" t="s">
        <v>523</v>
      </c>
      <c r="B262" s="2" t="s">
        <v>103</v>
      </c>
      <c r="C262" s="2" t="s">
        <v>524</v>
      </c>
      <c r="D262" s="155" t="s">
        <v>525</v>
      </c>
      <c r="E262" s="153"/>
      <c r="F262" s="2" t="s">
        <v>196</v>
      </c>
      <c r="G262" s="54">
        <f>'Stavební rozpočet'!G195</f>
        <v>312</v>
      </c>
      <c r="H262" s="94">
        <f>'Stavební rozpočet'!H195</f>
        <v>0</v>
      </c>
      <c r="I262" s="54">
        <f>G262*H262</f>
        <v>0</v>
      </c>
      <c r="J262" s="54">
        <f>'Stavební rozpočet'!J195</f>
        <v>8.0000000000000007E-5</v>
      </c>
      <c r="K262" s="54">
        <f>'Stavební rozpočet'!K195</f>
        <v>0</v>
      </c>
      <c r="L262" s="54">
        <f>G262*J262</f>
        <v>2.4960000000000003E-2</v>
      </c>
      <c r="M262" s="55" t="s">
        <v>111</v>
      </c>
      <c r="Z262" s="54">
        <f>IF(AQ262="5",BJ262,0)</f>
        <v>0</v>
      </c>
      <c r="AB262" s="54">
        <f>IF(AQ262="1",BH262,0)</f>
        <v>0</v>
      </c>
      <c r="AC262" s="54">
        <f>IF(AQ262="1",BI262,0)</f>
        <v>0</v>
      </c>
      <c r="AD262" s="54">
        <f>IF(AQ262="7",BH262,0)</f>
        <v>0</v>
      </c>
      <c r="AE262" s="54">
        <f>IF(AQ262="7",BI262,0)</f>
        <v>0</v>
      </c>
      <c r="AF262" s="54">
        <f>IF(AQ262="2",BH262,0)</f>
        <v>0</v>
      </c>
      <c r="AG262" s="54">
        <f>IF(AQ262="2",BI262,0)</f>
        <v>0</v>
      </c>
      <c r="AH262" s="54">
        <f>IF(AQ262="0",BJ262,0)</f>
        <v>0</v>
      </c>
      <c r="AI262" s="34" t="s">
        <v>103</v>
      </c>
      <c r="AJ262" s="54">
        <f>IF(AN262=0,I262,0)</f>
        <v>0</v>
      </c>
      <c r="AK262" s="54">
        <f>IF(AN262=12,I262,0)</f>
        <v>0</v>
      </c>
      <c r="AL262" s="54">
        <f>IF(AN262=21,I262,0)</f>
        <v>0</v>
      </c>
      <c r="AN262" s="54">
        <v>21</v>
      </c>
      <c r="AO262" s="54">
        <f>H262*0.019105691</f>
        <v>0</v>
      </c>
      <c r="AP262" s="54">
        <f>H262*(1-0.019105691)</f>
        <v>0</v>
      </c>
      <c r="AQ262" s="56" t="s">
        <v>168</v>
      </c>
      <c r="AV262" s="54">
        <f>AW262+AX262</f>
        <v>0</v>
      </c>
      <c r="AW262" s="54">
        <f>G262*AO262</f>
        <v>0</v>
      </c>
      <c r="AX262" s="54">
        <f>G262*AP262</f>
        <v>0</v>
      </c>
      <c r="AY262" s="56" t="s">
        <v>493</v>
      </c>
      <c r="AZ262" s="56" t="s">
        <v>418</v>
      </c>
      <c r="BA262" s="34" t="s">
        <v>114</v>
      </c>
      <c r="BC262" s="54">
        <f>AW262+AX262</f>
        <v>0</v>
      </c>
      <c r="BD262" s="54">
        <f>H262/(100-BE262)*100</f>
        <v>0</v>
      </c>
      <c r="BE262" s="54">
        <v>0</v>
      </c>
      <c r="BF262" s="54">
        <f>L262</f>
        <v>2.4960000000000003E-2</v>
      </c>
      <c r="BH262" s="54">
        <f>G262*AO262</f>
        <v>0</v>
      </c>
      <c r="BI262" s="54">
        <f>G262*AP262</f>
        <v>0</v>
      </c>
      <c r="BJ262" s="54">
        <f>G262*H262</f>
        <v>0</v>
      </c>
      <c r="BK262" s="54"/>
      <c r="BL262" s="54">
        <v>722</v>
      </c>
      <c r="BW262" s="54">
        <v>21</v>
      </c>
      <c r="BX262" s="3" t="s">
        <v>525</v>
      </c>
    </row>
    <row r="263" spans="1:76" ht="14.5" x14ac:dyDescent="0.35">
      <c r="A263" s="57"/>
      <c r="D263" s="58" t="s">
        <v>208</v>
      </c>
      <c r="E263" s="59" t="s">
        <v>508</v>
      </c>
      <c r="G263" s="60">
        <v>0</v>
      </c>
      <c r="M263" s="61"/>
    </row>
    <row r="264" spans="1:76" ht="14.5" x14ac:dyDescent="0.35">
      <c r="A264" s="57"/>
      <c r="D264" s="58" t="s">
        <v>430</v>
      </c>
      <c r="E264" s="59" t="s">
        <v>526</v>
      </c>
      <c r="G264" s="60">
        <v>120</v>
      </c>
      <c r="M264" s="61"/>
    </row>
    <row r="265" spans="1:76" ht="14.5" x14ac:dyDescent="0.35">
      <c r="A265" s="57"/>
      <c r="D265" s="58" t="s">
        <v>430</v>
      </c>
      <c r="E265" s="59" t="s">
        <v>527</v>
      </c>
      <c r="G265" s="60">
        <v>120</v>
      </c>
      <c r="M265" s="61"/>
    </row>
    <row r="266" spans="1:76" ht="26" x14ac:dyDescent="0.35">
      <c r="A266" s="57"/>
      <c r="C266" s="62" t="s">
        <v>156</v>
      </c>
      <c r="D266" s="211" t="s">
        <v>509</v>
      </c>
      <c r="E266" s="212"/>
      <c r="F266" s="212"/>
      <c r="G266" s="212"/>
      <c r="H266" s="212"/>
      <c r="I266" s="212"/>
      <c r="J266" s="212"/>
      <c r="K266" s="212"/>
      <c r="L266" s="212"/>
      <c r="M266" s="213"/>
      <c r="BX266" s="63" t="s">
        <v>509</v>
      </c>
    </row>
    <row r="267" spans="1:76" ht="14.5" x14ac:dyDescent="0.35">
      <c r="A267" s="57"/>
      <c r="D267" s="58" t="s">
        <v>460</v>
      </c>
      <c r="E267" s="59" t="s">
        <v>528</v>
      </c>
      <c r="G267" s="60">
        <v>72</v>
      </c>
      <c r="M267" s="61"/>
    </row>
    <row r="268" spans="1:76" ht="26" x14ac:dyDescent="0.35">
      <c r="A268" s="57"/>
      <c r="C268" s="62" t="s">
        <v>156</v>
      </c>
      <c r="D268" s="211" t="s">
        <v>509</v>
      </c>
      <c r="E268" s="212"/>
      <c r="F268" s="212"/>
      <c r="G268" s="212"/>
      <c r="H268" s="212"/>
      <c r="I268" s="212"/>
      <c r="J268" s="212"/>
      <c r="K268" s="212"/>
      <c r="L268" s="212"/>
      <c r="M268" s="213"/>
      <c r="BX268" s="63" t="s">
        <v>509</v>
      </c>
    </row>
    <row r="269" spans="1:76" ht="14.5" x14ac:dyDescent="0.35">
      <c r="A269" s="64" t="s">
        <v>529</v>
      </c>
      <c r="B269" s="65" t="s">
        <v>103</v>
      </c>
      <c r="C269" s="65" t="s">
        <v>530</v>
      </c>
      <c r="D269" s="217" t="s">
        <v>531</v>
      </c>
      <c r="E269" s="218"/>
      <c r="F269" s="65" t="s">
        <v>196</v>
      </c>
      <c r="G269" s="67">
        <f>'Stavební rozpočet'!G200</f>
        <v>120</v>
      </c>
      <c r="H269" s="95">
        <f>'Stavební rozpočet'!H200</f>
        <v>0</v>
      </c>
      <c r="I269" s="67">
        <f>G269*H269</f>
        <v>0</v>
      </c>
      <c r="J269" s="67">
        <f>'Stavební rozpočet'!J200</f>
        <v>1.0000000000000001E-5</v>
      </c>
      <c r="K269" s="67">
        <f>'Stavební rozpočet'!K200</f>
        <v>0</v>
      </c>
      <c r="L269" s="67">
        <f>G269*J269</f>
        <v>1.2000000000000001E-3</v>
      </c>
      <c r="M269" s="68" t="s">
        <v>111</v>
      </c>
      <c r="Z269" s="54">
        <f>IF(AQ269="5",BJ269,0)</f>
        <v>0</v>
      </c>
      <c r="AB269" s="54">
        <f>IF(AQ269="1",BH269,0)</f>
        <v>0</v>
      </c>
      <c r="AC269" s="54">
        <f>IF(AQ269="1",BI269,0)</f>
        <v>0</v>
      </c>
      <c r="AD269" s="54">
        <f>IF(AQ269="7",BH269,0)</f>
        <v>0</v>
      </c>
      <c r="AE269" s="54">
        <f>IF(AQ269="7",BI269,0)</f>
        <v>0</v>
      </c>
      <c r="AF269" s="54">
        <f>IF(AQ269="2",BH269,0)</f>
        <v>0</v>
      </c>
      <c r="AG269" s="54">
        <f>IF(AQ269="2",BI269,0)</f>
        <v>0</v>
      </c>
      <c r="AH269" s="54">
        <f>IF(AQ269="0",BJ269,0)</f>
        <v>0</v>
      </c>
      <c r="AI269" s="34" t="s">
        <v>103</v>
      </c>
      <c r="AJ269" s="67">
        <f>IF(AN269=0,I269,0)</f>
        <v>0</v>
      </c>
      <c r="AK269" s="67">
        <f>IF(AN269=12,I269,0)</f>
        <v>0</v>
      </c>
      <c r="AL269" s="67">
        <f>IF(AN269=21,I269,0)</f>
        <v>0</v>
      </c>
      <c r="AN269" s="54">
        <v>21</v>
      </c>
      <c r="AO269" s="54">
        <f>H269*1</f>
        <v>0</v>
      </c>
      <c r="AP269" s="54">
        <f>H269*(1-1)</f>
        <v>0</v>
      </c>
      <c r="AQ269" s="69" t="s">
        <v>168</v>
      </c>
      <c r="AV269" s="54">
        <f>AW269+AX269</f>
        <v>0</v>
      </c>
      <c r="AW269" s="54">
        <f>G269*AO269</f>
        <v>0</v>
      </c>
      <c r="AX269" s="54">
        <f>G269*AP269</f>
        <v>0</v>
      </c>
      <c r="AY269" s="56" t="s">
        <v>493</v>
      </c>
      <c r="AZ269" s="56" t="s">
        <v>418</v>
      </c>
      <c r="BA269" s="34" t="s">
        <v>114</v>
      </c>
      <c r="BC269" s="54">
        <f>AW269+AX269</f>
        <v>0</v>
      </c>
      <c r="BD269" s="54">
        <f>H269/(100-BE269)*100</f>
        <v>0</v>
      </c>
      <c r="BE269" s="54">
        <v>0</v>
      </c>
      <c r="BF269" s="54">
        <f>L269</f>
        <v>1.2000000000000001E-3</v>
      </c>
      <c r="BH269" s="67">
        <f>G269*AO269</f>
        <v>0</v>
      </c>
      <c r="BI269" s="67">
        <f>G269*AP269</f>
        <v>0</v>
      </c>
      <c r="BJ269" s="67">
        <f>G269*H269</f>
        <v>0</v>
      </c>
      <c r="BK269" s="67"/>
      <c r="BL269" s="54">
        <v>722</v>
      </c>
      <c r="BW269" s="54">
        <v>21</v>
      </c>
      <c r="BX269" s="66" t="s">
        <v>531</v>
      </c>
    </row>
    <row r="270" spans="1:76" ht="14.5" x14ac:dyDescent="0.35">
      <c r="A270" s="57"/>
      <c r="D270" s="58" t="s">
        <v>208</v>
      </c>
      <c r="E270" s="59" t="s">
        <v>508</v>
      </c>
      <c r="G270" s="60">
        <v>0</v>
      </c>
      <c r="M270" s="61"/>
    </row>
    <row r="271" spans="1:76" ht="14.5" x14ac:dyDescent="0.35">
      <c r="A271" s="57"/>
      <c r="D271" s="58" t="s">
        <v>430</v>
      </c>
      <c r="E271" s="59" t="s">
        <v>532</v>
      </c>
      <c r="G271" s="60">
        <v>120</v>
      </c>
      <c r="M271" s="61"/>
    </row>
    <row r="272" spans="1:76" ht="65" x14ac:dyDescent="0.35">
      <c r="A272" s="57"/>
      <c r="C272" s="62" t="s">
        <v>156</v>
      </c>
      <c r="D272" s="211" t="s">
        <v>516</v>
      </c>
      <c r="E272" s="212"/>
      <c r="F272" s="212"/>
      <c r="G272" s="212"/>
      <c r="H272" s="212"/>
      <c r="I272" s="212"/>
      <c r="J272" s="212"/>
      <c r="K272" s="212"/>
      <c r="L272" s="212"/>
      <c r="M272" s="213"/>
      <c r="BX272" s="70" t="s">
        <v>516</v>
      </c>
    </row>
    <row r="273" spans="1:76" ht="14.5" x14ac:dyDescent="0.35">
      <c r="A273" s="64" t="s">
        <v>533</v>
      </c>
      <c r="B273" s="65" t="s">
        <v>103</v>
      </c>
      <c r="C273" s="65" t="s">
        <v>534</v>
      </c>
      <c r="D273" s="217" t="s">
        <v>535</v>
      </c>
      <c r="E273" s="218"/>
      <c r="F273" s="65" t="s">
        <v>196</v>
      </c>
      <c r="G273" s="67">
        <f>'Stavební rozpočet'!G203</f>
        <v>120</v>
      </c>
      <c r="H273" s="95">
        <f>'Stavební rozpočet'!H203</f>
        <v>0</v>
      </c>
      <c r="I273" s="67">
        <f>G273*H273</f>
        <v>0</v>
      </c>
      <c r="J273" s="67">
        <f>'Stavební rozpočet'!J203</f>
        <v>1.0000000000000001E-5</v>
      </c>
      <c r="K273" s="67">
        <f>'Stavební rozpočet'!K203</f>
        <v>0</v>
      </c>
      <c r="L273" s="67">
        <f>G273*J273</f>
        <v>1.2000000000000001E-3</v>
      </c>
      <c r="M273" s="68" t="s">
        <v>111</v>
      </c>
      <c r="Z273" s="54">
        <f>IF(AQ273="5",BJ273,0)</f>
        <v>0</v>
      </c>
      <c r="AB273" s="54">
        <f>IF(AQ273="1",BH273,0)</f>
        <v>0</v>
      </c>
      <c r="AC273" s="54">
        <f>IF(AQ273="1",BI273,0)</f>
        <v>0</v>
      </c>
      <c r="AD273" s="54">
        <f>IF(AQ273="7",BH273,0)</f>
        <v>0</v>
      </c>
      <c r="AE273" s="54">
        <f>IF(AQ273="7",BI273,0)</f>
        <v>0</v>
      </c>
      <c r="AF273" s="54">
        <f>IF(AQ273="2",BH273,0)</f>
        <v>0</v>
      </c>
      <c r="AG273" s="54">
        <f>IF(AQ273="2",BI273,0)</f>
        <v>0</v>
      </c>
      <c r="AH273" s="54">
        <f>IF(AQ273="0",BJ273,0)</f>
        <v>0</v>
      </c>
      <c r="AI273" s="34" t="s">
        <v>103</v>
      </c>
      <c r="AJ273" s="67">
        <f>IF(AN273=0,I273,0)</f>
        <v>0</v>
      </c>
      <c r="AK273" s="67">
        <f>IF(AN273=12,I273,0)</f>
        <v>0</v>
      </c>
      <c r="AL273" s="67">
        <f>IF(AN273=21,I273,0)</f>
        <v>0</v>
      </c>
      <c r="AN273" s="54">
        <v>21</v>
      </c>
      <c r="AO273" s="54">
        <f>H273*1</f>
        <v>0</v>
      </c>
      <c r="AP273" s="54">
        <f>H273*(1-1)</f>
        <v>0</v>
      </c>
      <c r="AQ273" s="69" t="s">
        <v>168</v>
      </c>
      <c r="AV273" s="54">
        <f>AW273+AX273</f>
        <v>0</v>
      </c>
      <c r="AW273" s="54">
        <f>G273*AO273</f>
        <v>0</v>
      </c>
      <c r="AX273" s="54">
        <f>G273*AP273</f>
        <v>0</v>
      </c>
      <c r="AY273" s="56" t="s">
        <v>493</v>
      </c>
      <c r="AZ273" s="56" t="s">
        <v>418</v>
      </c>
      <c r="BA273" s="34" t="s">
        <v>114</v>
      </c>
      <c r="BC273" s="54">
        <f>AW273+AX273</f>
        <v>0</v>
      </c>
      <c r="BD273" s="54">
        <f>H273/(100-BE273)*100</f>
        <v>0</v>
      </c>
      <c r="BE273" s="54">
        <v>0</v>
      </c>
      <c r="BF273" s="54">
        <f>L273</f>
        <v>1.2000000000000001E-3</v>
      </c>
      <c r="BH273" s="67">
        <f>G273*AO273</f>
        <v>0</v>
      </c>
      <c r="BI273" s="67">
        <f>G273*AP273</f>
        <v>0</v>
      </c>
      <c r="BJ273" s="67">
        <f>G273*H273</f>
        <v>0</v>
      </c>
      <c r="BK273" s="67"/>
      <c r="BL273" s="54">
        <v>722</v>
      </c>
      <c r="BW273" s="54">
        <v>21</v>
      </c>
      <c r="BX273" s="66" t="s">
        <v>535</v>
      </c>
    </row>
    <row r="274" spans="1:76" ht="14.5" x14ac:dyDescent="0.35">
      <c r="A274" s="57"/>
      <c r="D274" s="58" t="s">
        <v>208</v>
      </c>
      <c r="E274" s="59" t="s">
        <v>508</v>
      </c>
      <c r="G274" s="60">
        <v>0</v>
      </c>
      <c r="M274" s="61"/>
    </row>
    <row r="275" spans="1:76" ht="14.5" x14ac:dyDescent="0.35">
      <c r="A275" s="57"/>
      <c r="D275" s="58" t="s">
        <v>430</v>
      </c>
      <c r="E275" s="59" t="s">
        <v>536</v>
      </c>
      <c r="G275" s="60">
        <v>120</v>
      </c>
      <c r="M275" s="61"/>
    </row>
    <row r="276" spans="1:76" ht="65" x14ac:dyDescent="0.35">
      <c r="A276" s="57"/>
      <c r="C276" s="62" t="s">
        <v>156</v>
      </c>
      <c r="D276" s="211" t="s">
        <v>516</v>
      </c>
      <c r="E276" s="212"/>
      <c r="F276" s="212"/>
      <c r="G276" s="212"/>
      <c r="H276" s="212"/>
      <c r="I276" s="212"/>
      <c r="J276" s="212"/>
      <c r="K276" s="212"/>
      <c r="L276" s="212"/>
      <c r="M276" s="213"/>
      <c r="BX276" s="70" t="s">
        <v>516</v>
      </c>
    </row>
    <row r="277" spans="1:76" ht="14.5" x14ac:dyDescent="0.35">
      <c r="A277" s="64" t="s">
        <v>537</v>
      </c>
      <c r="B277" s="65" t="s">
        <v>103</v>
      </c>
      <c r="C277" s="65" t="s">
        <v>538</v>
      </c>
      <c r="D277" s="217" t="s">
        <v>539</v>
      </c>
      <c r="E277" s="218"/>
      <c r="F277" s="65" t="s">
        <v>196</v>
      </c>
      <c r="G277" s="67">
        <f>'Stavební rozpočet'!G206</f>
        <v>72</v>
      </c>
      <c r="H277" s="95">
        <f>'Stavební rozpočet'!H206</f>
        <v>0</v>
      </c>
      <c r="I277" s="67">
        <f>G277*H277</f>
        <v>0</v>
      </c>
      <c r="J277" s="67">
        <f>'Stavební rozpočet'!J206</f>
        <v>0</v>
      </c>
      <c r="K277" s="67">
        <f>'Stavební rozpočet'!K206</f>
        <v>0</v>
      </c>
      <c r="L277" s="67">
        <f>G277*J277</f>
        <v>0</v>
      </c>
      <c r="M277" s="68" t="s">
        <v>111</v>
      </c>
      <c r="Z277" s="54">
        <f>IF(AQ277="5",BJ277,0)</f>
        <v>0</v>
      </c>
      <c r="AB277" s="54">
        <f>IF(AQ277="1",BH277,0)</f>
        <v>0</v>
      </c>
      <c r="AC277" s="54">
        <f>IF(AQ277="1",BI277,0)</f>
        <v>0</v>
      </c>
      <c r="AD277" s="54">
        <f>IF(AQ277="7",BH277,0)</f>
        <v>0</v>
      </c>
      <c r="AE277" s="54">
        <f>IF(AQ277="7",BI277,0)</f>
        <v>0</v>
      </c>
      <c r="AF277" s="54">
        <f>IF(AQ277="2",BH277,0)</f>
        <v>0</v>
      </c>
      <c r="AG277" s="54">
        <f>IF(AQ277="2",BI277,0)</f>
        <v>0</v>
      </c>
      <c r="AH277" s="54">
        <f>IF(AQ277="0",BJ277,0)</f>
        <v>0</v>
      </c>
      <c r="AI277" s="34" t="s">
        <v>103</v>
      </c>
      <c r="AJ277" s="67">
        <f>IF(AN277=0,I277,0)</f>
        <v>0</v>
      </c>
      <c r="AK277" s="67">
        <f>IF(AN277=12,I277,0)</f>
        <v>0</v>
      </c>
      <c r="AL277" s="67">
        <f>IF(AN277=21,I277,0)</f>
        <v>0</v>
      </c>
      <c r="AN277" s="54">
        <v>21</v>
      </c>
      <c r="AO277" s="54">
        <f>H277*1</f>
        <v>0</v>
      </c>
      <c r="AP277" s="54">
        <f>H277*(1-1)</f>
        <v>0</v>
      </c>
      <c r="AQ277" s="69" t="s">
        <v>168</v>
      </c>
      <c r="AV277" s="54">
        <f>AW277+AX277</f>
        <v>0</v>
      </c>
      <c r="AW277" s="54">
        <f>G277*AO277</f>
        <v>0</v>
      </c>
      <c r="AX277" s="54">
        <f>G277*AP277</f>
        <v>0</v>
      </c>
      <c r="AY277" s="56" t="s">
        <v>493</v>
      </c>
      <c r="AZ277" s="56" t="s">
        <v>418</v>
      </c>
      <c r="BA277" s="34" t="s">
        <v>114</v>
      </c>
      <c r="BC277" s="54">
        <f>AW277+AX277</f>
        <v>0</v>
      </c>
      <c r="BD277" s="54">
        <f>H277/(100-BE277)*100</f>
        <v>0</v>
      </c>
      <c r="BE277" s="54">
        <v>0</v>
      </c>
      <c r="BF277" s="54">
        <f>L277</f>
        <v>0</v>
      </c>
      <c r="BH277" s="67">
        <f>G277*AO277</f>
        <v>0</v>
      </c>
      <c r="BI277" s="67">
        <f>G277*AP277</f>
        <v>0</v>
      </c>
      <c r="BJ277" s="67">
        <f>G277*H277</f>
        <v>0</v>
      </c>
      <c r="BK277" s="67"/>
      <c r="BL277" s="54">
        <v>722</v>
      </c>
      <c r="BW277" s="54">
        <v>21</v>
      </c>
      <c r="BX277" s="66" t="s">
        <v>539</v>
      </c>
    </row>
    <row r="278" spans="1:76" ht="14.5" x14ac:dyDescent="0.35">
      <c r="A278" s="57"/>
      <c r="D278" s="58" t="s">
        <v>208</v>
      </c>
      <c r="E278" s="59" t="s">
        <v>508</v>
      </c>
      <c r="G278" s="60">
        <v>0</v>
      </c>
      <c r="M278" s="61"/>
    </row>
    <row r="279" spans="1:76" ht="14.5" x14ac:dyDescent="0.35">
      <c r="A279" s="57"/>
      <c r="D279" s="58" t="s">
        <v>460</v>
      </c>
      <c r="E279" s="59" t="s">
        <v>540</v>
      </c>
      <c r="G279" s="60">
        <v>72</v>
      </c>
      <c r="M279" s="61"/>
    </row>
    <row r="280" spans="1:76" ht="65" x14ac:dyDescent="0.35">
      <c r="A280" s="57"/>
      <c r="C280" s="62" t="s">
        <v>156</v>
      </c>
      <c r="D280" s="211" t="s">
        <v>516</v>
      </c>
      <c r="E280" s="212"/>
      <c r="F280" s="212"/>
      <c r="G280" s="212"/>
      <c r="H280" s="212"/>
      <c r="I280" s="212"/>
      <c r="J280" s="212"/>
      <c r="K280" s="212"/>
      <c r="L280" s="212"/>
      <c r="M280" s="213"/>
      <c r="BX280" s="70" t="s">
        <v>516</v>
      </c>
    </row>
    <row r="281" spans="1:76" ht="14.5" x14ac:dyDescent="0.35">
      <c r="A281" s="1" t="s">
        <v>541</v>
      </c>
      <c r="B281" s="2" t="s">
        <v>103</v>
      </c>
      <c r="C281" s="2" t="s">
        <v>542</v>
      </c>
      <c r="D281" s="155" t="s">
        <v>543</v>
      </c>
      <c r="E281" s="153"/>
      <c r="F281" s="2" t="s">
        <v>196</v>
      </c>
      <c r="G281" s="54">
        <f>'Stavební rozpočet'!G209</f>
        <v>72</v>
      </c>
      <c r="H281" s="94">
        <f>'Stavební rozpočet'!H209</f>
        <v>0</v>
      </c>
      <c r="I281" s="54">
        <f>G281*H281</f>
        <v>0</v>
      </c>
      <c r="J281" s="54">
        <f>'Stavební rozpočet'!J209</f>
        <v>8.0000000000000007E-5</v>
      </c>
      <c r="K281" s="54">
        <f>'Stavební rozpočet'!K209</f>
        <v>0</v>
      </c>
      <c r="L281" s="54">
        <f>G281*J281</f>
        <v>5.7600000000000004E-3</v>
      </c>
      <c r="M281" s="55" t="s">
        <v>111</v>
      </c>
      <c r="Z281" s="54">
        <f>IF(AQ281="5",BJ281,0)</f>
        <v>0</v>
      </c>
      <c r="AB281" s="54">
        <f>IF(AQ281="1",BH281,0)</f>
        <v>0</v>
      </c>
      <c r="AC281" s="54">
        <f>IF(AQ281="1",BI281,0)</f>
        <v>0</v>
      </c>
      <c r="AD281" s="54">
        <f>IF(AQ281="7",BH281,0)</f>
        <v>0</v>
      </c>
      <c r="AE281" s="54">
        <f>IF(AQ281="7",BI281,0)</f>
        <v>0</v>
      </c>
      <c r="AF281" s="54">
        <f>IF(AQ281="2",BH281,0)</f>
        <v>0</v>
      </c>
      <c r="AG281" s="54">
        <f>IF(AQ281="2",BI281,0)</f>
        <v>0</v>
      </c>
      <c r="AH281" s="54">
        <f>IF(AQ281="0",BJ281,0)</f>
        <v>0</v>
      </c>
      <c r="AI281" s="34" t="s">
        <v>103</v>
      </c>
      <c r="AJ281" s="54">
        <f>IF(AN281=0,I281,0)</f>
        <v>0</v>
      </c>
      <c r="AK281" s="54">
        <f>IF(AN281=12,I281,0)</f>
        <v>0</v>
      </c>
      <c r="AL281" s="54">
        <f>IF(AN281=21,I281,0)</f>
        <v>0</v>
      </c>
      <c r="AN281" s="54">
        <v>21</v>
      </c>
      <c r="AO281" s="54">
        <f>H281*0.013505747</f>
        <v>0</v>
      </c>
      <c r="AP281" s="54">
        <f>H281*(1-0.013505747)</f>
        <v>0</v>
      </c>
      <c r="AQ281" s="56" t="s">
        <v>168</v>
      </c>
      <c r="AV281" s="54">
        <f>AW281+AX281</f>
        <v>0</v>
      </c>
      <c r="AW281" s="54">
        <f>G281*AO281</f>
        <v>0</v>
      </c>
      <c r="AX281" s="54">
        <f>G281*AP281</f>
        <v>0</v>
      </c>
      <c r="AY281" s="56" t="s">
        <v>493</v>
      </c>
      <c r="AZ281" s="56" t="s">
        <v>418</v>
      </c>
      <c r="BA281" s="34" t="s">
        <v>114</v>
      </c>
      <c r="BC281" s="54">
        <f>AW281+AX281</f>
        <v>0</v>
      </c>
      <c r="BD281" s="54">
        <f>H281/(100-BE281)*100</f>
        <v>0</v>
      </c>
      <c r="BE281" s="54">
        <v>0</v>
      </c>
      <c r="BF281" s="54">
        <f>L281</f>
        <v>5.7600000000000004E-3</v>
      </c>
      <c r="BH281" s="54">
        <f>G281*AO281</f>
        <v>0</v>
      </c>
      <c r="BI281" s="54">
        <f>G281*AP281</f>
        <v>0</v>
      </c>
      <c r="BJ281" s="54">
        <f>G281*H281</f>
        <v>0</v>
      </c>
      <c r="BK281" s="54"/>
      <c r="BL281" s="54">
        <v>722</v>
      </c>
      <c r="BW281" s="54">
        <v>21</v>
      </c>
      <c r="BX281" s="3" t="s">
        <v>543</v>
      </c>
    </row>
    <row r="282" spans="1:76" ht="14.5" x14ac:dyDescent="0.35">
      <c r="A282" s="57"/>
      <c r="D282" s="58" t="s">
        <v>208</v>
      </c>
      <c r="E282" s="59" t="s">
        <v>508</v>
      </c>
      <c r="G282" s="60">
        <v>0</v>
      </c>
      <c r="M282" s="61"/>
    </row>
    <row r="283" spans="1:76" ht="14.5" x14ac:dyDescent="0.35">
      <c r="A283" s="57"/>
      <c r="D283" s="58" t="s">
        <v>406</v>
      </c>
      <c r="E283" s="59" t="s">
        <v>544</v>
      </c>
      <c r="G283" s="60">
        <v>24</v>
      </c>
      <c r="M283" s="61"/>
    </row>
    <row r="284" spans="1:76" ht="26" x14ac:dyDescent="0.35">
      <c r="A284" s="57"/>
      <c r="C284" s="62" t="s">
        <v>156</v>
      </c>
      <c r="D284" s="211" t="s">
        <v>509</v>
      </c>
      <c r="E284" s="212"/>
      <c r="F284" s="212"/>
      <c r="G284" s="212"/>
      <c r="H284" s="212"/>
      <c r="I284" s="212"/>
      <c r="J284" s="212"/>
      <c r="K284" s="212"/>
      <c r="L284" s="212"/>
      <c r="M284" s="213"/>
      <c r="BX284" s="63" t="s">
        <v>509</v>
      </c>
    </row>
    <row r="285" spans="1:76" ht="14.5" x14ac:dyDescent="0.35">
      <c r="A285" s="57"/>
      <c r="D285" s="58" t="s">
        <v>483</v>
      </c>
      <c r="E285" s="59" t="s">
        <v>545</v>
      </c>
      <c r="G285" s="60">
        <v>48</v>
      </c>
      <c r="M285" s="61"/>
    </row>
    <row r="286" spans="1:76" ht="26" x14ac:dyDescent="0.35">
      <c r="A286" s="57"/>
      <c r="C286" s="62" t="s">
        <v>156</v>
      </c>
      <c r="D286" s="211" t="s">
        <v>509</v>
      </c>
      <c r="E286" s="212"/>
      <c r="F286" s="212"/>
      <c r="G286" s="212"/>
      <c r="H286" s="212"/>
      <c r="I286" s="212"/>
      <c r="J286" s="212"/>
      <c r="K286" s="212"/>
      <c r="L286" s="212"/>
      <c r="M286" s="213"/>
      <c r="BX286" s="63" t="s">
        <v>509</v>
      </c>
    </row>
    <row r="287" spans="1:76" ht="14.5" x14ac:dyDescent="0.35">
      <c r="A287" s="64" t="s">
        <v>546</v>
      </c>
      <c r="B287" s="65" t="s">
        <v>103</v>
      </c>
      <c r="C287" s="65" t="s">
        <v>547</v>
      </c>
      <c r="D287" s="217" t="s">
        <v>548</v>
      </c>
      <c r="E287" s="218"/>
      <c r="F287" s="65" t="s">
        <v>196</v>
      </c>
      <c r="G287" s="67">
        <f>'Stavební rozpočet'!G213</f>
        <v>24</v>
      </c>
      <c r="H287" s="95">
        <f>'Stavební rozpočet'!H213</f>
        <v>0</v>
      </c>
      <c r="I287" s="67">
        <f>G287*H287</f>
        <v>0</v>
      </c>
      <c r="J287" s="67">
        <f>'Stavební rozpočet'!J213</f>
        <v>2.0000000000000002E-5</v>
      </c>
      <c r="K287" s="67">
        <f>'Stavební rozpočet'!K213</f>
        <v>0</v>
      </c>
      <c r="L287" s="67">
        <f>G287*J287</f>
        <v>4.8000000000000007E-4</v>
      </c>
      <c r="M287" s="68" t="s">
        <v>111</v>
      </c>
      <c r="Z287" s="54">
        <f>IF(AQ287="5",BJ287,0)</f>
        <v>0</v>
      </c>
      <c r="AB287" s="54">
        <f>IF(AQ287="1",BH287,0)</f>
        <v>0</v>
      </c>
      <c r="AC287" s="54">
        <f>IF(AQ287="1",BI287,0)</f>
        <v>0</v>
      </c>
      <c r="AD287" s="54">
        <f>IF(AQ287="7",BH287,0)</f>
        <v>0</v>
      </c>
      <c r="AE287" s="54">
        <f>IF(AQ287="7",BI287,0)</f>
        <v>0</v>
      </c>
      <c r="AF287" s="54">
        <f>IF(AQ287="2",BH287,0)</f>
        <v>0</v>
      </c>
      <c r="AG287" s="54">
        <f>IF(AQ287="2",BI287,0)</f>
        <v>0</v>
      </c>
      <c r="AH287" s="54">
        <f>IF(AQ287="0",BJ287,0)</f>
        <v>0</v>
      </c>
      <c r="AI287" s="34" t="s">
        <v>103</v>
      </c>
      <c r="AJ287" s="67">
        <f>IF(AN287=0,I287,0)</f>
        <v>0</v>
      </c>
      <c r="AK287" s="67">
        <f>IF(AN287=12,I287,0)</f>
        <v>0</v>
      </c>
      <c r="AL287" s="67">
        <f>IF(AN287=21,I287,0)</f>
        <v>0</v>
      </c>
      <c r="AN287" s="54">
        <v>21</v>
      </c>
      <c r="AO287" s="54">
        <f>H287*1</f>
        <v>0</v>
      </c>
      <c r="AP287" s="54">
        <f>H287*(1-1)</f>
        <v>0</v>
      </c>
      <c r="AQ287" s="69" t="s">
        <v>168</v>
      </c>
      <c r="AV287" s="54">
        <f>AW287+AX287</f>
        <v>0</v>
      </c>
      <c r="AW287" s="54">
        <f>G287*AO287</f>
        <v>0</v>
      </c>
      <c r="AX287" s="54">
        <f>G287*AP287</f>
        <v>0</v>
      </c>
      <c r="AY287" s="56" t="s">
        <v>493</v>
      </c>
      <c r="AZ287" s="56" t="s">
        <v>418</v>
      </c>
      <c r="BA287" s="34" t="s">
        <v>114</v>
      </c>
      <c r="BC287" s="54">
        <f>AW287+AX287</f>
        <v>0</v>
      </c>
      <c r="BD287" s="54">
        <f>H287/(100-BE287)*100</f>
        <v>0</v>
      </c>
      <c r="BE287" s="54">
        <v>0</v>
      </c>
      <c r="BF287" s="54">
        <f>L287</f>
        <v>4.8000000000000007E-4</v>
      </c>
      <c r="BH287" s="67">
        <f>G287*AO287</f>
        <v>0</v>
      </c>
      <c r="BI287" s="67">
        <f>G287*AP287</f>
        <v>0</v>
      </c>
      <c r="BJ287" s="67">
        <f>G287*H287</f>
        <v>0</v>
      </c>
      <c r="BK287" s="67"/>
      <c r="BL287" s="54">
        <v>722</v>
      </c>
      <c r="BW287" s="54">
        <v>21</v>
      </c>
      <c r="BX287" s="66" t="s">
        <v>548</v>
      </c>
    </row>
    <row r="288" spans="1:76" ht="14.5" x14ac:dyDescent="0.35">
      <c r="A288" s="57"/>
      <c r="D288" s="58" t="s">
        <v>208</v>
      </c>
      <c r="E288" s="59" t="s">
        <v>508</v>
      </c>
      <c r="G288" s="60">
        <v>0</v>
      </c>
      <c r="M288" s="61"/>
    </row>
    <row r="289" spans="1:76" ht="14.5" x14ac:dyDescent="0.35">
      <c r="A289" s="57"/>
      <c r="D289" s="58" t="s">
        <v>406</v>
      </c>
      <c r="E289" s="59" t="s">
        <v>549</v>
      </c>
      <c r="G289" s="60">
        <v>24</v>
      </c>
      <c r="M289" s="61"/>
    </row>
    <row r="290" spans="1:76" ht="65" x14ac:dyDescent="0.35">
      <c r="A290" s="57"/>
      <c r="C290" s="62" t="s">
        <v>156</v>
      </c>
      <c r="D290" s="211" t="s">
        <v>516</v>
      </c>
      <c r="E290" s="212"/>
      <c r="F290" s="212"/>
      <c r="G290" s="212"/>
      <c r="H290" s="212"/>
      <c r="I290" s="212"/>
      <c r="J290" s="212"/>
      <c r="K290" s="212"/>
      <c r="L290" s="212"/>
      <c r="M290" s="213"/>
      <c r="BX290" s="70" t="s">
        <v>516</v>
      </c>
    </row>
    <row r="291" spans="1:76" ht="14.5" x14ac:dyDescent="0.35">
      <c r="A291" s="64" t="s">
        <v>253</v>
      </c>
      <c r="B291" s="65" t="s">
        <v>103</v>
      </c>
      <c r="C291" s="65" t="s">
        <v>550</v>
      </c>
      <c r="D291" s="217" t="s">
        <v>551</v>
      </c>
      <c r="E291" s="218"/>
      <c r="F291" s="65" t="s">
        <v>196</v>
      </c>
      <c r="G291" s="67">
        <f>'Stavební rozpočet'!G216</f>
        <v>48</v>
      </c>
      <c r="H291" s="95">
        <f>'Stavební rozpočet'!H216</f>
        <v>0</v>
      </c>
      <c r="I291" s="67">
        <f>G291*H291</f>
        <v>0</v>
      </c>
      <c r="J291" s="67">
        <f>'Stavební rozpočet'!J216</f>
        <v>2.0000000000000002E-5</v>
      </c>
      <c r="K291" s="67">
        <f>'Stavební rozpočet'!K216</f>
        <v>0</v>
      </c>
      <c r="L291" s="67">
        <f>G291*J291</f>
        <v>9.6000000000000013E-4</v>
      </c>
      <c r="M291" s="68" t="s">
        <v>111</v>
      </c>
      <c r="Z291" s="54">
        <f>IF(AQ291="5",BJ291,0)</f>
        <v>0</v>
      </c>
      <c r="AB291" s="54">
        <f>IF(AQ291="1",BH291,0)</f>
        <v>0</v>
      </c>
      <c r="AC291" s="54">
        <f>IF(AQ291="1",BI291,0)</f>
        <v>0</v>
      </c>
      <c r="AD291" s="54">
        <f>IF(AQ291="7",BH291,0)</f>
        <v>0</v>
      </c>
      <c r="AE291" s="54">
        <f>IF(AQ291="7",BI291,0)</f>
        <v>0</v>
      </c>
      <c r="AF291" s="54">
        <f>IF(AQ291="2",BH291,0)</f>
        <v>0</v>
      </c>
      <c r="AG291" s="54">
        <f>IF(AQ291="2",BI291,0)</f>
        <v>0</v>
      </c>
      <c r="AH291" s="54">
        <f>IF(AQ291="0",BJ291,0)</f>
        <v>0</v>
      </c>
      <c r="AI291" s="34" t="s">
        <v>103</v>
      </c>
      <c r="AJ291" s="67">
        <f>IF(AN291=0,I291,0)</f>
        <v>0</v>
      </c>
      <c r="AK291" s="67">
        <f>IF(AN291=12,I291,0)</f>
        <v>0</v>
      </c>
      <c r="AL291" s="67">
        <f>IF(AN291=21,I291,0)</f>
        <v>0</v>
      </c>
      <c r="AN291" s="54">
        <v>21</v>
      </c>
      <c r="AO291" s="54">
        <f>H291*1</f>
        <v>0</v>
      </c>
      <c r="AP291" s="54">
        <f>H291*(1-1)</f>
        <v>0</v>
      </c>
      <c r="AQ291" s="69" t="s">
        <v>168</v>
      </c>
      <c r="AV291" s="54">
        <f>AW291+AX291</f>
        <v>0</v>
      </c>
      <c r="AW291" s="54">
        <f>G291*AO291</f>
        <v>0</v>
      </c>
      <c r="AX291" s="54">
        <f>G291*AP291</f>
        <v>0</v>
      </c>
      <c r="AY291" s="56" t="s">
        <v>493</v>
      </c>
      <c r="AZ291" s="56" t="s">
        <v>418</v>
      </c>
      <c r="BA291" s="34" t="s">
        <v>114</v>
      </c>
      <c r="BC291" s="54">
        <f>AW291+AX291</f>
        <v>0</v>
      </c>
      <c r="BD291" s="54">
        <f>H291/(100-BE291)*100</f>
        <v>0</v>
      </c>
      <c r="BE291" s="54">
        <v>0</v>
      </c>
      <c r="BF291" s="54">
        <f>L291</f>
        <v>9.6000000000000013E-4</v>
      </c>
      <c r="BH291" s="67">
        <f>G291*AO291</f>
        <v>0</v>
      </c>
      <c r="BI291" s="67">
        <f>G291*AP291</f>
        <v>0</v>
      </c>
      <c r="BJ291" s="67">
        <f>G291*H291</f>
        <v>0</v>
      </c>
      <c r="BK291" s="67"/>
      <c r="BL291" s="54">
        <v>722</v>
      </c>
      <c r="BW291" s="54">
        <v>21</v>
      </c>
      <c r="BX291" s="66" t="s">
        <v>551</v>
      </c>
    </row>
    <row r="292" spans="1:76" ht="14.5" x14ac:dyDescent="0.35">
      <c r="A292" s="57"/>
      <c r="D292" s="58" t="s">
        <v>208</v>
      </c>
      <c r="E292" s="59" t="s">
        <v>508</v>
      </c>
      <c r="G292" s="60">
        <v>0</v>
      </c>
      <c r="M292" s="61"/>
    </row>
    <row r="293" spans="1:76" ht="14.5" x14ac:dyDescent="0.35">
      <c r="A293" s="57"/>
      <c r="D293" s="58" t="s">
        <v>483</v>
      </c>
      <c r="E293" s="59" t="s">
        <v>552</v>
      </c>
      <c r="G293" s="60">
        <v>48</v>
      </c>
      <c r="M293" s="61"/>
    </row>
    <row r="294" spans="1:76" ht="65" x14ac:dyDescent="0.35">
      <c r="A294" s="57"/>
      <c r="C294" s="62" t="s">
        <v>156</v>
      </c>
      <c r="D294" s="211" t="s">
        <v>516</v>
      </c>
      <c r="E294" s="212"/>
      <c r="F294" s="212"/>
      <c r="G294" s="212"/>
      <c r="H294" s="212"/>
      <c r="I294" s="212"/>
      <c r="J294" s="212"/>
      <c r="K294" s="212"/>
      <c r="L294" s="212"/>
      <c r="M294" s="213"/>
      <c r="BX294" s="70" t="s">
        <v>516</v>
      </c>
    </row>
    <row r="295" spans="1:76" ht="25" x14ac:dyDescent="0.35">
      <c r="A295" s="1" t="s">
        <v>553</v>
      </c>
      <c r="B295" s="2" t="s">
        <v>103</v>
      </c>
      <c r="C295" s="2" t="s">
        <v>554</v>
      </c>
      <c r="D295" s="155" t="s">
        <v>555</v>
      </c>
      <c r="E295" s="153"/>
      <c r="F295" s="2" t="s">
        <v>153</v>
      </c>
      <c r="G295" s="54">
        <f>'Stavební rozpočet'!G219</f>
        <v>100.8</v>
      </c>
      <c r="H295" s="94">
        <f>'Stavební rozpočet'!H219</f>
        <v>0</v>
      </c>
      <c r="I295" s="54">
        <f>G295*H295</f>
        <v>0</v>
      </c>
      <c r="J295" s="54">
        <f>'Stavební rozpočet'!J219</f>
        <v>2.0000000000000002E-5</v>
      </c>
      <c r="K295" s="54">
        <f>'Stavební rozpočet'!K219</f>
        <v>0</v>
      </c>
      <c r="L295" s="54">
        <f>G295*J295</f>
        <v>2.016E-3</v>
      </c>
      <c r="M295" s="55" t="s">
        <v>10</v>
      </c>
      <c r="Z295" s="54">
        <f>IF(AQ295="5",BJ295,0)</f>
        <v>0</v>
      </c>
      <c r="AB295" s="54">
        <f>IF(AQ295="1",BH295,0)</f>
        <v>0</v>
      </c>
      <c r="AC295" s="54">
        <f>IF(AQ295="1",BI295,0)</f>
        <v>0</v>
      </c>
      <c r="AD295" s="54">
        <f>IF(AQ295="7",BH295,0)</f>
        <v>0</v>
      </c>
      <c r="AE295" s="54">
        <f>IF(AQ295="7",BI295,0)</f>
        <v>0</v>
      </c>
      <c r="AF295" s="54">
        <f>IF(AQ295="2",BH295,0)</f>
        <v>0</v>
      </c>
      <c r="AG295" s="54">
        <f>IF(AQ295="2",BI295,0)</f>
        <v>0</v>
      </c>
      <c r="AH295" s="54">
        <f>IF(AQ295="0",BJ295,0)</f>
        <v>0</v>
      </c>
      <c r="AI295" s="34" t="s">
        <v>103</v>
      </c>
      <c r="AJ295" s="54">
        <f>IF(AN295=0,I295,0)</f>
        <v>0</v>
      </c>
      <c r="AK295" s="54">
        <f>IF(AN295=12,I295,0)</f>
        <v>0</v>
      </c>
      <c r="AL295" s="54">
        <f>IF(AN295=21,I295,0)</f>
        <v>0</v>
      </c>
      <c r="AN295" s="54">
        <v>21</v>
      </c>
      <c r="AO295" s="54">
        <f>H295*0.155978119</f>
        <v>0</v>
      </c>
      <c r="AP295" s="54">
        <f>H295*(1-0.155978119)</f>
        <v>0</v>
      </c>
      <c r="AQ295" s="56" t="s">
        <v>168</v>
      </c>
      <c r="AV295" s="54">
        <f>AW295+AX295</f>
        <v>0</v>
      </c>
      <c r="AW295" s="54">
        <f>G295*AO295</f>
        <v>0</v>
      </c>
      <c r="AX295" s="54">
        <f>G295*AP295</f>
        <v>0</v>
      </c>
      <c r="AY295" s="56" t="s">
        <v>493</v>
      </c>
      <c r="AZ295" s="56" t="s">
        <v>418</v>
      </c>
      <c r="BA295" s="34" t="s">
        <v>114</v>
      </c>
      <c r="BC295" s="54">
        <f>AW295+AX295</f>
        <v>0</v>
      </c>
      <c r="BD295" s="54">
        <f>H295/(100-BE295)*100</f>
        <v>0</v>
      </c>
      <c r="BE295" s="54">
        <v>0</v>
      </c>
      <c r="BF295" s="54">
        <f>L295</f>
        <v>2.016E-3</v>
      </c>
      <c r="BH295" s="54">
        <f>G295*AO295</f>
        <v>0</v>
      </c>
      <c r="BI295" s="54">
        <f>G295*AP295</f>
        <v>0</v>
      </c>
      <c r="BJ295" s="54">
        <f>G295*H295</f>
        <v>0</v>
      </c>
      <c r="BK295" s="54"/>
      <c r="BL295" s="54">
        <v>722</v>
      </c>
      <c r="BW295" s="54">
        <v>21</v>
      </c>
      <c r="BX295" s="3" t="s">
        <v>555</v>
      </c>
    </row>
    <row r="296" spans="1:76" ht="13.5" customHeight="1" x14ac:dyDescent="0.35">
      <c r="A296" s="57"/>
      <c r="C296" s="62" t="s">
        <v>122</v>
      </c>
      <c r="D296" s="214" t="s">
        <v>556</v>
      </c>
      <c r="E296" s="215"/>
      <c r="F296" s="215"/>
      <c r="G296" s="215"/>
      <c r="H296" s="215"/>
      <c r="I296" s="215"/>
      <c r="J296" s="215"/>
      <c r="K296" s="215"/>
      <c r="L296" s="215"/>
      <c r="M296" s="216"/>
    </row>
    <row r="297" spans="1:76" ht="14.5" x14ac:dyDescent="0.35">
      <c r="A297" s="57"/>
      <c r="D297" s="58" t="s">
        <v>208</v>
      </c>
      <c r="E297" s="59" t="s">
        <v>473</v>
      </c>
      <c r="G297" s="60">
        <v>0</v>
      </c>
      <c r="M297" s="61"/>
    </row>
    <row r="298" spans="1:76" ht="14.5" x14ac:dyDescent="0.35">
      <c r="A298" s="57"/>
      <c r="D298" s="58" t="s">
        <v>494</v>
      </c>
      <c r="E298" s="59" t="s">
        <v>495</v>
      </c>
      <c r="G298" s="60">
        <v>100.8</v>
      </c>
      <c r="M298" s="61"/>
    </row>
    <row r="299" spans="1:76" ht="25" x14ac:dyDescent="0.35">
      <c r="A299" s="1" t="s">
        <v>322</v>
      </c>
      <c r="B299" s="2" t="s">
        <v>103</v>
      </c>
      <c r="C299" s="2" t="s">
        <v>557</v>
      </c>
      <c r="D299" s="155" t="s">
        <v>558</v>
      </c>
      <c r="E299" s="153"/>
      <c r="F299" s="2" t="s">
        <v>153</v>
      </c>
      <c r="G299" s="54">
        <f>'Stavební rozpočet'!G222</f>
        <v>33.6</v>
      </c>
      <c r="H299" s="94">
        <f>'Stavební rozpočet'!H222</f>
        <v>0</v>
      </c>
      <c r="I299" s="54">
        <f>G299*H299</f>
        <v>0</v>
      </c>
      <c r="J299" s="54">
        <f>'Stavební rozpočet'!J222</f>
        <v>2.0000000000000002E-5</v>
      </c>
      <c r="K299" s="54">
        <f>'Stavební rozpočet'!K222</f>
        <v>0</v>
      </c>
      <c r="L299" s="54">
        <f>G299*J299</f>
        <v>6.7200000000000007E-4</v>
      </c>
      <c r="M299" s="55" t="s">
        <v>10</v>
      </c>
      <c r="Z299" s="54">
        <f>IF(AQ299="5",BJ299,0)</f>
        <v>0</v>
      </c>
      <c r="AB299" s="54">
        <f>IF(AQ299="1",BH299,0)</f>
        <v>0</v>
      </c>
      <c r="AC299" s="54">
        <f>IF(AQ299="1",BI299,0)</f>
        <v>0</v>
      </c>
      <c r="AD299" s="54">
        <f>IF(AQ299="7",BH299,0)</f>
        <v>0</v>
      </c>
      <c r="AE299" s="54">
        <f>IF(AQ299="7",BI299,0)</f>
        <v>0</v>
      </c>
      <c r="AF299" s="54">
        <f>IF(AQ299="2",BH299,0)</f>
        <v>0</v>
      </c>
      <c r="AG299" s="54">
        <f>IF(AQ299="2",BI299,0)</f>
        <v>0</v>
      </c>
      <c r="AH299" s="54">
        <f>IF(AQ299="0",BJ299,0)</f>
        <v>0</v>
      </c>
      <c r="AI299" s="34" t="s">
        <v>103</v>
      </c>
      <c r="AJ299" s="54">
        <f>IF(AN299=0,I299,0)</f>
        <v>0</v>
      </c>
      <c r="AK299" s="54">
        <f>IF(AN299=12,I299,0)</f>
        <v>0</v>
      </c>
      <c r="AL299" s="54">
        <f>IF(AN299=21,I299,0)</f>
        <v>0</v>
      </c>
      <c r="AN299" s="54">
        <v>21</v>
      </c>
      <c r="AO299" s="54">
        <f>H299*0.16705443</f>
        <v>0</v>
      </c>
      <c r="AP299" s="54">
        <f>H299*(1-0.16705443)</f>
        <v>0</v>
      </c>
      <c r="AQ299" s="56" t="s">
        <v>168</v>
      </c>
      <c r="AV299" s="54">
        <f>AW299+AX299</f>
        <v>0</v>
      </c>
      <c r="AW299" s="54">
        <f>G299*AO299</f>
        <v>0</v>
      </c>
      <c r="AX299" s="54">
        <f>G299*AP299</f>
        <v>0</v>
      </c>
      <c r="AY299" s="56" t="s">
        <v>493</v>
      </c>
      <c r="AZ299" s="56" t="s">
        <v>418</v>
      </c>
      <c r="BA299" s="34" t="s">
        <v>114</v>
      </c>
      <c r="BC299" s="54">
        <f>AW299+AX299</f>
        <v>0</v>
      </c>
      <c r="BD299" s="54">
        <f>H299/(100-BE299)*100</f>
        <v>0</v>
      </c>
      <c r="BE299" s="54">
        <v>0</v>
      </c>
      <c r="BF299" s="54">
        <f>L299</f>
        <v>6.7200000000000007E-4</v>
      </c>
      <c r="BH299" s="54">
        <f>G299*AO299</f>
        <v>0</v>
      </c>
      <c r="BI299" s="54">
        <f>G299*AP299</f>
        <v>0</v>
      </c>
      <c r="BJ299" s="54">
        <f>G299*H299</f>
        <v>0</v>
      </c>
      <c r="BK299" s="54"/>
      <c r="BL299" s="54">
        <v>722</v>
      </c>
      <c r="BW299" s="54">
        <v>21</v>
      </c>
      <c r="BX299" s="3" t="s">
        <v>558</v>
      </c>
    </row>
    <row r="300" spans="1:76" ht="13.5" customHeight="1" x14ac:dyDescent="0.35">
      <c r="A300" s="57"/>
      <c r="C300" s="62" t="s">
        <v>122</v>
      </c>
      <c r="D300" s="214" t="s">
        <v>556</v>
      </c>
      <c r="E300" s="215"/>
      <c r="F300" s="215"/>
      <c r="G300" s="215"/>
      <c r="H300" s="215"/>
      <c r="I300" s="215"/>
      <c r="J300" s="215"/>
      <c r="K300" s="215"/>
      <c r="L300" s="215"/>
      <c r="M300" s="216"/>
    </row>
    <row r="301" spans="1:76" ht="14.5" x14ac:dyDescent="0.35">
      <c r="A301" s="57"/>
      <c r="D301" s="58" t="s">
        <v>208</v>
      </c>
      <c r="E301" s="59" t="s">
        <v>473</v>
      </c>
      <c r="G301" s="60">
        <v>0</v>
      </c>
      <c r="M301" s="61"/>
    </row>
    <row r="302" spans="1:76" ht="14.5" x14ac:dyDescent="0.35">
      <c r="A302" s="57"/>
      <c r="D302" s="58" t="s">
        <v>501</v>
      </c>
      <c r="E302" s="59" t="s">
        <v>502</v>
      </c>
      <c r="G302" s="60">
        <v>33.6</v>
      </c>
      <c r="M302" s="61"/>
    </row>
    <row r="303" spans="1:76" ht="25" x14ac:dyDescent="0.35">
      <c r="A303" s="1" t="s">
        <v>343</v>
      </c>
      <c r="B303" s="2" t="s">
        <v>103</v>
      </c>
      <c r="C303" s="2" t="s">
        <v>559</v>
      </c>
      <c r="D303" s="155" t="s">
        <v>560</v>
      </c>
      <c r="E303" s="153"/>
      <c r="F303" s="2" t="s">
        <v>153</v>
      </c>
      <c r="G303" s="54">
        <f>'Stavební rozpočet'!G225</f>
        <v>81.599999999999994</v>
      </c>
      <c r="H303" s="94">
        <f>'Stavební rozpočet'!H225</f>
        <v>0</v>
      </c>
      <c r="I303" s="54">
        <f>G303*H303</f>
        <v>0</v>
      </c>
      <c r="J303" s="54">
        <f>'Stavební rozpočet'!J225</f>
        <v>4.0000000000000003E-5</v>
      </c>
      <c r="K303" s="54">
        <f>'Stavební rozpočet'!K225</f>
        <v>0</v>
      </c>
      <c r="L303" s="54">
        <f>G303*J303</f>
        <v>3.264E-3</v>
      </c>
      <c r="M303" s="55" t="s">
        <v>10</v>
      </c>
      <c r="Z303" s="54">
        <f>IF(AQ303="5",BJ303,0)</f>
        <v>0</v>
      </c>
      <c r="AB303" s="54">
        <f>IF(AQ303="1",BH303,0)</f>
        <v>0</v>
      </c>
      <c r="AC303" s="54">
        <f>IF(AQ303="1",BI303,0)</f>
        <v>0</v>
      </c>
      <c r="AD303" s="54">
        <f>IF(AQ303="7",BH303,0)</f>
        <v>0</v>
      </c>
      <c r="AE303" s="54">
        <f>IF(AQ303="7",BI303,0)</f>
        <v>0</v>
      </c>
      <c r="AF303" s="54">
        <f>IF(AQ303="2",BH303,0)</f>
        <v>0</v>
      </c>
      <c r="AG303" s="54">
        <f>IF(AQ303="2",BI303,0)</f>
        <v>0</v>
      </c>
      <c r="AH303" s="54">
        <f>IF(AQ303="0",BJ303,0)</f>
        <v>0</v>
      </c>
      <c r="AI303" s="34" t="s">
        <v>103</v>
      </c>
      <c r="AJ303" s="54">
        <f>IF(AN303=0,I303,0)</f>
        <v>0</v>
      </c>
      <c r="AK303" s="54">
        <f>IF(AN303=12,I303,0)</f>
        <v>0</v>
      </c>
      <c r="AL303" s="54">
        <f>IF(AN303=21,I303,0)</f>
        <v>0</v>
      </c>
      <c r="AN303" s="54">
        <v>21</v>
      </c>
      <c r="AO303" s="54">
        <f>H303*0.250690659</f>
        <v>0</v>
      </c>
      <c r="AP303" s="54">
        <f>H303*(1-0.250690659)</f>
        <v>0</v>
      </c>
      <c r="AQ303" s="56" t="s">
        <v>168</v>
      </c>
      <c r="AV303" s="54">
        <f>AW303+AX303</f>
        <v>0</v>
      </c>
      <c r="AW303" s="54">
        <f>G303*AO303</f>
        <v>0</v>
      </c>
      <c r="AX303" s="54">
        <f>G303*AP303</f>
        <v>0</v>
      </c>
      <c r="AY303" s="56" t="s">
        <v>493</v>
      </c>
      <c r="AZ303" s="56" t="s">
        <v>418</v>
      </c>
      <c r="BA303" s="34" t="s">
        <v>114</v>
      </c>
      <c r="BC303" s="54">
        <f>AW303+AX303</f>
        <v>0</v>
      </c>
      <c r="BD303" s="54">
        <f>H303/(100-BE303)*100</f>
        <v>0</v>
      </c>
      <c r="BE303" s="54">
        <v>0</v>
      </c>
      <c r="BF303" s="54">
        <f>L303</f>
        <v>3.264E-3</v>
      </c>
      <c r="BH303" s="54">
        <f>G303*AO303</f>
        <v>0</v>
      </c>
      <c r="BI303" s="54">
        <f>G303*AP303</f>
        <v>0</v>
      </c>
      <c r="BJ303" s="54">
        <f>G303*H303</f>
        <v>0</v>
      </c>
      <c r="BK303" s="54"/>
      <c r="BL303" s="54">
        <v>722</v>
      </c>
      <c r="BW303" s="54">
        <v>21</v>
      </c>
      <c r="BX303" s="3" t="s">
        <v>560</v>
      </c>
    </row>
    <row r="304" spans="1:76" ht="13.5" customHeight="1" x14ac:dyDescent="0.35">
      <c r="A304" s="57"/>
      <c r="C304" s="62" t="s">
        <v>122</v>
      </c>
      <c r="D304" s="214" t="s">
        <v>556</v>
      </c>
      <c r="E304" s="215"/>
      <c r="F304" s="215"/>
      <c r="G304" s="215"/>
      <c r="H304" s="215"/>
      <c r="I304" s="215"/>
      <c r="J304" s="215"/>
      <c r="K304" s="215"/>
      <c r="L304" s="215"/>
      <c r="M304" s="216"/>
    </row>
    <row r="305" spans="1:76" ht="14.5" x14ac:dyDescent="0.35">
      <c r="A305" s="57"/>
      <c r="D305" s="58" t="s">
        <v>208</v>
      </c>
      <c r="E305" s="59" t="s">
        <v>473</v>
      </c>
      <c r="G305" s="60">
        <v>0</v>
      </c>
      <c r="M305" s="61"/>
    </row>
    <row r="306" spans="1:76" ht="14.5" x14ac:dyDescent="0.35">
      <c r="A306" s="57"/>
      <c r="D306" s="58" t="s">
        <v>496</v>
      </c>
      <c r="E306" s="59" t="s">
        <v>497</v>
      </c>
      <c r="G306" s="60">
        <v>81.599999999999994</v>
      </c>
      <c r="M306" s="61"/>
    </row>
    <row r="307" spans="1:76" ht="25" x14ac:dyDescent="0.35">
      <c r="A307" s="1" t="s">
        <v>561</v>
      </c>
      <c r="B307" s="2" t="s">
        <v>103</v>
      </c>
      <c r="C307" s="2" t="s">
        <v>562</v>
      </c>
      <c r="D307" s="155" t="s">
        <v>563</v>
      </c>
      <c r="E307" s="153"/>
      <c r="F307" s="2" t="s">
        <v>153</v>
      </c>
      <c r="G307" s="54">
        <f>'Stavební rozpočet'!G228</f>
        <v>31.2</v>
      </c>
      <c r="H307" s="94">
        <f>'Stavební rozpočet'!H228</f>
        <v>0</v>
      </c>
      <c r="I307" s="54">
        <f>G307*H307</f>
        <v>0</v>
      </c>
      <c r="J307" s="54">
        <f>'Stavební rozpočet'!J228</f>
        <v>4.0000000000000003E-5</v>
      </c>
      <c r="K307" s="54">
        <f>'Stavební rozpočet'!K228</f>
        <v>0</v>
      </c>
      <c r="L307" s="54">
        <f>G307*J307</f>
        <v>1.248E-3</v>
      </c>
      <c r="M307" s="55" t="s">
        <v>10</v>
      </c>
      <c r="Z307" s="54">
        <f>IF(AQ307="5",BJ307,0)</f>
        <v>0</v>
      </c>
      <c r="AB307" s="54">
        <f>IF(AQ307="1",BH307,0)</f>
        <v>0</v>
      </c>
      <c r="AC307" s="54">
        <f>IF(AQ307="1",BI307,0)</f>
        <v>0</v>
      </c>
      <c r="AD307" s="54">
        <f>IF(AQ307="7",BH307,0)</f>
        <v>0</v>
      </c>
      <c r="AE307" s="54">
        <f>IF(AQ307="7",BI307,0)</f>
        <v>0</v>
      </c>
      <c r="AF307" s="54">
        <f>IF(AQ307="2",BH307,0)</f>
        <v>0</v>
      </c>
      <c r="AG307" s="54">
        <f>IF(AQ307="2",BI307,0)</f>
        <v>0</v>
      </c>
      <c r="AH307" s="54">
        <f>IF(AQ307="0",BJ307,0)</f>
        <v>0</v>
      </c>
      <c r="AI307" s="34" t="s">
        <v>103</v>
      </c>
      <c r="AJ307" s="54">
        <f>IF(AN307=0,I307,0)</f>
        <v>0</v>
      </c>
      <c r="AK307" s="54">
        <f>IF(AN307=12,I307,0)</f>
        <v>0</v>
      </c>
      <c r="AL307" s="54">
        <f>IF(AN307=21,I307,0)</f>
        <v>0</v>
      </c>
      <c r="AN307" s="54">
        <v>21</v>
      </c>
      <c r="AO307" s="54">
        <f>H307*0.266673304</f>
        <v>0</v>
      </c>
      <c r="AP307" s="54">
        <f>H307*(1-0.266673304)</f>
        <v>0</v>
      </c>
      <c r="AQ307" s="56" t="s">
        <v>168</v>
      </c>
      <c r="AV307" s="54">
        <f>AW307+AX307</f>
        <v>0</v>
      </c>
      <c r="AW307" s="54">
        <f>G307*AO307</f>
        <v>0</v>
      </c>
      <c r="AX307" s="54">
        <f>G307*AP307</f>
        <v>0</v>
      </c>
      <c r="AY307" s="56" t="s">
        <v>493</v>
      </c>
      <c r="AZ307" s="56" t="s">
        <v>418</v>
      </c>
      <c r="BA307" s="34" t="s">
        <v>114</v>
      </c>
      <c r="BC307" s="54">
        <f>AW307+AX307</f>
        <v>0</v>
      </c>
      <c r="BD307" s="54">
        <f>H307/(100-BE307)*100</f>
        <v>0</v>
      </c>
      <c r="BE307" s="54">
        <v>0</v>
      </c>
      <c r="BF307" s="54">
        <f>L307</f>
        <v>1.248E-3</v>
      </c>
      <c r="BH307" s="54">
        <f>G307*AO307</f>
        <v>0</v>
      </c>
      <c r="BI307" s="54">
        <f>G307*AP307</f>
        <v>0</v>
      </c>
      <c r="BJ307" s="54">
        <f>G307*H307</f>
        <v>0</v>
      </c>
      <c r="BK307" s="54"/>
      <c r="BL307" s="54">
        <v>722</v>
      </c>
      <c r="BW307" s="54">
        <v>21</v>
      </c>
      <c r="BX307" s="3" t="s">
        <v>563</v>
      </c>
    </row>
    <row r="308" spans="1:76" ht="13.5" customHeight="1" x14ac:dyDescent="0.35">
      <c r="A308" s="57"/>
      <c r="C308" s="62" t="s">
        <v>122</v>
      </c>
      <c r="D308" s="214" t="s">
        <v>556</v>
      </c>
      <c r="E308" s="215"/>
      <c r="F308" s="215"/>
      <c r="G308" s="215"/>
      <c r="H308" s="215"/>
      <c r="I308" s="215"/>
      <c r="J308" s="215"/>
      <c r="K308" s="215"/>
      <c r="L308" s="215"/>
      <c r="M308" s="216"/>
    </row>
    <row r="309" spans="1:76" ht="14.5" x14ac:dyDescent="0.35">
      <c r="A309" s="57"/>
      <c r="D309" s="58" t="s">
        <v>208</v>
      </c>
      <c r="E309" s="59" t="s">
        <v>473</v>
      </c>
      <c r="G309" s="60">
        <v>0</v>
      </c>
      <c r="M309" s="61"/>
    </row>
    <row r="310" spans="1:76" ht="14.5" x14ac:dyDescent="0.35">
      <c r="A310" s="57"/>
      <c r="D310" s="58" t="s">
        <v>503</v>
      </c>
      <c r="E310" s="59" t="s">
        <v>504</v>
      </c>
      <c r="G310" s="60">
        <v>31.2</v>
      </c>
      <c r="M310" s="61"/>
    </row>
    <row r="311" spans="1:76" ht="14.5" x14ac:dyDescent="0.35">
      <c r="A311" s="1" t="s">
        <v>564</v>
      </c>
      <c r="B311" s="2" t="s">
        <v>103</v>
      </c>
      <c r="C311" s="2" t="s">
        <v>565</v>
      </c>
      <c r="D311" s="155" t="s">
        <v>566</v>
      </c>
      <c r="E311" s="153"/>
      <c r="F311" s="2" t="s">
        <v>196</v>
      </c>
      <c r="G311" s="54">
        <f>'Stavební rozpočet'!G231</f>
        <v>96</v>
      </c>
      <c r="H311" s="94">
        <f>'Stavební rozpočet'!H231</f>
        <v>0</v>
      </c>
      <c r="I311" s="54">
        <f>G311*H311</f>
        <v>0</v>
      </c>
      <c r="J311" s="54">
        <f>'Stavební rozpočet'!J231</f>
        <v>0</v>
      </c>
      <c r="K311" s="54">
        <f>'Stavební rozpočet'!K231</f>
        <v>0</v>
      </c>
      <c r="L311" s="54">
        <f>G311*J311</f>
        <v>0</v>
      </c>
      <c r="M311" s="55" t="s">
        <v>111</v>
      </c>
      <c r="Z311" s="54">
        <f>IF(AQ311="5",BJ311,0)</f>
        <v>0</v>
      </c>
      <c r="AB311" s="54">
        <f>IF(AQ311="1",BH311,0)</f>
        <v>0</v>
      </c>
      <c r="AC311" s="54">
        <f>IF(AQ311="1",BI311,0)</f>
        <v>0</v>
      </c>
      <c r="AD311" s="54">
        <f>IF(AQ311="7",BH311,0)</f>
        <v>0</v>
      </c>
      <c r="AE311" s="54">
        <f>IF(AQ311="7",BI311,0)</f>
        <v>0</v>
      </c>
      <c r="AF311" s="54">
        <f>IF(AQ311="2",BH311,0)</f>
        <v>0</v>
      </c>
      <c r="AG311" s="54">
        <f>IF(AQ311="2",BI311,0)</f>
        <v>0</v>
      </c>
      <c r="AH311" s="54">
        <f>IF(AQ311="0",BJ311,0)</f>
        <v>0</v>
      </c>
      <c r="AI311" s="34" t="s">
        <v>103</v>
      </c>
      <c r="AJ311" s="54">
        <f>IF(AN311=0,I311,0)</f>
        <v>0</v>
      </c>
      <c r="AK311" s="54">
        <f>IF(AN311=12,I311,0)</f>
        <v>0</v>
      </c>
      <c r="AL311" s="54">
        <f>IF(AN311=21,I311,0)</f>
        <v>0</v>
      </c>
      <c r="AN311" s="54">
        <v>21</v>
      </c>
      <c r="AO311" s="54">
        <f>H311*0</f>
        <v>0</v>
      </c>
      <c r="AP311" s="54">
        <f>H311*(1-0)</f>
        <v>0</v>
      </c>
      <c r="AQ311" s="56" t="s">
        <v>168</v>
      </c>
      <c r="AV311" s="54">
        <f>AW311+AX311</f>
        <v>0</v>
      </c>
      <c r="AW311" s="54">
        <f>G311*AO311</f>
        <v>0</v>
      </c>
      <c r="AX311" s="54">
        <f>G311*AP311</f>
        <v>0</v>
      </c>
      <c r="AY311" s="56" t="s">
        <v>493</v>
      </c>
      <c r="AZ311" s="56" t="s">
        <v>418</v>
      </c>
      <c r="BA311" s="34" t="s">
        <v>114</v>
      </c>
      <c r="BC311" s="54">
        <f>AW311+AX311</f>
        <v>0</v>
      </c>
      <c r="BD311" s="54">
        <f>H311/(100-BE311)*100</f>
        <v>0</v>
      </c>
      <c r="BE311" s="54">
        <v>0</v>
      </c>
      <c r="BF311" s="54">
        <f>L311</f>
        <v>0</v>
      </c>
      <c r="BH311" s="54">
        <f>G311*AO311</f>
        <v>0</v>
      </c>
      <c r="BI311" s="54">
        <f>G311*AP311</f>
        <v>0</v>
      </c>
      <c r="BJ311" s="54">
        <f>G311*H311</f>
        <v>0</v>
      </c>
      <c r="BK311" s="54"/>
      <c r="BL311" s="54">
        <v>722</v>
      </c>
      <c r="BW311" s="54">
        <v>21</v>
      </c>
      <c r="BX311" s="3" t="s">
        <v>566</v>
      </c>
    </row>
    <row r="312" spans="1:76" ht="14.5" x14ac:dyDescent="0.35">
      <c r="A312" s="57"/>
      <c r="D312" s="58" t="s">
        <v>208</v>
      </c>
      <c r="E312" s="59" t="s">
        <v>520</v>
      </c>
      <c r="G312" s="60">
        <v>0</v>
      </c>
      <c r="M312" s="61"/>
    </row>
    <row r="313" spans="1:76" ht="14.5" x14ac:dyDescent="0.35">
      <c r="A313" s="57"/>
      <c r="D313" s="58" t="s">
        <v>521</v>
      </c>
      <c r="E313" s="59" t="s">
        <v>567</v>
      </c>
      <c r="G313" s="60">
        <v>96</v>
      </c>
      <c r="M313" s="61"/>
    </row>
    <row r="314" spans="1:76" ht="14.5" x14ac:dyDescent="0.35">
      <c r="A314" s="1" t="s">
        <v>568</v>
      </c>
      <c r="B314" s="2" t="s">
        <v>103</v>
      </c>
      <c r="C314" s="2" t="s">
        <v>569</v>
      </c>
      <c r="D314" s="155" t="s">
        <v>570</v>
      </c>
      <c r="E314" s="153"/>
      <c r="F314" s="2" t="s">
        <v>196</v>
      </c>
      <c r="G314" s="54">
        <f>'Stavební rozpočet'!G234</f>
        <v>2</v>
      </c>
      <c r="H314" s="94">
        <f>'Stavební rozpočet'!H234</f>
        <v>0</v>
      </c>
      <c r="I314" s="54">
        <f>G314*H314</f>
        <v>0</v>
      </c>
      <c r="J314" s="54">
        <f>'Stavební rozpočet'!J234</f>
        <v>2.4399999999999999E-3</v>
      </c>
      <c r="K314" s="54">
        <f>'Stavební rozpočet'!K234</f>
        <v>2.4399999999999999E-3</v>
      </c>
      <c r="L314" s="54">
        <f>G314*J314</f>
        <v>4.8799999999999998E-3</v>
      </c>
      <c r="M314" s="55" t="s">
        <v>111</v>
      </c>
      <c r="Z314" s="54">
        <f>IF(AQ314="5",BJ314,0)</f>
        <v>0</v>
      </c>
      <c r="AB314" s="54">
        <f>IF(AQ314="1",BH314,0)</f>
        <v>0</v>
      </c>
      <c r="AC314" s="54">
        <f>IF(AQ314="1",BI314,0)</f>
        <v>0</v>
      </c>
      <c r="AD314" s="54">
        <f>IF(AQ314="7",BH314,0)</f>
        <v>0</v>
      </c>
      <c r="AE314" s="54">
        <f>IF(AQ314="7",BI314,0)</f>
        <v>0</v>
      </c>
      <c r="AF314" s="54">
        <f>IF(AQ314="2",BH314,0)</f>
        <v>0</v>
      </c>
      <c r="AG314" s="54">
        <f>IF(AQ314="2",BI314,0)</f>
        <v>0</v>
      </c>
      <c r="AH314" s="54">
        <f>IF(AQ314="0",BJ314,0)</f>
        <v>0</v>
      </c>
      <c r="AI314" s="34" t="s">
        <v>103</v>
      </c>
      <c r="AJ314" s="54">
        <f>IF(AN314=0,I314,0)</f>
        <v>0</v>
      </c>
      <c r="AK314" s="54">
        <f>IF(AN314=12,I314,0)</f>
        <v>0</v>
      </c>
      <c r="AL314" s="54">
        <f>IF(AN314=21,I314,0)</f>
        <v>0</v>
      </c>
      <c r="AN314" s="54">
        <v>21</v>
      </c>
      <c r="AO314" s="54">
        <f>H314*0</f>
        <v>0</v>
      </c>
      <c r="AP314" s="54">
        <f>H314*(1-0)</f>
        <v>0</v>
      </c>
      <c r="AQ314" s="56" t="s">
        <v>168</v>
      </c>
      <c r="AV314" s="54">
        <f>AW314+AX314</f>
        <v>0</v>
      </c>
      <c r="AW314" s="54">
        <f>G314*AO314</f>
        <v>0</v>
      </c>
      <c r="AX314" s="54">
        <f>G314*AP314</f>
        <v>0</v>
      </c>
      <c r="AY314" s="56" t="s">
        <v>493</v>
      </c>
      <c r="AZ314" s="56" t="s">
        <v>418</v>
      </c>
      <c r="BA314" s="34" t="s">
        <v>114</v>
      </c>
      <c r="BC314" s="54">
        <f>AW314+AX314</f>
        <v>0</v>
      </c>
      <c r="BD314" s="54">
        <f>H314/(100-BE314)*100</f>
        <v>0</v>
      </c>
      <c r="BE314" s="54">
        <v>0</v>
      </c>
      <c r="BF314" s="54">
        <f>L314</f>
        <v>4.8799999999999998E-3</v>
      </c>
      <c r="BH314" s="54">
        <f>G314*AO314</f>
        <v>0</v>
      </c>
      <c r="BI314" s="54">
        <f>G314*AP314</f>
        <v>0</v>
      </c>
      <c r="BJ314" s="54">
        <f>G314*H314</f>
        <v>0</v>
      </c>
      <c r="BK314" s="54"/>
      <c r="BL314" s="54">
        <v>722</v>
      </c>
      <c r="BW314" s="54">
        <v>21</v>
      </c>
      <c r="BX314" s="3" t="s">
        <v>570</v>
      </c>
    </row>
    <row r="315" spans="1:76" ht="13.5" customHeight="1" x14ac:dyDescent="0.35">
      <c r="A315" s="57"/>
      <c r="C315" s="62" t="s">
        <v>122</v>
      </c>
      <c r="D315" s="214" t="s">
        <v>571</v>
      </c>
      <c r="E315" s="215"/>
      <c r="F315" s="215"/>
      <c r="G315" s="215"/>
      <c r="H315" s="215"/>
      <c r="I315" s="215"/>
      <c r="J315" s="215"/>
      <c r="K315" s="215"/>
      <c r="L315" s="215"/>
      <c r="M315" s="216"/>
    </row>
    <row r="316" spans="1:76" ht="14.5" x14ac:dyDescent="0.35">
      <c r="A316" s="57"/>
      <c r="D316" s="58" t="s">
        <v>572</v>
      </c>
      <c r="E316" s="59" t="s">
        <v>573</v>
      </c>
      <c r="G316" s="60">
        <v>2</v>
      </c>
      <c r="M316" s="61"/>
    </row>
    <row r="317" spans="1:76" ht="14.5" x14ac:dyDescent="0.35">
      <c r="A317" s="1" t="s">
        <v>574</v>
      </c>
      <c r="B317" s="2" t="s">
        <v>103</v>
      </c>
      <c r="C317" s="2" t="s">
        <v>575</v>
      </c>
      <c r="D317" s="155" t="s">
        <v>576</v>
      </c>
      <c r="E317" s="153"/>
      <c r="F317" s="2" t="s">
        <v>196</v>
      </c>
      <c r="G317" s="54">
        <f>'Stavební rozpočet'!G236</f>
        <v>2</v>
      </c>
      <c r="H317" s="94">
        <f>'Stavební rozpočet'!H236</f>
        <v>0</v>
      </c>
      <c r="I317" s="54">
        <f>G317*H317</f>
        <v>0</v>
      </c>
      <c r="J317" s="54">
        <f>'Stavební rozpočet'!J236</f>
        <v>2.0000000000000002E-5</v>
      </c>
      <c r="K317" s="54">
        <f>'Stavební rozpočet'!K236</f>
        <v>0</v>
      </c>
      <c r="L317" s="54">
        <f>G317*J317</f>
        <v>4.0000000000000003E-5</v>
      </c>
      <c r="M317" s="55" t="s">
        <v>111</v>
      </c>
      <c r="Z317" s="54">
        <f>IF(AQ317="5",BJ317,0)</f>
        <v>0</v>
      </c>
      <c r="AB317" s="54">
        <f>IF(AQ317="1",BH317,0)</f>
        <v>0</v>
      </c>
      <c r="AC317" s="54">
        <f>IF(AQ317="1",BI317,0)</f>
        <v>0</v>
      </c>
      <c r="AD317" s="54">
        <f>IF(AQ317="7",BH317,0)</f>
        <v>0</v>
      </c>
      <c r="AE317" s="54">
        <f>IF(AQ317="7",BI317,0)</f>
        <v>0</v>
      </c>
      <c r="AF317" s="54">
        <f>IF(AQ317="2",BH317,0)</f>
        <v>0</v>
      </c>
      <c r="AG317" s="54">
        <f>IF(AQ317="2",BI317,0)</f>
        <v>0</v>
      </c>
      <c r="AH317" s="54">
        <f>IF(AQ317="0",BJ317,0)</f>
        <v>0</v>
      </c>
      <c r="AI317" s="34" t="s">
        <v>103</v>
      </c>
      <c r="AJ317" s="54">
        <f>IF(AN317=0,I317,0)</f>
        <v>0</v>
      </c>
      <c r="AK317" s="54">
        <f>IF(AN317=12,I317,0)</f>
        <v>0</v>
      </c>
      <c r="AL317" s="54">
        <f>IF(AN317=21,I317,0)</f>
        <v>0</v>
      </c>
      <c r="AN317" s="54">
        <v>21</v>
      </c>
      <c r="AO317" s="54">
        <f>H317*0.014404946</f>
        <v>0</v>
      </c>
      <c r="AP317" s="54">
        <f>H317*(1-0.014404946)</f>
        <v>0</v>
      </c>
      <c r="AQ317" s="56" t="s">
        <v>168</v>
      </c>
      <c r="AV317" s="54">
        <f>AW317+AX317</f>
        <v>0</v>
      </c>
      <c r="AW317" s="54">
        <f>G317*AO317</f>
        <v>0</v>
      </c>
      <c r="AX317" s="54">
        <f>G317*AP317</f>
        <v>0</v>
      </c>
      <c r="AY317" s="56" t="s">
        <v>493</v>
      </c>
      <c r="AZ317" s="56" t="s">
        <v>418</v>
      </c>
      <c r="BA317" s="34" t="s">
        <v>114</v>
      </c>
      <c r="BC317" s="54">
        <f>AW317+AX317</f>
        <v>0</v>
      </c>
      <c r="BD317" s="54">
        <f>H317/(100-BE317)*100</f>
        <v>0</v>
      </c>
      <c r="BE317" s="54">
        <v>0</v>
      </c>
      <c r="BF317" s="54">
        <f>L317</f>
        <v>4.0000000000000003E-5</v>
      </c>
      <c r="BH317" s="54">
        <f>G317*AO317</f>
        <v>0</v>
      </c>
      <c r="BI317" s="54">
        <f>G317*AP317</f>
        <v>0</v>
      </c>
      <c r="BJ317" s="54">
        <f>G317*H317</f>
        <v>0</v>
      </c>
      <c r="BK317" s="54"/>
      <c r="BL317" s="54">
        <v>722</v>
      </c>
      <c r="BW317" s="54">
        <v>21</v>
      </c>
      <c r="BX317" s="3" t="s">
        <v>576</v>
      </c>
    </row>
    <row r="318" spans="1:76" ht="14.5" x14ac:dyDescent="0.35">
      <c r="A318" s="57"/>
      <c r="D318" s="58" t="s">
        <v>572</v>
      </c>
      <c r="E318" s="59" t="s">
        <v>573</v>
      </c>
      <c r="G318" s="60">
        <v>2</v>
      </c>
      <c r="M318" s="61"/>
    </row>
    <row r="319" spans="1:76" ht="14.5" x14ac:dyDescent="0.35">
      <c r="A319" s="57"/>
      <c r="C319" s="62" t="s">
        <v>156</v>
      </c>
      <c r="D319" s="211" t="s">
        <v>577</v>
      </c>
      <c r="E319" s="212"/>
      <c r="F319" s="212"/>
      <c r="G319" s="212"/>
      <c r="H319" s="212"/>
      <c r="I319" s="212"/>
      <c r="J319" s="212"/>
      <c r="K319" s="212"/>
      <c r="L319" s="212"/>
      <c r="M319" s="213"/>
      <c r="BX319" s="63" t="s">
        <v>577</v>
      </c>
    </row>
    <row r="320" spans="1:76" ht="14.5" x14ac:dyDescent="0.35">
      <c r="A320" s="1" t="s">
        <v>578</v>
      </c>
      <c r="B320" s="2" t="s">
        <v>103</v>
      </c>
      <c r="C320" s="2" t="s">
        <v>579</v>
      </c>
      <c r="D320" s="155" t="s">
        <v>580</v>
      </c>
      <c r="E320" s="153"/>
      <c r="F320" s="2" t="s">
        <v>581</v>
      </c>
      <c r="G320" s="54">
        <f>'Stavební rozpočet'!G238</f>
        <v>2</v>
      </c>
      <c r="H320" s="94">
        <f>'Stavební rozpočet'!H238</f>
        <v>0</v>
      </c>
      <c r="I320" s="54">
        <f>G320*H320</f>
        <v>0</v>
      </c>
      <c r="J320" s="54">
        <f>'Stavební rozpočet'!J238</f>
        <v>0</v>
      </c>
      <c r="K320" s="54">
        <f>'Stavební rozpočet'!K238</f>
        <v>0</v>
      </c>
      <c r="L320" s="54">
        <f>G320*J320</f>
        <v>0</v>
      </c>
      <c r="M320" s="55" t="s">
        <v>111</v>
      </c>
      <c r="Z320" s="54">
        <f>IF(AQ320="5",BJ320,0)</f>
        <v>0</v>
      </c>
      <c r="AB320" s="54">
        <f>IF(AQ320="1",BH320,0)</f>
        <v>0</v>
      </c>
      <c r="AC320" s="54">
        <f>IF(AQ320="1",BI320,0)</f>
        <v>0</v>
      </c>
      <c r="AD320" s="54">
        <f>IF(AQ320="7",BH320,0)</f>
        <v>0</v>
      </c>
      <c r="AE320" s="54">
        <f>IF(AQ320="7",BI320,0)</f>
        <v>0</v>
      </c>
      <c r="AF320" s="54">
        <f>IF(AQ320="2",BH320,0)</f>
        <v>0</v>
      </c>
      <c r="AG320" s="54">
        <f>IF(AQ320="2",BI320,0)</f>
        <v>0</v>
      </c>
      <c r="AH320" s="54">
        <f>IF(AQ320="0",BJ320,0)</f>
        <v>0</v>
      </c>
      <c r="AI320" s="34" t="s">
        <v>103</v>
      </c>
      <c r="AJ320" s="54">
        <f>IF(AN320=0,I320,0)</f>
        <v>0</v>
      </c>
      <c r="AK320" s="54">
        <f>IF(AN320=12,I320,0)</f>
        <v>0</v>
      </c>
      <c r="AL320" s="54">
        <f>IF(AN320=21,I320,0)</f>
        <v>0</v>
      </c>
      <c r="AN320" s="54">
        <v>21</v>
      </c>
      <c r="AO320" s="54">
        <f>H320*0</f>
        <v>0</v>
      </c>
      <c r="AP320" s="54">
        <f>H320*(1-0)</f>
        <v>0</v>
      </c>
      <c r="AQ320" s="56" t="s">
        <v>168</v>
      </c>
      <c r="AV320" s="54">
        <f>AW320+AX320</f>
        <v>0</v>
      </c>
      <c r="AW320" s="54">
        <f>G320*AO320</f>
        <v>0</v>
      </c>
      <c r="AX320" s="54">
        <f>G320*AP320</f>
        <v>0</v>
      </c>
      <c r="AY320" s="56" t="s">
        <v>493</v>
      </c>
      <c r="AZ320" s="56" t="s">
        <v>418</v>
      </c>
      <c r="BA320" s="34" t="s">
        <v>114</v>
      </c>
      <c r="BC320" s="54">
        <f>AW320+AX320</f>
        <v>0</v>
      </c>
      <c r="BD320" s="54">
        <f>H320/(100-BE320)*100</f>
        <v>0</v>
      </c>
      <c r="BE320" s="54">
        <v>0</v>
      </c>
      <c r="BF320" s="54">
        <f>L320</f>
        <v>0</v>
      </c>
      <c r="BH320" s="54">
        <f>G320*AO320</f>
        <v>0</v>
      </c>
      <c r="BI320" s="54">
        <f>G320*AP320</f>
        <v>0</v>
      </c>
      <c r="BJ320" s="54">
        <f>G320*H320</f>
        <v>0</v>
      </c>
      <c r="BK320" s="54"/>
      <c r="BL320" s="54">
        <v>722</v>
      </c>
      <c r="BW320" s="54">
        <v>21</v>
      </c>
      <c r="BX320" s="3" t="s">
        <v>580</v>
      </c>
    </row>
    <row r="321" spans="1:76" ht="14.5" x14ac:dyDescent="0.35">
      <c r="A321" s="57"/>
      <c r="D321" s="58" t="s">
        <v>572</v>
      </c>
      <c r="E321" s="59" t="s">
        <v>573</v>
      </c>
      <c r="G321" s="60">
        <v>2</v>
      </c>
      <c r="M321" s="61"/>
    </row>
    <row r="322" spans="1:76" ht="14.5" x14ac:dyDescent="0.35">
      <c r="A322" s="1" t="s">
        <v>582</v>
      </c>
      <c r="B322" s="2" t="s">
        <v>103</v>
      </c>
      <c r="C322" s="2" t="s">
        <v>583</v>
      </c>
      <c r="D322" s="155" t="s">
        <v>584</v>
      </c>
      <c r="E322" s="153"/>
      <c r="F322" s="2" t="s">
        <v>196</v>
      </c>
      <c r="G322" s="54">
        <f>'Stavební rozpočet'!G240</f>
        <v>2</v>
      </c>
      <c r="H322" s="94">
        <f>'Stavební rozpočet'!H240</f>
        <v>0</v>
      </c>
      <c r="I322" s="54">
        <f>G322*H322</f>
        <v>0</v>
      </c>
      <c r="J322" s="54">
        <f>'Stavební rozpočet'!J240</f>
        <v>5.4000000000000001E-4</v>
      </c>
      <c r="K322" s="54">
        <f>'Stavební rozpočet'!K240</f>
        <v>0</v>
      </c>
      <c r="L322" s="54">
        <f>G322*J322</f>
        <v>1.08E-3</v>
      </c>
      <c r="M322" s="55" t="s">
        <v>111</v>
      </c>
      <c r="Z322" s="54">
        <f>IF(AQ322="5",BJ322,0)</f>
        <v>0</v>
      </c>
      <c r="AB322" s="54">
        <f>IF(AQ322="1",BH322,0)</f>
        <v>0</v>
      </c>
      <c r="AC322" s="54">
        <f>IF(AQ322="1",BI322,0)</f>
        <v>0</v>
      </c>
      <c r="AD322" s="54">
        <f>IF(AQ322="7",BH322,0)</f>
        <v>0</v>
      </c>
      <c r="AE322" s="54">
        <f>IF(AQ322="7",BI322,0)</f>
        <v>0</v>
      </c>
      <c r="AF322" s="54">
        <f>IF(AQ322="2",BH322,0)</f>
        <v>0</v>
      </c>
      <c r="AG322" s="54">
        <f>IF(AQ322="2",BI322,0)</f>
        <v>0</v>
      </c>
      <c r="AH322" s="54">
        <f>IF(AQ322="0",BJ322,0)</f>
        <v>0</v>
      </c>
      <c r="AI322" s="34" t="s">
        <v>103</v>
      </c>
      <c r="AJ322" s="54">
        <f>IF(AN322=0,I322,0)</f>
        <v>0</v>
      </c>
      <c r="AK322" s="54">
        <f>IF(AN322=12,I322,0)</f>
        <v>0</v>
      </c>
      <c r="AL322" s="54">
        <f>IF(AN322=21,I322,0)</f>
        <v>0</v>
      </c>
      <c r="AN322" s="54">
        <v>21</v>
      </c>
      <c r="AO322" s="54">
        <f>H322*0.014126474</f>
        <v>0</v>
      </c>
      <c r="AP322" s="54">
        <f>H322*(1-0.014126474)</f>
        <v>0</v>
      </c>
      <c r="AQ322" s="56" t="s">
        <v>168</v>
      </c>
      <c r="AV322" s="54">
        <f>AW322+AX322</f>
        <v>0</v>
      </c>
      <c r="AW322" s="54">
        <f>G322*AO322</f>
        <v>0</v>
      </c>
      <c r="AX322" s="54">
        <f>G322*AP322</f>
        <v>0</v>
      </c>
      <c r="AY322" s="56" t="s">
        <v>493</v>
      </c>
      <c r="AZ322" s="56" t="s">
        <v>418</v>
      </c>
      <c r="BA322" s="34" t="s">
        <v>114</v>
      </c>
      <c r="BC322" s="54">
        <f>AW322+AX322</f>
        <v>0</v>
      </c>
      <c r="BD322" s="54">
        <f>H322/(100-BE322)*100</f>
        <v>0</v>
      </c>
      <c r="BE322" s="54">
        <v>0</v>
      </c>
      <c r="BF322" s="54">
        <f>L322</f>
        <v>1.08E-3</v>
      </c>
      <c r="BH322" s="54">
        <f>G322*AO322</f>
        <v>0</v>
      </c>
      <c r="BI322" s="54">
        <f>G322*AP322</f>
        <v>0</v>
      </c>
      <c r="BJ322" s="54">
        <f>G322*H322</f>
        <v>0</v>
      </c>
      <c r="BK322" s="54"/>
      <c r="BL322" s="54">
        <v>722</v>
      </c>
      <c r="BW322" s="54">
        <v>21</v>
      </c>
      <c r="BX322" s="3" t="s">
        <v>584</v>
      </c>
    </row>
    <row r="323" spans="1:76" ht="14.5" x14ac:dyDescent="0.35">
      <c r="A323" s="57"/>
      <c r="D323" s="58" t="s">
        <v>572</v>
      </c>
      <c r="E323" s="59" t="s">
        <v>573</v>
      </c>
      <c r="G323" s="60">
        <v>2</v>
      </c>
      <c r="M323" s="61"/>
    </row>
    <row r="324" spans="1:76" ht="14.5" x14ac:dyDescent="0.35">
      <c r="A324" s="1" t="s">
        <v>585</v>
      </c>
      <c r="B324" s="2" t="s">
        <v>103</v>
      </c>
      <c r="C324" s="2" t="s">
        <v>586</v>
      </c>
      <c r="D324" s="155" t="s">
        <v>587</v>
      </c>
      <c r="E324" s="153"/>
      <c r="F324" s="2" t="s">
        <v>581</v>
      </c>
      <c r="G324" s="54">
        <f>'Stavební rozpočet'!G242</f>
        <v>2</v>
      </c>
      <c r="H324" s="94">
        <f>'Stavební rozpočet'!H242</f>
        <v>0</v>
      </c>
      <c r="I324" s="54">
        <f>G324*H324</f>
        <v>0</v>
      </c>
      <c r="J324" s="54">
        <f>'Stavební rozpočet'!J242</f>
        <v>2.2409999999999999E-2</v>
      </c>
      <c r="K324" s="54">
        <f>'Stavební rozpočet'!K242</f>
        <v>0</v>
      </c>
      <c r="L324" s="54">
        <f>G324*J324</f>
        <v>4.4819999999999999E-2</v>
      </c>
      <c r="M324" s="55" t="s">
        <v>111</v>
      </c>
      <c r="Z324" s="54">
        <f>IF(AQ324="5",BJ324,0)</f>
        <v>0</v>
      </c>
      <c r="AB324" s="54">
        <f>IF(AQ324="1",BH324,0)</f>
        <v>0</v>
      </c>
      <c r="AC324" s="54">
        <f>IF(AQ324="1",BI324,0)</f>
        <v>0</v>
      </c>
      <c r="AD324" s="54">
        <f>IF(AQ324="7",BH324,0)</f>
        <v>0</v>
      </c>
      <c r="AE324" s="54">
        <f>IF(AQ324="7",BI324,0)</f>
        <v>0</v>
      </c>
      <c r="AF324" s="54">
        <f>IF(AQ324="2",BH324,0)</f>
        <v>0</v>
      </c>
      <c r="AG324" s="54">
        <f>IF(AQ324="2",BI324,0)</f>
        <v>0</v>
      </c>
      <c r="AH324" s="54">
        <f>IF(AQ324="0",BJ324,0)</f>
        <v>0</v>
      </c>
      <c r="AI324" s="34" t="s">
        <v>103</v>
      </c>
      <c r="AJ324" s="54">
        <f>IF(AN324=0,I324,0)</f>
        <v>0</v>
      </c>
      <c r="AK324" s="54">
        <f>IF(AN324=12,I324,0)</f>
        <v>0</v>
      </c>
      <c r="AL324" s="54">
        <f>IF(AN324=21,I324,0)</f>
        <v>0</v>
      </c>
      <c r="AN324" s="54">
        <v>21</v>
      </c>
      <c r="AO324" s="54">
        <f>H324*0.865230205</f>
        <v>0</v>
      </c>
      <c r="AP324" s="54">
        <f>H324*(1-0.865230205)</f>
        <v>0</v>
      </c>
      <c r="AQ324" s="56" t="s">
        <v>168</v>
      </c>
      <c r="AV324" s="54">
        <f>AW324+AX324</f>
        <v>0</v>
      </c>
      <c r="AW324" s="54">
        <f>G324*AO324</f>
        <v>0</v>
      </c>
      <c r="AX324" s="54">
        <f>G324*AP324</f>
        <v>0</v>
      </c>
      <c r="AY324" s="56" t="s">
        <v>493</v>
      </c>
      <c r="AZ324" s="56" t="s">
        <v>418</v>
      </c>
      <c r="BA324" s="34" t="s">
        <v>114</v>
      </c>
      <c r="BC324" s="54">
        <f>AW324+AX324</f>
        <v>0</v>
      </c>
      <c r="BD324" s="54">
        <f>H324/(100-BE324)*100</f>
        <v>0</v>
      </c>
      <c r="BE324" s="54">
        <v>0</v>
      </c>
      <c r="BF324" s="54">
        <f>L324</f>
        <v>4.4819999999999999E-2</v>
      </c>
      <c r="BH324" s="54">
        <f>G324*AO324</f>
        <v>0</v>
      </c>
      <c r="BI324" s="54">
        <f>G324*AP324</f>
        <v>0</v>
      </c>
      <c r="BJ324" s="54">
        <f>G324*H324</f>
        <v>0</v>
      </c>
      <c r="BK324" s="54"/>
      <c r="BL324" s="54">
        <v>722</v>
      </c>
      <c r="BW324" s="54">
        <v>21</v>
      </c>
      <c r="BX324" s="3" t="s">
        <v>587</v>
      </c>
    </row>
    <row r="325" spans="1:76" ht="40.5" customHeight="1" x14ac:dyDescent="0.35">
      <c r="A325" s="57"/>
      <c r="C325" s="62" t="s">
        <v>122</v>
      </c>
      <c r="D325" s="214" t="s">
        <v>588</v>
      </c>
      <c r="E325" s="215"/>
      <c r="F325" s="215"/>
      <c r="G325" s="215"/>
      <c r="H325" s="215"/>
      <c r="I325" s="215"/>
      <c r="J325" s="215"/>
      <c r="K325" s="215"/>
      <c r="L325" s="215"/>
      <c r="M325" s="216"/>
    </row>
    <row r="326" spans="1:76" ht="14.5" x14ac:dyDescent="0.35">
      <c r="A326" s="57"/>
      <c r="D326" s="58" t="s">
        <v>572</v>
      </c>
      <c r="E326" s="59" t="s">
        <v>573</v>
      </c>
      <c r="G326" s="60">
        <v>2</v>
      </c>
      <c r="M326" s="61"/>
    </row>
    <row r="327" spans="1:76" ht="13.5" customHeight="1" x14ac:dyDescent="0.35">
      <c r="A327" s="57"/>
      <c r="C327" s="71" t="s">
        <v>589</v>
      </c>
      <c r="D327" s="219" t="s">
        <v>590</v>
      </c>
      <c r="E327" s="220"/>
      <c r="F327" s="220"/>
      <c r="G327" s="220"/>
      <c r="H327" s="220"/>
      <c r="I327" s="220"/>
      <c r="J327" s="220"/>
      <c r="K327" s="220"/>
      <c r="L327" s="220"/>
      <c r="M327" s="221"/>
    </row>
    <row r="328" spans="1:76" ht="14.5" x14ac:dyDescent="0.35">
      <c r="A328" s="1" t="s">
        <v>591</v>
      </c>
      <c r="B328" s="2" t="s">
        <v>103</v>
      </c>
      <c r="C328" s="2" t="s">
        <v>592</v>
      </c>
      <c r="D328" s="155" t="s">
        <v>593</v>
      </c>
      <c r="E328" s="153"/>
      <c r="F328" s="2" t="s">
        <v>581</v>
      </c>
      <c r="G328" s="54">
        <f>'Stavební rozpočet'!G244</f>
        <v>2</v>
      </c>
      <c r="H328" s="94">
        <f>'Stavební rozpočet'!H244</f>
        <v>0</v>
      </c>
      <c r="I328" s="54">
        <f>G328*H328</f>
        <v>0</v>
      </c>
      <c r="J328" s="54">
        <f>'Stavební rozpočet'!J244</f>
        <v>0</v>
      </c>
      <c r="K328" s="54">
        <f>'Stavební rozpočet'!K244</f>
        <v>0</v>
      </c>
      <c r="L328" s="54">
        <f>G328*J328</f>
        <v>0</v>
      </c>
      <c r="M328" s="55" t="s">
        <v>10</v>
      </c>
      <c r="Z328" s="54">
        <f>IF(AQ328="5",BJ328,0)</f>
        <v>0</v>
      </c>
      <c r="AB328" s="54">
        <f>IF(AQ328="1",BH328,0)</f>
        <v>0</v>
      </c>
      <c r="AC328" s="54">
        <f>IF(AQ328="1",BI328,0)</f>
        <v>0</v>
      </c>
      <c r="AD328" s="54">
        <f>IF(AQ328="7",BH328,0)</f>
        <v>0</v>
      </c>
      <c r="AE328" s="54">
        <f>IF(AQ328="7",BI328,0)</f>
        <v>0</v>
      </c>
      <c r="AF328" s="54">
        <f>IF(AQ328="2",BH328,0)</f>
        <v>0</v>
      </c>
      <c r="AG328" s="54">
        <f>IF(AQ328="2",BI328,0)</f>
        <v>0</v>
      </c>
      <c r="AH328" s="54">
        <f>IF(AQ328="0",BJ328,0)</f>
        <v>0</v>
      </c>
      <c r="AI328" s="34" t="s">
        <v>103</v>
      </c>
      <c r="AJ328" s="54">
        <f>IF(AN328=0,I328,0)</f>
        <v>0</v>
      </c>
      <c r="AK328" s="54">
        <f>IF(AN328=12,I328,0)</f>
        <v>0</v>
      </c>
      <c r="AL328" s="54">
        <f>IF(AN328=21,I328,0)</f>
        <v>0</v>
      </c>
      <c r="AN328" s="54">
        <v>21</v>
      </c>
      <c r="AO328" s="54">
        <f>H328*0.904159132</f>
        <v>0</v>
      </c>
      <c r="AP328" s="54">
        <f>H328*(1-0.904159132)</f>
        <v>0</v>
      </c>
      <c r="AQ328" s="56" t="s">
        <v>168</v>
      </c>
      <c r="AV328" s="54">
        <f>AW328+AX328</f>
        <v>0</v>
      </c>
      <c r="AW328" s="54">
        <f>G328*AO328</f>
        <v>0</v>
      </c>
      <c r="AX328" s="54">
        <f>G328*AP328</f>
        <v>0</v>
      </c>
      <c r="AY328" s="56" t="s">
        <v>493</v>
      </c>
      <c r="AZ328" s="56" t="s">
        <v>418</v>
      </c>
      <c r="BA328" s="34" t="s">
        <v>114</v>
      </c>
      <c r="BC328" s="54">
        <f>AW328+AX328</f>
        <v>0</v>
      </c>
      <c r="BD328" s="54">
        <f>H328/(100-BE328)*100</f>
        <v>0</v>
      </c>
      <c r="BE328" s="54">
        <v>0</v>
      </c>
      <c r="BF328" s="54">
        <f>L328</f>
        <v>0</v>
      </c>
      <c r="BH328" s="54">
        <f>G328*AO328</f>
        <v>0</v>
      </c>
      <c r="BI328" s="54">
        <f>G328*AP328</f>
        <v>0</v>
      </c>
      <c r="BJ328" s="54">
        <f>G328*H328</f>
        <v>0</v>
      </c>
      <c r="BK328" s="54"/>
      <c r="BL328" s="54">
        <v>722</v>
      </c>
      <c r="BW328" s="54">
        <v>21</v>
      </c>
      <c r="BX328" s="3" t="s">
        <v>593</v>
      </c>
    </row>
    <row r="329" spans="1:76" ht="67.5" customHeight="1" x14ac:dyDescent="0.35">
      <c r="A329" s="57"/>
      <c r="C329" s="62" t="s">
        <v>122</v>
      </c>
      <c r="D329" s="214" t="s">
        <v>594</v>
      </c>
      <c r="E329" s="215"/>
      <c r="F329" s="215"/>
      <c r="G329" s="215"/>
      <c r="H329" s="215"/>
      <c r="I329" s="215"/>
      <c r="J329" s="215"/>
      <c r="K329" s="215"/>
      <c r="L329" s="215"/>
      <c r="M329" s="216"/>
    </row>
    <row r="330" spans="1:76" ht="14.5" x14ac:dyDescent="0.35">
      <c r="A330" s="57"/>
      <c r="D330" s="58" t="s">
        <v>572</v>
      </c>
      <c r="E330" s="59" t="s">
        <v>573</v>
      </c>
      <c r="G330" s="60">
        <v>2</v>
      </c>
      <c r="M330" s="61"/>
    </row>
    <row r="331" spans="1:76" ht="13.5" customHeight="1" x14ac:dyDescent="0.35">
      <c r="A331" s="57"/>
      <c r="C331" s="71" t="s">
        <v>589</v>
      </c>
      <c r="D331" s="219" t="s">
        <v>590</v>
      </c>
      <c r="E331" s="220"/>
      <c r="F331" s="220"/>
      <c r="G331" s="220"/>
      <c r="H331" s="220"/>
      <c r="I331" s="220"/>
      <c r="J331" s="220"/>
      <c r="K331" s="220"/>
      <c r="L331" s="220"/>
      <c r="M331" s="221"/>
    </row>
    <row r="332" spans="1:76" ht="14.5" x14ac:dyDescent="0.35">
      <c r="A332" s="1" t="s">
        <v>595</v>
      </c>
      <c r="B332" s="2" t="s">
        <v>103</v>
      </c>
      <c r="C332" s="2" t="s">
        <v>596</v>
      </c>
      <c r="D332" s="155" t="s">
        <v>597</v>
      </c>
      <c r="E332" s="153"/>
      <c r="F332" s="2" t="s">
        <v>196</v>
      </c>
      <c r="G332" s="54">
        <f>'Stavební rozpočet'!G246</f>
        <v>2</v>
      </c>
      <c r="H332" s="94">
        <f>'Stavební rozpočet'!H246</f>
        <v>0</v>
      </c>
      <c r="I332" s="54">
        <f>G332*H332</f>
        <v>0</v>
      </c>
      <c r="J332" s="54">
        <f>'Stavební rozpočet'!J246</f>
        <v>0</v>
      </c>
      <c r="K332" s="54">
        <f>'Stavební rozpočet'!K246</f>
        <v>0</v>
      </c>
      <c r="L332" s="54">
        <f>G332*J332</f>
        <v>0</v>
      </c>
      <c r="M332" s="55" t="s">
        <v>111</v>
      </c>
      <c r="Z332" s="54">
        <f>IF(AQ332="5",BJ332,0)</f>
        <v>0</v>
      </c>
      <c r="AB332" s="54">
        <f>IF(AQ332="1",BH332,0)</f>
        <v>0</v>
      </c>
      <c r="AC332" s="54">
        <f>IF(AQ332="1",BI332,0)</f>
        <v>0</v>
      </c>
      <c r="AD332" s="54">
        <f>IF(AQ332="7",BH332,0)</f>
        <v>0</v>
      </c>
      <c r="AE332" s="54">
        <f>IF(AQ332="7",BI332,0)</f>
        <v>0</v>
      </c>
      <c r="AF332" s="54">
        <f>IF(AQ332="2",BH332,0)</f>
        <v>0</v>
      </c>
      <c r="AG332" s="54">
        <f>IF(AQ332="2",BI332,0)</f>
        <v>0</v>
      </c>
      <c r="AH332" s="54">
        <f>IF(AQ332="0",BJ332,0)</f>
        <v>0</v>
      </c>
      <c r="AI332" s="34" t="s">
        <v>103</v>
      </c>
      <c r="AJ332" s="54">
        <f>IF(AN332=0,I332,0)</f>
        <v>0</v>
      </c>
      <c r="AK332" s="54">
        <f>IF(AN332=12,I332,0)</f>
        <v>0</v>
      </c>
      <c r="AL332" s="54">
        <f>IF(AN332=21,I332,0)</f>
        <v>0</v>
      </c>
      <c r="AN332" s="54">
        <v>21</v>
      </c>
      <c r="AO332" s="54">
        <f>H332*0</f>
        <v>0</v>
      </c>
      <c r="AP332" s="54">
        <f>H332*(1-0)</f>
        <v>0</v>
      </c>
      <c r="AQ332" s="56" t="s">
        <v>168</v>
      </c>
      <c r="AV332" s="54">
        <f>AW332+AX332</f>
        <v>0</v>
      </c>
      <c r="AW332" s="54">
        <f>G332*AO332</f>
        <v>0</v>
      </c>
      <c r="AX332" s="54">
        <f>G332*AP332</f>
        <v>0</v>
      </c>
      <c r="AY332" s="56" t="s">
        <v>493</v>
      </c>
      <c r="AZ332" s="56" t="s">
        <v>418</v>
      </c>
      <c r="BA332" s="34" t="s">
        <v>114</v>
      </c>
      <c r="BC332" s="54">
        <f>AW332+AX332</f>
        <v>0</v>
      </c>
      <c r="BD332" s="54">
        <f>H332/(100-BE332)*100</f>
        <v>0</v>
      </c>
      <c r="BE332" s="54">
        <v>0</v>
      </c>
      <c r="BF332" s="54">
        <f>L332</f>
        <v>0</v>
      </c>
      <c r="BH332" s="54">
        <f>G332*AO332</f>
        <v>0</v>
      </c>
      <c r="BI332" s="54">
        <f>G332*AP332</f>
        <v>0</v>
      </c>
      <c r="BJ332" s="54">
        <f>G332*H332</f>
        <v>0</v>
      </c>
      <c r="BK332" s="54"/>
      <c r="BL332" s="54">
        <v>722</v>
      </c>
      <c r="BW332" s="54">
        <v>21</v>
      </c>
      <c r="BX332" s="3" t="s">
        <v>597</v>
      </c>
    </row>
    <row r="333" spans="1:76" ht="14.5" x14ac:dyDescent="0.35">
      <c r="A333" s="57"/>
      <c r="D333" s="58" t="s">
        <v>572</v>
      </c>
      <c r="E333" s="59" t="s">
        <v>573</v>
      </c>
      <c r="G333" s="60">
        <v>2</v>
      </c>
      <c r="M333" s="61"/>
    </row>
    <row r="334" spans="1:76" ht="14.5" x14ac:dyDescent="0.35">
      <c r="A334" s="1" t="s">
        <v>598</v>
      </c>
      <c r="B334" s="2" t="s">
        <v>103</v>
      </c>
      <c r="C334" s="2" t="s">
        <v>599</v>
      </c>
      <c r="D334" s="155" t="s">
        <v>600</v>
      </c>
      <c r="E334" s="153"/>
      <c r="F334" s="2" t="s">
        <v>196</v>
      </c>
      <c r="G334" s="54">
        <f>'Stavební rozpočet'!G248</f>
        <v>2</v>
      </c>
      <c r="H334" s="94">
        <f>'Stavební rozpočet'!H248</f>
        <v>0</v>
      </c>
      <c r="I334" s="54">
        <f>G334*H334</f>
        <v>0</v>
      </c>
      <c r="J334" s="54">
        <f>'Stavební rozpočet'!J248</f>
        <v>0</v>
      </c>
      <c r="K334" s="54">
        <f>'Stavební rozpočet'!K248</f>
        <v>0</v>
      </c>
      <c r="L334" s="54">
        <f>G334*J334</f>
        <v>0</v>
      </c>
      <c r="M334" s="55" t="s">
        <v>111</v>
      </c>
      <c r="Z334" s="54">
        <f>IF(AQ334="5",BJ334,0)</f>
        <v>0</v>
      </c>
      <c r="AB334" s="54">
        <f>IF(AQ334="1",BH334,0)</f>
        <v>0</v>
      </c>
      <c r="AC334" s="54">
        <f>IF(AQ334="1",BI334,0)</f>
        <v>0</v>
      </c>
      <c r="AD334" s="54">
        <f>IF(AQ334="7",BH334,0)</f>
        <v>0</v>
      </c>
      <c r="AE334" s="54">
        <f>IF(AQ334="7",BI334,0)</f>
        <v>0</v>
      </c>
      <c r="AF334" s="54">
        <f>IF(AQ334="2",BH334,0)</f>
        <v>0</v>
      </c>
      <c r="AG334" s="54">
        <f>IF(AQ334="2",BI334,0)</f>
        <v>0</v>
      </c>
      <c r="AH334" s="54">
        <f>IF(AQ334="0",BJ334,0)</f>
        <v>0</v>
      </c>
      <c r="AI334" s="34" t="s">
        <v>103</v>
      </c>
      <c r="AJ334" s="54">
        <f>IF(AN334=0,I334,0)</f>
        <v>0</v>
      </c>
      <c r="AK334" s="54">
        <f>IF(AN334=12,I334,0)</f>
        <v>0</v>
      </c>
      <c r="AL334" s="54">
        <f>IF(AN334=21,I334,0)</f>
        <v>0</v>
      </c>
      <c r="AN334" s="54">
        <v>21</v>
      </c>
      <c r="AO334" s="54">
        <f>H334*0</f>
        <v>0</v>
      </c>
      <c r="AP334" s="54">
        <f>H334*(1-0)</f>
        <v>0</v>
      </c>
      <c r="AQ334" s="56" t="s">
        <v>168</v>
      </c>
      <c r="AV334" s="54">
        <f>AW334+AX334</f>
        <v>0</v>
      </c>
      <c r="AW334" s="54">
        <f>G334*AO334</f>
        <v>0</v>
      </c>
      <c r="AX334" s="54">
        <f>G334*AP334</f>
        <v>0</v>
      </c>
      <c r="AY334" s="56" t="s">
        <v>493</v>
      </c>
      <c r="AZ334" s="56" t="s">
        <v>418</v>
      </c>
      <c r="BA334" s="34" t="s">
        <v>114</v>
      </c>
      <c r="BC334" s="54">
        <f>AW334+AX334</f>
        <v>0</v>
      </c>
      <c r="BD334" s="54">
        <f>H334/(100-BE334)*100</f>
        <v>0</v>
      </c>
      <c r="BE334" s="54">
        <v>0</v>
      </c>
      <c r="BF334" s="54">
        <f>L334</f>
        <v>0</v>
      </c>
      <c r="BH334" s="54">
        <f>G334*AO334</f>
        <v>0</v>
      </c>
      <c r="BI334" s="54">
        <f>G334*AP334</f>
        <v>0</v>
      </c>
      <c r="BJ334" s="54">
        <f>G334*H334</f>
        <v>0</v>
      </c>
      <c r="BK334" s="54"/>
      <c r="BL334" s="54">
        <v>722</v>
      </c>
      <c r="BW334" s="54">
        <v>21</v>
      </c>
      <c r="BX334" s="3" t="s">
        <v>600</v>
      </c>
    </row>
    <row r="335" spans="1:76" ht="14.5" x14ac:dyDescent="0.35">
      <c r="A335" s="57"/>
      <c r="D335" s="58" t="s">
        <v>572</v>
      </c>
      <c r="E335" s="59" t="s">
        <v>573</v>
      </c>
      <c r="G335" s="60">
        <v>2</v>
      </c>
      <c r="M335" s="61"/>
    </row>
    <row r="336" spans="1:76" ht="14.5" x14ac:dyDescent="0.35">
      <c r="A336" s="57"/>
      <c r="C336" s="62" t="s">
        <v>156</v>
      </c>
      <c r="D336" s="211" t="s">
        <v>601</v>
      </c>
      <c r="E336" s="212"/>
      <c r="F336" s="212"/>
      <c r="G336" s="212"/>
      <c r="H336" s="212"/>
      <c r="I336" s="212"/>
      <c r="J336" s="212"/>
      <c r="K336" s="212"/>
      <c r="L336" s="212"/>
      <c r="M336" s="213"/>
      <c r="BX336" s="63" t="s">
        <v>601</v>
      </c>
    </row>
    <row r="337" spans="1:76" ht="14.5" x14ac:dyDescent="0.35">
      <c r="A337" s="1" t="s">
        <v>602</v>
      </c>
      <c r="B337" s="2" t="s">
        <v>103</v>
      </c>
      <c r="C337" s="2" t="s">
        <v>603</v>
      </c>
      <c r="D337" s="155" t="s">
        <v>604</v>
      </c>
      <c r="E337" s="153"/>
      <c r="F337" s="2" t="s">
        <v>153</v>
      </c>
      <c r="G337" s="54">
        <f>'Stavební rozpočet'!G250</f>
        <v>247.2</v>
      </c>
      <c r="H337" s="94">
        <f>'Stavební rozpočet'!H250</f>
        <v>0</v>
      </c>
      <c r="I337" s="54">
        <f>G337*H337</f>
        <v>0</v>
      </c>
      <c r="J337" s="54">
        <f>'Stavební rozpočet'!J250</f>
        <v>0</v>
      </c>
      <c r="K337" s="54">
        <f>'Stavební rozpočet'!K250</f>
        <v>0</v>
      </c>
      <c r="L337" s="54">
        <f>G337*J337</f>
        <v>0</v>
      </c>
      <c r="M337" s="55" t="s">
        <v>111</v>
      </c>
      <c r="Z337" s="54">
        <f>IF(AQ337="5",BJ337,0)</f>
        <v>0</v>
      </c>
      <c r="AB337" s="54">
        <f>IF(AQ337="1",BH337,0)</f>
        <v>0</v>
      </c>
      <c r="AC337" s="54">
        <f>IF(AQ337="1",BI337,0)</f>
        <v>0</v>
      </c>
      <c r="AD337" s="54">
        <f>IF(AQ337="7",BH337,0)</f>
        <v>0</v>
      </c>
      <c r="AE337" s="54">
        <f>IF(AQ337="7",BI337,0)</f>
        <v>0</v>
      </c>
      <c r="AF337" s="54">
        <f>IF(AQ337="2",BH337,0)</f>
        <v>0</v>
      </c>
      <c r="AG337" s="54">
        <f>IF(AQ337="2",BI337,0)</f>
        <v>0</v>
      </c>
      <c r="AH337" s="54">
        <f>IF(AQ337="0",BJ337,0)</f>
        <v>0</v>
      </c>
      <c r="AI337" s="34" t="s">
        <v>103</v>
      </c>
      <c r="AJ337" s="54">
        <f>IF(AN337=0,I337,0)</f>
        <v>0</v>
      </c>
      <c r="AK337" s="54">
        <f>IF(AN337=12,I337,0)</f>
        <v>0</v>
      </c>
      <c r="AL337" s="54">
        <f>IF(AN337=21,I337,0)</f>
        <v>0</v>
      </c>
      <c r="AN337" s="54">
        <v>21</v>
      </c>
      <c r="AO337" s="54">
        <f>H337*0.014893617</f>
        <v>0</v>
      </c>
      <c r="AP337" s="54">
        <f>H337*(1-0.014893617)</f>
        <v>0</v>
      </c>
      <c r="AQ337" s="56" t="s">
        <v>168</v>
      </c>
      <c r="AV337" s="54">
        <f>AW337+AX337</f>
        <v>0</v>
      </c>
      <c r="AW337" s="54">
        <f>G337*AO337</f>
        <v>0</v>
      </c>
      <c r="AX337" s="54">
        <f>G337*AP337</f>
        <v>0</v>
      </c>
      <c r="AY337" s="56" t="s">
        <v>493</v>
      </c>
      <c r="AZ337" s="56" t="s">
        <v>418</v>
      </c>
      <c r="BA337" s="34" t="s">
        <v>114</v>
      </c>
      <c r="BC337" s="54">
        <f>AW337+AX337</f>
        <v>0</v>
      </c>
      <c r="BD337" s="54">
        <f>H337/(100-BE337)*100</f>
        <v>0</v>
      </c>
      <c r="BE337" s="54">
        <v>0</v>
      </c>
      <c r="BF337" s="54">
        <f>L337</f>
        <v>0</v>
      </c>
      <c r="BH337" s="54">
        <f>G337*AO337</f>
        <v>0</v>
      </c>
      <c r="BI337" s="54">
        <f>G337*AP337</f>
        <v>0</v>
      </c>
      <c r="BJ337" s="54">
        <f>G337*H337</f>
        <v>0</v>
      </c>
      <c r="BK337" s="54"/>
      <c r="BL337" s="54">
        <v>722</v>
      </c>
      <c r="BW337" s="54">
        <v>21</v>
      </c>
      <c r="BX337" s="3" t="s">
        <v>604</v>
      </c>
    </row>
    <row r="338" spans="1:76" ht="14.5" x14ac:dyDescent="0.35">
      <c r="A338" s="57"/>
      <c r="D338" s="58" t="s">
        <v>208</v>
      </c>
      <c r="E338" s="59" t="s">
        <v>473</v>
      </c>
      <c r="G338" s="60">
        <v>0</v>
      </c>
      <c r="M338" s="61"/>
    </row>
    <row r="339" spans="1:76" ht="14.5" x14ac:dyDescent="0.35">
      <c r="A339" s="57"/>
      <c r="D339" s="58" t="s">
        <v>605</v>
      </c>
      <c r="E339" s="59" t="s">
        <v>10</v>
      </c>
      <c r="G339" s="60">
        <v>182.4</v>
      </c>
      <c r="M339" s="61"/>
    </row>
    <row r="340" spans="1:76" ht="14.5" x14ac:dyDescent="0.35">
      <c r="A340" s="57"/>
      <c r="D340" s="58" t="s">
        <v>606</v>
      </c>
      <c r="E340" s="59" t="s">
        <v>10</v>
      </c>
      <c r="G340" s="60">
        <v>64.8</v>
      </c>
      <c r="M340" s="61"/>
    </row>
    <row r="341" spans="1:76" ht="14.5" x14ac:dyDescent="0.35">
      <c r="A341" s="1" t="s">
        <v>607</v>
      </c>
      <c r="B341" s="2" t="s">
        <v>103</v>
      </c>
      <c r="C341" s="2" t="s">
        <v>608</v>
      </c>
      <c r="D341" s="155" t="s">
        <v>609</v>
      </c>
      <c r="E341" s="153"/>
      <c r="F341" s="2" t="s">
        <v>153</v>
      </c>
      <c r="G341" s="54">
        <f>'Stavební rozpočet'!G254</f>
        <v>247.2</v>
      </c>
      <c r="H341" s="94">
        <f>'Stavební rozpočet'!H254</f>
        <v>0</v>
      </c>
      <c r="I341" s="54">
        <f>G341*H341</f>
        <v>0</v>
      </c>
      <c r="J341" s="54">
        <f>'Stavební rozpočet'!J254</f>
        <v>1.0000000000000001E-5</v>
      </c>
      <c r="K341" s="54">
        <f>'Stavební rozpočet'!K254</f>
        <v>0</v>
      </c>
      <c r="L341" s="54">
        <f>G341*J341</f>
        <v>2.4720000000000002E-3</v>
      </c>
      <c r="M341" s="55" t="s">
        <v>111</v>
      </c>
      <c r="Z341" s="54">
        <f>IF(AQ341="5",BJ341,0)</f>
        <v>0</v>
      </c>
      <c r="AB341" s="54">
        <f>IF(AQ341="1",BH341,0)</f>
        <v>0</v>
      </c>
      <c r="AC341" s="54">
        <f>IF(AQ341="1",BI341,0)</f>
        <v>0</v>
      </c>
      <c r="AD341" s="54">
        <f>IF(AQ341="7",BH341,0)</f>
        <v>0</v>
      </c>
      <c r="AE341" s="54">
        <f>IF(AQ341="7",BI341,0)</f>
        <v>0</v>
      </c>
      <c r="AF341" s="54">
        <f>IF(AQ341="2",BH341,0)</f>
        <v>0</v>
      </c>
      <c r="AG341" s="54">
        <f>IF(AQ341="2",BI341,0)</f>
        <v>0</v>
      </c>
      <c r="AH341" s="54">
        <f>IF(AQ341="0",BJ341,0)</f>
        <v>0</v>
      </c>
      <c r="AI341" s="34" t="s">
        <v>103</v>
      </c>
      <c r="AJ341" s="54">
        <f>IF(AN341=0,I341,0)</f>
        <v>0</v>
      </c>
      <c r="AK341" s="54">
        <f>IF(AN341=12,I341,0)</f>
        <v>0</v>
      </c>
      <c r="AL341" s="54">
        <f>IF(AN341=21,I341,0)</f>
        <v>0</v>
      </c>
      <c r="AN341" s="54">
        <v>21</v>
      </c>
      <c r="AO341" s="54">
        <f>H341*0.051682692</f>
        <v>0</v>
      </c>
      <c r="AP341" s="54">
        <f>H341*(1-0.051682692)</f>
        <v>0</v>
      </c>
      <c r="AQ341" s="56" t="s">
        <v>168</v>
      </c>
      <c r="AV341" s="54">
        <f>AW341+AX341</f>
        <v>0</v>
      </c>
      <c r="AW341" s="54">
        <f>G341*AO341</f>
        <v>0</v>
      </c>
      <c r="AX341" s="54">
        <f>G341*AP341</f>
        <v>0</v>
      </c>
      <c r="AY341" s="56" t="s">
        <v>493</v>
      </c>
      <c r="AZ341" s="56" t="s">
        <v>418</v>
      </c>
      <c r="BA341" s="34" t="s">
        <v>114</v>
      </c>
      <c r="BC341" s="54">
        <f>AW341+AX341</f>
        <v>0</v>
      </c>
      <c r="BD341" s="54">
        <f>H341/(100-BE341)*100</f>
        <v>0</v>
      </c>
      <c r="BE341" s="54">
        <v>0</v>
      </c>
      <c r="BF341" s="54">
        <f>L341</f>
        <v>2.4720000000000002E-3</v>
      </c>
      <c r="BH341" s="54">
        <f>G341*AO341</f>
        <v>0</v>
      </c>
      <c r="BI341" s="54">
        <f>G341*AP341</f>
        <v>0</v>
      </c>
      <c r="BJ341" s="54">
        <f>G341*H341</f>
        <v>0</v>
      </c>
      <c r="BK341" s="54"/>
      <c r="BL341" s="54">
        <v>722</v>
      </c>
      <c r="BW341" s="54">
        <v>21</v>
      </c>
      <c r="BX341" s="3" t="s">
        <v>609</v>
      </c>
    </row>
    <row r="342" spans="1:76" ht="14.5" x14ac:dyDescent="0.35">
      <c r="A342" s="57"/>
      <c r="D342" s="58" t="s">
        <v>208</v>
      </c>
      <c r="E342" s="59" t="s">
        <v>473</v>
      </c>
      <c r="G342" s="60">
        <v>0</v>
      </c>
      <c r="M342" s="61"/>
    </row>
    <row r="343" spans="1:76" ht="14.5" x14ac:dyDescent="0.35">
      <c r="A343" s="57"/>
      <c r="D343" s="58" t="s">
        <v>605</v>
      </c>
      <c r="E343" s="59" t="s">
        <v>10</v>
      </c>
      <c r="G343" s="60">
        <v>182.4</v>
      </c>
      <c r="M343" s="61"/>
    </row>
    <row r="344" spans="1:76" ht="14.5" x14ac:dyDescent="0.35">
      <c r="A344" s="57"/>
      <c r="D344" s="58" t="s">
        <v>606</v>
      </c>
      <c r="E344" s="59" t="s">
        <v>10</v>
      </c>
      <c r="G344" s="60">
        <v>64.8</v>
      </c>
      <c r="M344" s="61"/>
    </row>
    <row r="345" spans="1:76" ht="14.5" x14ac:dyDescent="0.35">
      <c r="A345" s="1" t="s">
        <v>610</v>
      </c>
      <c r="B345" s="2" t="s">
        <v>103</v>
      </c>
      <c r="C345" s="2" t="s">
        <v>611</v>
      </c>
      <c r="D345" s="155" t="s">
        <v>612</v>
      </c>
      <c r="E345" s="153"/>
      <c r="F345" s="2" t="s">
        <v>412</v>
      </c>
      <c r="G345" s="54">
        <f>'Stavební rozpočet'!G258</f>
        <v>0.217</v>
      </c>
      <c r="H345" s="94">
        <f>'Stavební rozpočet'!H258</f>
        <v>0</v>
      </c>
      <c r="I345" s="54">
        <f>G345*H345</f>
        <v>0</v>
      </c>
      <c r="J345" s="54">
        <f>'Stavební rozpočet'!J258</f>
        <v>0</v>
      </c>
      <c r="K345" s="54">
        <f>'Stavební rozpočet'!K258</f>
        <v>0</v>
      </c>
      <c r="L345" s="54">
        <f>G345*J345</f>
        <v>0</v>
      </c>
      <c r="M345" s="55" t="s">
        <v>111</v>
      </c>
      <c r="Z345" s="54">
        <f>IF(AQ345="5",BJ345,0)</f>
        <v>0</v>
      </c>
      <c r="AB345" s="54">
        <f>IF(AQ345="1",BH345,0)</f>
        <v>0</v>
      </c>
      <c r="AC345" s="54">
        <f>IF(AQ345="1",BI345,0)</f>
        <v>0</v>
      </c>
      <c r="AD345" s="54">
        <f>IF(AQ345="7",BH345,0)</f>
        <v>0</v>
      </c>
      <c r="AE345" s="54">
        <f>IF(AQ345="7",BI345,0)</f>
        <v>0</v>
      </c>
      <c r="AF345" s="54">
        <f>IF(AQ345="2",BH345,0)</f>
        <v>0</v>
      </c>
      <c r="AG345" s="54">
        <f>IF(AQ345="2",BI345,0)</f>
        <v>0</v>
      </c>
      <c r="AH345" s="54">
        <f>IF(AQ345="0",BJ345,0)</f>
        <v>0</v>
      </c>
      <c r="AI345" s="34" t="s">
        <v>103</v>
      </c>
      <c r="AJ345" s="54">
        <f>IF(AN345=0,I345,0)</f>
        <v>0</v>
      </c>
      <c r="AK345" s="54">
        <f>IF(AN345=12,I345,0)</f>
        <v>0</v>
      </c>
      <c r="AL345" s="54">
        <f>IF(AN345=21,I345,0)</f>
        <v>0</v>
      </c>
      <c r="AN345" s="54">
        <v>21</v>
      </c>
      <c r="AO345" s="54">
        <f>H345*0</f>
        <v>0</v>
      </c>
      <c r="AP345" s="54">
        <f>H345*(1-0)</f>
        <v>0</v>
      </c>
      <c r="AQ345" s="56" t="s">
        <v>150</v>
      </c>
      <c r="AV345" s="54">
        <f>AW345+AX345</f>
        <v>0</v>
      </c>
      <c r="AW345" s="54">
        <f>G345*AO345</f>
        <v>0</v>
      </c>
      <c r="AX345" s="54">
        <f>G345*AP345</f>
        <v>0</v>
      </c>
      <c r="AY345" s="56" t="s">
        <v>493</v>
      </c>
      <c r="AZ345" s="56" t="s">
        <v>418</v>
      </c>
      <c r="BA345" s="34" t="s">
        <v>114</v>
      </c>
      <c r="BC345" s="54">
        <f>AW345+AX345</f>
        <v>0</v>
      </c>
      <c r="BD345" s="54">
        <f>H345/(100-BE345)*100</f>
        <v>0</v>
      </c>
      <c r="BE345" s="54">
        <v>0</v>
      </c>
      <c r="BF345" s="54">
        <f>L345</f>
        <v>0</v>
      </c>
      <c r="BH345" s="54">
        <f>G345*AO345</f>
        <v>0</v>
      </c>
      <c r="BI345" s="54">
        <f>G345*AP345</f>
        <v>0</v>
      </c>
      <c r="BJ345" s="54">
        <f>G345*H345</f>
        <v>0</v>
      </c>
      <c r="BK345" s="54"/>
      <c r="BL345" s="54">
        <v>722</v>
      </c>
      <c r="BW345" s="54">
        <v>21</v>
      </c>
      <c r="BX345" s="3" t="s">
        <v>612</v>
      </c>
    </row>
    <row r="346" spans="1:76" ht="14.5" x14ac:dyDescent="0.35">
      <c r="A346" s="1" t="s">
        <v>613</v>
      </c>
      <c r="B346" s="2" t="s">
        <v>103</v>
      </c>
      <c r="C346" s="2" t="s">
        <v>614</v>
      </c>
      <c r="D346" s="155" t="s">
        <v>615</v>
      </c>
      <c r="E346" s="153"/>
      <c r="F346" s="2" t="s">
        <v>581</v>
      </c>
      <c r="G346" s="54">
        <f>'Stavební rozpočet'!G259</f>
        <v>1</v>
      </c>
      <c r="H346" s="94">
        <f>'Stavební rozpočet'!H259</f>
        <v>0</v>
      </c>
      <c r="I346" s="54">
        <f>G346*H346</f>
        <v>0</v>
      </c>
      <c r="J346" s="54">
        <f>'Stavební rozpočet'!J259</f>
        <v>0</v>
      </c>
      <c r="K346" s="54">
        <f>'Stavební rozpočet'!K259</f>
        <v>0</v>
      </c>
      <c r="L346" s="54">
        <f>G346*J346</f>
        <v>0</v>
      </c>
      <c r="M346" s="55" t="s">
        <v>616</v>
      </c>
      <c r="Z346" s="54">
        <f>IF(AQ346="5",BJ346,0)</f>
        <v>0</v>
      </c>
      <c r="AB346" s="54">
        <f>IF(AQ346="1",BH346,0)</f>
        <v>0</v>
      </c>
      <c r="AC346" s="54">
        <f>IF(AQ346="1",BI346,0)</f>
        <v>0</v>
      </c>
      <c r="AD346" s="54">
        <f>IF(AQ346="7",BH346,0)</f>
        <v>0</v>
      </c>
      <c r="AE346" s="54">
        <f>IF(AQ346="7",BI346,0)</f>
        <v>0</v>
      </c>
      <c r="AF346" s="54">
        <f>IF(AQ346="2",BH346,0)</f>
        <v>0</v>
      </c>
      <c r="AG346" s="54">
        <f>IF(AQ346="2",BI346,0)</f>
        <v>0</v>
      </c>
      <c r="AH346" s="54">
        <f>IF(AQ346="0",BJ346,0)</f>
        <v>0</v>
      </c>
      <c r="AI346" s="34" t="s">
        <v>103</v>
      </c>
      <c r="AJ346" s="54">
        <f>IF(AN346=0,I346,0)</f>
        <v>0</v>
      </c>
      <c r="AK346" s="54">
        <f>IF(AN346=12,I346,0)</f>
        <v>0</v>
      </c>
      <c r="AL346" s="54">
        <f>IF(AN346=21,I346,0)</f>
        <v>0</v>
      </c>
      <c r="AN346" s="54">
        <v>21</v>
      </c>
      <c r="AO346" s="54">
        <f>H346*0</f>
        <v>0</v>
      </c>
      <c r="AP346" s="54">
        <f>H346*(1-0)</f>
        <v>0</v>
      </c>
      <c r="AQ346" s="56" t="s">
        <v>168</v>
      </c>
      <c r="AV346" s="54">
        <f>AW346+AX346</f>
        <v>0</v>
      </c>
      <c r="AW346" s="54">
        <f>G346*AO346</f>
        <v>0</v>
      </c>
      <c r="AX346" s="54">
        <f>G346*AP346</f>
        <v>0</v>
      </c>
      <c r="AY346" s="56" t="s">
        <v>493</v>
      </c>
      <c r="AZ346" s="56" t="s">
        <v>418</v>
      </c>
      <c r="BA346" s="34" t="s">
        <v>114</v>
      </c>
      <c r="BC346" s="54">
        <f>AW346+AX346</f>
        <v>0</v>
      </c>
      <c r="BD346" s="54">
        <f>H346/(100-BE346)*100</f>
        <v>0</v>
      </c>
      <c r="BE346" s="54">
        <v>0</v>
      </c>
      <c r="BF346" s="54">
        <f>L346</f>
        <v>0</v>
      </c>
      <c r="BH346" s="54">
        <f>G346*AO346</f>
        <v>0</v>
      </c>
      <c r="BI346" s="54">
        <f>G346*AP346</f>
        <v>0</v>
      </c>
      <c r="BJ346" s="54">
        <f>G346*H346</f>
        <v>0</v>
      </c>
      <c r="BK346" s="54"/>
      <c r="BL346" s="54">
        <v>722</v>
      </c>
      <c r="BW346" s="54">
        <v>21</v>
      </c>
      <c r="BX346" s="3" t="s">
        <v>615</v>
      </c>
    </row>
    <row r="347" spans="1:76" ht="14.5" x14ac:dyDescent="0.35">
      <c r="A347" s="50" t="s">
        <v>10</v>
      </c>
      <c r="B347" s="51" t="s">
        <v>103</v>
      </c>
      <c r="C347" s="51" t="s">
        <v>617</v>
      </c>
      <c r="D347" s="206" t="s">
        <v>618</v>
      </c>
      <c r="E347" s="207"/>
      <c r="F347" s="52" t="s">
        <v>84</v>
      </c>
      <c r="G347" s="52" t="s">
        <v>84</v>
      </c>
      <c r="H347" s="52" t="s">
        <v>84</v>
      </c>
      <c r="I347" s="27">
        <f>SUM(I348:I397)</f>
        <v>0</v>
      </c>
      <c r="J347" s="34" t="s">
        <v>10</v>
      </c>
      <c r="K347" s="34" t="s">
        <v>10</v>
      </c>
      <c r="L347" s="27">
        <f>SUM(L348:L397)</f>
        <v>13.708440000000001</v>
      </c>
      <c r="M347" s="53" t="s">
        <v>10</v>
      </c>
      <c r="AI347" s="34" t="s">
        <v>103</v>
      </c>
      <c r="AS347" s="27">
        <f>SUM(AJ348:AJ397)</f>
        <v>0</v>
      </c>
      <c r="AT347" s="27">
        <f>SUM(AK348:AK397)</f>
        <v>0</v>
      </c>
      <c r="AU347" s="27">
        <f>SUM(AL348:AL397)</f>
        <v>0</v>
      </c>
    </row>
    <row r="348" spans="1:76" ht="14.5" x14ac:dyDescent="0.35">
      <c r="A348" s="1" t="s">
        <v>619</v>
      </c>
      <c r="B348" s="2" t="s">
        <v>103</v>
      </c>
      <c r="C348" s="2" t="s">
        <v>620</v>
      </c>
      <c r="D348" s="155" t="s">
        <v>621</v>
      </c>
      <c r="E348" s="153"/>
      <c r="F348" s="2" t="s">
        <v>481</v>
      </c>
      <c r="G348" s="54">
        <f>'Stavební rozpočet'!G261</f>
        <v>48</v>
      </c>
      <c r="H348" s="94">
        <f>'Stavební rozpočet'!H261</f>
        <v>0</v>
      </c>
      <c r="I348" s="54">
        <f>G348*H348</f>
        <v>0</v>
      </c>
      <c r="J348" s="54">
        <f>'Stavební rozpočet'!J261</f>
        <v>1.4749999999999999E-2</v>
      </c>
      <c r="K348" s="54">
        <f>'Stavební rozpočet'!K261</f>
        <v>0</v>
      </c>
      <c r="L348" s="54">
        <f>G348*J348</f>
        <v>0.70799999999999996</v>
      </c>
      <c r="M348" s="55" t="s">
        <v>10</v>
      </c>
      <c r="Z348" s="54">
        <f>IF(AQ348="5",BJ348,0)</f>
        <v>0</v>
      </c>
      <c r="AB348" s="54">
        <f>IF(AQ348="1",BH348,0)</f>
        <v>0</v>
      </c>
      <c r="AC348" s="54">
        <f>IF(AQ348="1",BI348,0)</f>
        <v>0</v>
      </c>
      <c r="AD348" s="54">
        <f>IF(AQ348="7",BH348,0)</f>
        <v>0</v>
      </c>
      <c r="AE348" s="54">
        <f>IF(AQ348="7",BI348,0)</f>
        <v>0</v>
      </c>
      <c r="AF348" s="54">
        <f>IF(AQ348="2",BH348,0)</f>
        <v>0</v>
      </c>
      <c r="AG348" s="54">
        <f>IF(AQ348="2",BI348,0)</f>
        <v>0</v>
      </c>
      <c r="AH348" s="54">
        <f>IF(AQ348="0",BJ348,0)</f>
        <v>0</v>
      </c>
      <c r="AI348" s="34" t="s">
        <v>103</v>
      </c>
      <c r="AJ348" s="54">
        <f>IF(AN348=0,I348,0)</f>
        <v>0</v>
      </c>
      <c r="AK348" s="54">
        <f>IF(AN348=12,I348,0)</f>
        <v>0</v>
      </c>
      <c r="AL348" s="54">
        <f>IF(AN348=21,I348,0)</f>
        <v>0</v>
      </c>
      <c r="AN348" s="54">
        <v>21</v>
      </c>
      <c r="AO348" s="54">
        <f>H348*0.815787879</f>
        <v>0</v>
      </c>
      <c r="AP348" s="54">
        <f>H348*(1-0.815787879)</f>
        <v>0</v>
      </c>
      <c r="AQ348" s="56" t="s">
        <v>168</v>
      </c>
      <c r="AV348" s="54">
        <f>AW348+AX348</f>
        <v>0</v>
      </c>
      <c r="AW348" s="54">
        <f>G348*AO348</f>
        <v>0</v>
      </c>
      <c r="AX348" s="54">
        <f>G348*AP348</f>
        <v>0</v>
      </c>
      <c r="AY348" s="56" t="s">
        <v>622</v>
      </c>
      <c r="AZ348" s="56" t="s">
        <v>418</v>
      </c>
      <c r="BA348" s="34" t="s">
        <v>114</v>
      </c>
      <c r="BC348" s="54">
        <f>AW348+AX348</f>
        <v>0</v>
      </c>
      <c r="BD348" s="54">
        <f>H348/(100-BE348)*100</f>
        <v>0</v>
      </c>
      <c r="BE348" s="54">
        <v>0</v>
      </c>
      <c r="BF348" s="54">
        <f>L348</f>
        <v>0.70799999999999996</v>
      </c>
      <c r="BH348" s="54">
        <f>G348*AO348</f>
        <v>0</v>
      </c>
      <c r="BI348" s="54">
        <f>G348*AP348</f>
        <v>0</v>
      </c>
      <c r="BJ348" s="54">
        <f>G348*H348</f>
        <v>0</v>
      </c>
      <c r="BK348" s="54"/>
      <c r="BL348" s="54">
        <v>725</v>
      </c>
      <c r="BW348" s="54">
        <v>21</v>
      </c>
      <c r="BX348" s="3" t="s">
        <v>621</v>
      </c>
    </row>
    <row r="349" spans="1:76" ht="13.5" customHeight="1" x14ac:dyDescent="0.35">
      <c r="A349" s="57"/>
      <c r="C349" s="62" t="s">
        <v>122</v>
      </c>
      <c r="D349" s="214" t="s">
        <v>623</v>
      </c>
      <c r="E349" s="215"/>
      <c r="F349" s="215"/>
      <c r="G349" s="215"/>
      <c r="H349" s="215"/>
      <c r="I349" s="215"/>
      <c r="J349" s="215"/>
      <c r="K349" s="215"/>
      <c r="L349" s="215"/>
      <c r="M349" s="216"/>
    </row>
    <row r="350" spans="1:76" ht="14.5" x14ac:dyDescent="0.35">
      <c r="A350" s="57"/>
      <c r="D350" s="58" t="s">
        <v>483</v>
      </c>
      <c r="E350" s="59" t="s">
        <v>624</v>
      </c>
      <c r="G350" s="60">
        <v>48</v>
      </c>
      <c r="M350" s="61"/>
    </row>
    <row r="351" spans="1:76" ht="14.5" x14ac:dyDescent="0.35">
      <c r="A351" s="1" t="s">
        <v>625</v>
      </c>
      <c r="B351" s="2" t="s">
        <v>103</v>
      </c>
      <c r="C351" s="2" t="s">
        <v>626</v>
      </c>
      <c r="D351" s="155" t="s">
        <v>627</v>
      </c>
      <c r="E351" s="153"/>
      <c r="F351" s="2" t="s">
        <v>581</v>
      </c>
      <c r="G351" s="54">
        <f>'Stavební rozpočet'!G263</f>
        <v>1</v>
      </c>
      <c r="H351" s="94">
        <f>'Stavební rozpočet'!H263</f>
        <v>0</v>
      </c>
      <c r="I351" s="54">
        <f>G351*H351</f>
        <v>0</v>
      </c>
      <c r="J351" s="54">
        <f>'Stavební rozpočet'!J263</f>
        <v>1.4420000000000001E-2</v>
      </c>
      <c r="K351" s="54">
        <f>'Stavební rozpočet'!K263</f>
        <v>0</v>
      </c>
      <c r="L351" s="54">
        <f>G351*J351</f>
        <v>1.4420000000000001E-2</v>
      </c>
      <c r="M351" s="55" t="s">
        <v>10</v>
      </c>
      <c r="Z351" s="54">
        <f>IF(AQ351="5",BJ351,0)</f>
        <v>0</v>
      </c>
      <c r="AB351" s="54">
        <f>IF(AQ351="1",BH351,0)</f>
        <v>0</v>
      </c>
      <c r="AC351" s="54">
        <f>IF(AQ351="1",BI351,0)</f>
        <v>0</v>
      </c>
      <c r="AD351" s="54">
        <f>IF(AQ351="7",BH351,0)</f>
        <v>0</v>
      </c>
      <c r="AE351" s="54">
        <f>IF(AQ351="7",BI351,0)</f>
        <v>0</v>
      </c>
      <c r="AF351" s="54">
        <f>IF(AQ351="2",BH351,0)</f>
        <v>0</v>
      </c>
      <c r="AG351" s="54">
        <f>IF(AQ351="2",BI351,0)</f>
        <v>0</v>
      </c>
      <c r="AH351" s="54">
        <f>IF(AQ351="0",BJ351,0)</f>
        <v>0</v>
      </c>
      <c r="AI351" s="34" t="s">
        <v>103</v>
      </c>
      <c r="AJ351" s="54">
        <f>IF(AN351=0,I351,0)</f>
        <v>0</v>
      </c>
      <c r="AK351" s="54">
        <f>IF(AN351=12,I351,0)</f>
        <v>0</v>
      </c>
      <c r="AL351" s="54">
        <f>IF(AN351=21,I351,0)</f>
        <v>0</v>
      </c>
      <c r="AN351" s="54">
        <v>21</v>
      </c>
      <c r="AO351" s="54">
        <f>H351*0.88264071</f>
        <v>0</v>
      </c>
      <c r="AP351" s="54">
        <f>H351*(1-0.88264071)</f>
        <v>0</v>
      </c>
      <c r="AQ351" s="56" t="s">
        <v>168</v>
      </c>
      <c r="AV351" s="54">
        <f>AW351+AX351</f>
        <v>0</v>
      </c>
      <c r="AW351" s="54">
        <f>G351*AO351</f>
        <v>0</v>
      </c>
      <c r="AX351" s="54">
        <f>G351*AP351</f>
        <v>0</v>
      </c>
      <c r="AY351" s="56" t="s">
        <v>622</v>
      </c>
      <c r="AZ351" s="56" t="s">
        <v>418</v>
      </c>
      <c r="BA351" s="34" t="s">
        <v>114</v>
      </c>
      <c r="BC351" s="54">
        <f>AW351+AX351</f>
        <v>0</v>
      </c>
      <c r="BD351" s="54">
        <f>H351/(100-BE351)*100</f>
        <v>0</v>
      </c>
      <c r="BE351" s="54">
        <v>0</v>
      </c>
      <c r="BF351" s="54">
        <f>L351</f>
        <v>1.4420000000000001E-2</v>
      </c>
      <c r="BH351" s="54">
        <f>G351*AO351</f>
        <v>0</v>
      </c>
      <c r="BI351" s="54">
        <f>G351*AP351</f>
        <v>0</v>
      </c>
      <c r="BJ351" s="54">
        <f>G351*H351</f>
        <v>0</v>
      </c>
      <c r="BK351" s="54"/>
      <c r="BL351" s="54">
        <v>725</v>
      </c>
      <c r="BW351" s="54">
        <v>21</v>
      </c>
      <c r="BX351" s="3" t="s">
        <v>627</v>
      </c>
    </row>
    <row r="352" spans="1:76" ht="13.5" customHeight="1" x14ac:dyDescent="0.35">
      <c r="A352" s="57"/>
      <c r="C352" s="62" t="s">
        <v>122</v>
      </c>
      <c r="D352" s="214" t="s">
        <v>628</v>
      </c>
      <c r="E352" s="215"/>
      <c r="F352" s="215"/>
      <c r="G352" s="215"/>
      <c r="H352" s="215"/>
      <c r="I352" s="215"/>
      <c r="J352" s="215"/>
      <c r="K352" s="215"/>
      <c r="L352" s="215"/>
      <c r="M352" s="216"/>
    </row>
    <row r="353" spans="1:76" ht="14.5" x14ac:dyDescent="0.35">
      <c r="A353" s="57"/>
      <c r="D353" s="58" t="s">
        <v>629</v>
      </c>
      <c r="E353" s="59" t="s">
        <v>630</v>
      </c>
      <c r="G353" s="60">
        <v>1</v>
      </c>
      <c r="M353" s="61"/>
    </row>
    <row r="354" spans="1:76" ht="14.5" x14ac:dyDescent="0.35">
      <c r="A354" s="1" t="s">
        <v>631</v>
      </c>
      <c r="B354" s="2" t="s">
        <v>103</v>
      </c>
      <c r="C354" s="2" t="s">
        <v>632</v>
      </c>
      <c r="D354" s="155" t="s">
        <v>633</v>
      </c>
      <c r="E354" s="153"/>
      <c r="F354" s="2" t="s">
        <v>481</v>
      </c>
      <c r="G354" s="54">
        <f>'Stavební rozpočet'!G265</f>
        <v>24</v>
      </c>
      <c r="H354" s="94">
        <f>'Stavební rozpočet'!H265</f>
        <v>0</v>
      </c>
      <c r="I354" s="54">
        <f>G354*H354</f>
        <v>0</v>
      </c>
      <c r="J354" s="54">
        <f>'Stavební rozpočet'!J265</f>
        <v>0</v>
      </c>
      <c r="K354" s="54">
        <f>'Stavební rozpočet'!K265</f>
        <v>0</v>
      </c>
      <c r="L354" s="54">
        <f>G354*J354</f>
        <v>0</v>
      </c>
      <c r="M354" s="55" t="s">
        <v>10</v>
      </c>
      <c r="Z354" s="54">
        <f>IF(AQ354="5",BJ354,0)</f>
        <v>0</v>
      </c>
      <c r="AB354" s="54">
        <f>IF(AQ354="1",BH354,0)</f>
        <v>0</v>
      </c>
      <c r="AC354" s="54">
        <f>IF(AQ354="1",BI354,0)</f>
        <v>0</v>
      </c>
      <c r="AD354" s="54">
        <f>IF(AQ354="7",BH354,0)</f>
        <v>0</v>
      </c>
      <c r="AE354" s="54">
        <f>IF(AQ354="7",BI354,0)</f>
        <v>0</v>
      </c>
      <c r="AF354" s="54">
        <f>IF(AQ354="2",BH354,0)</f>
        <v>0</v>
      </c>
      <c r="AG354" s="54">
        <f>IF(AQ354="2",BI354,0)</f>
        <v>0</v>
      </c>
      <c r="AH354" s="54">
        <f>IF(AQ354="0",BJ354,0)</f>
        <v>0</v>
      </c>
      <c r="AI354" s="34" t="s">
        <v>103</v>
      </c>
      <c r="AJ354" s="54">
        <f>IF(AN354=0,I354,0)</f>
        <v>0</v>
      </c>
      <c r="AK354" s="54">
        <f>IF(AN354=12,I354,0)</f>
        <v>0</v>
      </c>
      <c r="AL354" s="54">
        <f>IF(AN354=21,I354,0)</f>
        <v>0</v>
      </c>
      <c r="AN354" s="54">
        <v>21</v>
      </c>
      <c r="AO354" s="54">
        <f>H354*0</f>
        <v>0</v>
      </c>
      <c r="AP354" s="54">
        <f>H354*(1-0)</f>
        <v>0</v>
      </c>
      <c r="AQ354" s="56" t="s">
        <v>168</v>
      </c>
      <c r="AV354" s="54">
        <f>AW354+AX354</f>
        <v>0</v>
      </c>
      <c r="AW354" s="54">
        <f>G354*AO354</f>
        <v>0</v>
      </c>
      <c r="AX354" s="54">
        <f>G354*AP354</f>
        <v>0</v>
      </c>
      <c r="AY354" s="56" t="s">
        <v>622</v>
      </c>
      <c r="AZ354" s="56" t="s">
        <v>418</v>
      </c>
      <c r="BA354" s="34" t="s">
        <v>114</v>
      </c>
      <c r="BC354" s="54">
        <f>AW354+AX354</f>
        <v>0</v>
      </c>
      <c r="BD354" s="54">
        <f>H354/(100-BE354)*100</f>
        <v>0</v>
      </c>
      <c r="BE354" s="54">
        <v>0</v>
      </c>
      <c r="BF354" s="54">
        <f>L354</f>
        <v>0</v>
      </c>
      <c r="BH354" s="54">
        <f>G354*AO354</f>
        <v>0</v>
      </c>
      <c r="BI354" s="54">
        <f>G354*AP354</f>
        <v>0</v>
      </c>
      <c r="BJ354" s="54">
        <f>G354*H354</f>
        <v>0</v>
      </c>
      <c r="BK354" s="54"/>
      <c r="BL354" s="54">
        <v>725</v>
      </c>
      <c r="BW354" s="54">
        <v>21</v>
      </c>
      <c r="BX354" s="3" t="s">
        <v>633</v>
      </c>
    </row>
    <row r="355" spans="1:76" ht="13.5" customHeight="1" x14ac:dyDescent="0.35">
      <c r="A355" s="57"/>
      <c r="C355" s="62" t="s">
        <v>122</v>
      </c>
      <c r="D355" s="214" t="s">
        <v>623</v>
      </c>
      <c r="E355" s="215"/>
      <c r="F355" s="215"/>
      <c r="G355" s="215"/>
      <c r="H355" s="215"/>
      <c r="I355" s="215"/>
      <c r="J355" s="215"/>
      <c r="K355" s="215"/>
      <c r="L355" s="215"/>
      <c r="M355" s="216"/>
    </row>
    <row r="356" spans="1:76" ht="14.5" x14ac:dyDescent="0.35">
      <c r="A356" s="57"/>
      <c r="D356" s="58" t="s">
        <v>406</v>
      </c>
      <c r="E356" s="59" t="s">
        <v>634</v>
      </c>
      <c r="G356" s="60">
        <v>24</v>
      </c>
      <c r="M356" s="61"/>
    </row>
    <row r="357" spans="1:76" ht="14.5" x14ac:dyDescent="0.35">
      <c r="A357" s="1" t="s">
        <v>635</v>
      </c>
      <c r="B357" s="2" t="s">
        <v>103</v>
      </c>
      <c r="C357" s="2" t="s">
        <v>636</v>
      </c>
      <c r="D357" s="155" t="s">
        <v>637</v>
      </c>
      <c r="E357" s="153"/>
      <c r="F357" s="2" t="s">
        <v>481</v>
      </c>
      <c r="G357" s="54">
        <f>'Stavební rozpočet'!G267</f>
        <v>48</v>
      </c>
      <c r="H357" s="94">
        <f>'Stavební rozpočet'!H267</f>
        <v>0</v>
      </c>
      <c r="I357" s="54">
        <f>G357*H357</f>
        <v>0</v>
      </c>
      <c r="J357" s="54">
        <f>'Stavební rozpočet'!J267</f>
        <v>1.001E-2</v>
      </c>
      <c r="K357" s="54">
        <f>'Stavební rozpočet'!K267</f>
        <v>0</v>
      </c>
      <c r="L357" s="54">
        <f>G357*J357</f>
        <v>0.48048000000000002</v>
      </c>
      <c r="M357" s="55" t="s">
        <v>10</v>
      </c>
      <c r="Z357" s="54">
        <f>IF(AQ357="5",BJ357,0)</f>
        <v>0</v>
      </c>
      <c r="AB357" s="54">
        <f>IF(AQ357="1",BH357,0)</f>
        <v>0</v>
      </c>
      <c r="AC357" s="54">
        <f>IF(AQ357="1",BI357,0)</f>
        <v>0</v>
      </c>
      <c r="AD357" s="54">
        <f>IF(AQ357="7",BH357,0)</f>
        <v>0</v>
      </c>
      <c r="AE357" s="54">
        <f>IF(AQ357="7",BI357,0)</f>
        <v>0</v>
      </c>
      <c r="AF357" s="54">
        <f>IF(AQ357="2",BH357,0)</f>
        <v>0</v>
      </c>
      <c r="AG357" s="54">
        <f>IF(AQ357="2",BI357,0)</f>
        <v>0</v>
      </c>
      <c r="AH357" s="54">
        <f>IF(AQ357="0",BJ357,0)</f>
        <v>0</v>
      </c>
      <c r="AI357" s="34" t="s">
        <v>103</v>
      </c>
      <c r="AJ357" s="54">
        <f>IF(AN357=0,I357,0)</f>
        <v>0</v>
      </c>
      <c r="AK357" s="54">
        <f>IF(AN357=12,I357,0)</f>
        <v>0</v>
      </c>
      <c r="AL357" s="54">
        <f>IF(AN357=21,I357,0)</f>
        <v>0</v>
      </c>
      <c r="AN357" s="54">
        <v>21</v>
      </c>
      <c r="AO357" s="54">
        <f>H357*0.619934884</f>
        <v>0</v>
      </c>
      <c r="AP357" s="54">
        <f>H357*(1-0.619934884)</f>
        <v>0</v>
      </c>
      <c r="AQ357" s="56" t="s">
        <v>168</v>
      </c>
      <c r="AV357" s="54">
        <f>AW357+AX357</f>
        <v>0</v>
      </c>
      <c r="AW357" s="54">
        <f>G357*AO357</f>
        <v>0</v>
      </c>
      <c r="AX357" s="54">
        <f>G357*AP357</f>
        <v>0</v>
      </c>
      <c r="AY357" s="56" t="s">
        <v>622</v>
      </c>
      <c r="AZ357" s="56" t="s">
        <v>418</v>
      </c>
      <c r="BA357" s="34" t="s">
        <v>114</v>
      </c>
      <c r="BC357" s="54">
        <f>AW357+AX357</f>
        <v>0</v>
      </c>
      <c r="BD357" s="54">
        <f>H357/(100-BE357)*100</f>
        <v>0</v>
      </c>
      <c r="BE357" s="54">
        <v>0</v>
      </c>
      <c r="BF357" s="54">
        <f>L357</f>
        <v>0.48048000000000002</v>
      </c>
      <c r="BH357" s="54">
        <f>G357*AO357</f>
        <v>0</v>
      </c>
      <c r="BI357" s="54">
        <f>G357*AP357</f>
        <v>0</v>
      </c>
      <c r="BJ357" s="54">
        <f>G357*H357</f>
        <v>0</v>
      </c>
      <c r="BK357" s="54"/>
      <c r="BL357" s="54">
        <v>725</v>
      </c>
      <c r="BW357" s="54">
        <v>21</v>
      </c>
      <c r="BX357" s="3" t="s">
        <v>637</v>
      </c>
    </row>
    <row r="358" spans="1:76" ht="13.5" customHeight="1" x14ac:dyDescent="0.35">
      <c r="A358" s="57"/>
      <c r="C358" s="62" t="s">
        <v>122</v>
      </c>
      <c r="D358" s="214" t="s">
        <v>623</v>
      </c>
      <c r="E358" s="215"/>
      <c r="F358" s="215"/>
      <c r="G358" s="215"/>
      <c r="H358" s="215"/>
      <c r="I358" s="215"/>
      <c r="J358" s="215"/>
      <c r="K358" s="215"/>
      <c r="L358" s="215"/>
      <c r="M358" s="216"/>
    </row>
    <row r="359" spans="1:76" ht="14.5" x14ac:dyDescent="0.35">
      <c r="A359" s="57"/>
      <c r="D359" s="58" t="s">
        <v>483</v>
      </c>
      <c r="E359" s="59" t="s">
        <v>638</v>
      </c>
      <c r="G359" s="60">
        <v>48</v>
      </c>
      <c r="M359" s="61"/>
    </row>
    <row r="360" spans="1:76" ht="14.5" x14ac:dyDescent="0.35">
      <c r="A360" s="1" t="s">
        <v>639</v>
      </c>
      <c r="B360" s="2" t="s">
        <v>103</v>
      </c>
      <c r="C360" s="2" t="s">
        <v>640</v>
      </c>
      <c r="D360" s="155" t="s">
        <v>641</v>
      </c>
      <c r="E360" s="153"/>
      <c r="F360" s="2" t="s">
        <v>196</v>
      </c>
      <c r="G360" s="54">
        <f>'Stavební rozpočet'!G269</f>
        <v>24</v>
      </c>
      <c r="H360" s="94">
        <f>'Stavební rozpočet'!H269</f>
        <v>0</v>
      </c>
      <c r="I360" s="54">
        <f>G360*H360</f>
        <v>0</v>
      </c>
      <c r="J360" s="54">
        <f>'Stavební rozpočet'!J269</f>
        <v>1.917E-2</v>
      </c>
      <c r="K360" s="54">
        <f>'Stavební rozpočet'!K269</f>
        <v>0</v>
      </c>
      <c r="L360" s="54">
        <f>G360*J360</f>
        <v>0.46007999999999999</v>
      </c>
      <c r="M360" s="55" t="s">
        <v>10</v>
      </c>
      <c r="Z360" s="54">
        <f>IF(AQ360="5",BJ360,0)</f>
        <v>0</v>
      </c>
      <c r="AB360" s="54">
        <f>IF(AQ360="1",BH360,0)</f>
        <v>0</v>
      </c>
      <c r="AC360" s="54">
        <f>IF(AQ360="1",BI360,0)</f>
        <v>0</v>
      </c>
      <c r="AD360" s="54">
        <f>IF(AQ360="7",BH360,0)</f>
        <v>0</v>
      </c>
      <c r="AE360" s="54">
        <f>IF(AQ360="7",BI360,0)</f>
        <v>0</v>
      </c>
      <c r="AF360" s="54">
        <f>IF(AQ360="2",BH360,0)</f>
        <v>0</v>
      </c>
      <c r="AG360" s="54">
        <f>IF(AQ360="2",BI360,0)</f>
        <v>0</v>
      </c>
      <c r="AH360" s="54">
        <f>IF(AQ360="0",BJ360,0)</f>
        <v>0</v>
      </c>
      <c r="AI360" s="34" t="s">
        <v>103</v>
      </c>
      <c r="AJ360" s="54">
        <f>IF(AN360=0,I360,0)</f>
        <v>0</v>
      </c>
      <c r="AK360" s="54">
        <f>IF(AN360=12,I360,0)</f>
        <v>0</v>
      </c>
      <c r="AL360" s="54">
        <f>IF(AN360=21,I360,0)</f>
        <v>0</v>
      </c>
      <c r="AN360" s="54">
        <v>21</v>
      </c>
      <c r="AO360" s="54">
        <f>H360*0.717275057</f>
        <v>0</v>
      </c>
      <c r="AP360" s="54">
        <f>H360*(1-0.717275057)</f>
        <v>0</v>
      </c>
      <c r="AQ360" s="56" t="s">
        <v>168</v>
      </c>
      <c r="AV360" s="54">
        <f>AW360+AX360</f>
        <v>0</v>
      </c>
      <c r="AW360" s="54">
        <f>G360*AO360</f>
        <v>0</v>
      </c>
      <c r="AX360" s="54">
        <f>G360*AP360</f>
        <v>0</v>
      </c>
      <c r="AY360" s="56" t="s">
        <v>622</v>
      </c>
      <c r="AZ360" s="56" t="s">
        <v>418</v>
      </c>
      <c r="BA360" s="34" t="s">
        <v>114</v>
      </c>
      <c r="BC360" s="54">
        <f>AW360+AX360</f>
        <v>0</v>
      </c>
      <c r="BD360" s="54">
        <f>H360/(100-BE360)*100</f>
        <v>0</v>
      </c>
      <c r="BE360" s="54">
        <v>0</v>
      </c>
      <c r="BF360" s="54">
        <f>L360</f>
        <v>0.46007999999999999</v>
      </c>
      <c r="BH360" s="54">
        <f>G360*AO360</f>
        <v>0</v>
      </c>
      <c r="BI360" s="54">
        <f>G360*AP360</f>
        <v>0</v>
      </c>
      <c r="BJ360" s="54">
        <f>G360*H360</f>
        <v>0</v>
      </c>
      <c r="BK360" s="54"/>
      <c r="BL360" s="54">
        <v>725</v>
      </c>
      <c r="BW360" s="54">
        <v>21</v>
      </c>
      <c r="BX360" s="3" t="s">
        <v>641</v>
      </c>
    </row>
    <row r="361" spans="1:76" ht="27" customHeight="1" x14ac:dyDescent="0.35">
      <c r="A361" s="57"/>
      <c r="C361" s="62" t="s">
        <v>122</v>
      </c>
      <c r="D361" s="214" t="s">
        <v>642</v>
      </c>
      <c r="E361" s="215"/>
      <c r="F361" s="215"/>
      <c r="G361" s="215"/>
      <c r="H361" s="215"/>
      <c r="I361" s="215"/>
      <c r="J361" s="215"/>
      <c r="K361" s="215"/>
      <c r="L361" s="215"/>
      <c r="M361" s="216"/>
    </row>
    <row r="362" spans="1:76" ht="14.5" x14ac:dyDescent="0.35">
      <c r="A362" s="57"/>
      <c r="D362" s="58" t="s">
        <v>406</v>
      </c>
      <c r="E362" s="59" t="s">
        <v>643</v>
      </c>
      <c r="G362" s="60">
        <v>24</v>
      </c>
      <c r="M362" s="61"/>
    </row>
    <row r="363" spans="1:76" ht="14.5" x14ac:dyDescent="0.35">
      <c r="A363" s="1" t="s">
        <v>644</v>
      </c>
      <c r="B363" s="2" t="s">
        <v>103</v>
      </c>
      <c r="C363" s="2" t="s">
        <v>645</v>
      </c>
      <c r="D363" s="155" t="s">
        <v>646</v>
      </c>
      <c r="E363" s="153"/>
      <c r="F363" s="2" t="s">
        <v>196</v>
      </c>
      <c r="G363" s="54">
        <f>'Stavební rozpočet'!G271</f>
        <v>24</v>
      </c>
      <c r="H363" s="94">
        <f>'Stavební rozpočet'!H271</f>
        <v>0</v>
      </c>
      <c r="I363" s="54">
        <f>G363*H363</f>
        <v>0</v>
      </c>
      <c r="J363" s="54">
        <f>'Stavební rozpočet'!J271</f>
        <v>3.8280000000000002E-2</v>
      </c>
      <c r="K363" s="54">
        <f>'Stavební rozpočet'!K271</f>
        <v>0</v>
      </c>
      <c r="L363" s="54">
        <f>G363*J363</f>
        <v>0.91871999999999998</v>
      </c>
      <c r="M363" s="55" t="s">
        <v>10</v>
      </c>
      <c r="Z363" s="54">
        <f>IF(AQ363="5",BJ363,0)</f>
        <v>0</v>
      </c>
      <c r="AB363" s="54">
        <f>IF(AQ363="1",BH363,0)</f>
        <v>0</v>
      </c>
      <c r="AC363" s="54">
        <f>IF(AQ363="1",BI363,0)</f>
        <v>0</v>
      </c>
      <c r="AD363" s="54">
        <f>IF(AQ363="7",BH363,0)</f>
        <v>0</v>
      </c>
      <c r="AE363" s="54">
        <f>IF(AQ363="7",BI363,0)</f>
        <v>0</v>
      </c>
      <c r="AF363" s="54">
        <f>IF(AQ363="2",BH363,0)</f>
        <v>0</v>
      </c>
      <c r="AG363" s="54">
        <f>IF(AQ363="2",BI363,0)</f>
        <v>0</v>
      </c>
      <c r="AH363" s="54">
        <f>IF(AQ363="0",BJ363,0)</f>
        <v>0</v>
      </c>
      <c r="AI363" s="34" t="s">
        <v>103</v>
      </c>
      <c r="AJ363" s="54">
        <f>IF(AN363=0,I363,0)</f>
        <v>0</v>
      </c>
      <c r="AK363" s="54">
        <f>IF(AN363=12,I363,0)</f>
        <v>0</v>
      </c>
      <c r="AL363" s="54">
        <f>IF(AN363=21,I363,0)</f>
        <v>0</v>
      </c>
      <c r="AN363" s="54">
        <v>21</v>
      </c>
      <c r="AO363" s="54">
        <f>H363*0.837099518</f>
        <v>0</v>
      </c>
      <c r="AP363" s="54">
        <f>H363*(1-0.837099518)</f>
        <v>0</v>
      </c>
      <c r="AQ363" s="56" t="s">
        <v>168</v>
      </c>
      <c r="AV363" s="54">
        <f>AW363+AX363</f>
        <v>0</v>
      </c>
      <c r="AW363" s="54">
        <f>G363*AO363</f>
        <v>0</v>
      </c>
      <c r="AX363" s="54">
        <f>G363*AP363</f>
        <v>0</v>
      </c>
      <c r="AY363" s="56" t="s">
        <v>622</v>
      </c>
      <c r="AZ363" s="56" t="s">
        <v>418</v>
      </c>
      <c r="BA363" s="34" t="s">
        <v>114</v>
      </c>
      <c r="BC363" s="54">
        <f>AW363+AX363</f>
        <v>0</v>
      </c>
      <c r="BD363" s="54">
        <f>H363/(100-BE363)*100</f>
        <v>0</v>
      </c>
      <c r="BE363" s="54">
        <v>0</v>
      </c>
      <c r="BF363" s="54">
        <f>L363</f>
        <v>0.91871999999999998</v>
      </c>
      <c r="BH363" s="54">
        <f>G363*AO363</f>
        <v>0</v>
      </c>
      <c r="BI363" s="54">
        <f>G363*AP363</f>
        <v>0</v>
      </c>
      <c r="BJ363" s="54">
        <f>G363*H363</f>
        <v>0</v>
      </c>
      <c r="BK363" s="54"/>
      <c r="BL363" s="54">
        <v>725</v>
      </c>
      <c r="BW363" s="54">
        <v>21</v>
      </c>
      <c r="BX363" s="3" t="s">
        <v>646</v>
      </c>
    </row>
    <row r="364" spans="1:76" ht="54" customHeight="1" x14ac:dyDescent="0.35">
      <c r="A364" s="57"/>
      <c r="C364" s="62" t="s">
        <v>122</v>
      </c>
      <c r="D364" s="214" t="s">
        <v>647</v>
      </c>
      <c r="E364" s="215"/>
      <c r="F364" s="215"/>
      <c r="G364" s="215"/>
      <c r="H364" s="215"/>
      <c r="I364" s="215"/>
      <c r="J364" s="215"/>
      <c r="K364" s="215"/>
      <c r="L364" s="215"/>
      <c r="M364" s="216"/>
    </row>
    <row r="365" spans="1:76" ht="14.5" x14ac:dyDescent="0.35">
      <c r="A365" s="57"/>
      <c r="D365" s="58" t="s">
        <v>406</v>
      </c>
      <c r="E365" s="59" t="s">
        <v>648</v>
      </c>
      <c r="G365" s="60">
        <v>24</v>
      </c>
      <c r="M365" s="61"/>
    </row>
    <row r="366" spans="1:76" ht="14.5" x14ac:dyDescent="0.35">
      <c r="A366" s="1" t="s">
        <v>649</v>
      </c>
      <c r="B366" s="2" t="s">
        <v>103</v>
      </c>
      <c r="C366" s="2" t="s">
        <v>650</v>
      </c>
      <c r="D366" s="155" t="s">
        <v>651</v>
      </c>
      <c r="E366" s="153"/>
      <c r="F366" s="2" t="s">
        <v>581</v>
      </c>
      <c r="G366" s="54">
        <f>'Stavební rozpočet'!G273</f>
        <v>24</v>
      </c>
      <c r="H366" s="94">
        <f>'Stavební rozpočet'!H273</f>
        <v>0</v>
      </c>
      <c r="I366" s="54">
        <f>G366*H366</f>
        <v>0</v>
      </c>
      <c r="J366" s="54">
        <f>'Stavební rozpočet'!J273</f>
        <v>8.7000000000000001E-4</v>
      </c>
      <c r="K366" s="54">
        <f>'Stavební rozpočet'!K273</f>
        <v>0</v>
      </c>
      <c r="L366" s="54">
        <f>G366*J366</f>
        <v>2.0879999999999999E-2</v>
      </c>
      <c r="M366" s="55" t="s">
        <v>111</v>
      </c>
      <c r="Z366" s="54">
        <f>IF(AQ366="5",BJ366,0)</f>
        <v>0</v>
      </c>
      <c r="AB366" s="54">
        <f>IF(AQ366="1",BH366,0)</f>
        <v>0</v>
      </c>
      <c r="AC366" s="54">
        <f>IF(AQ366="1",BI366,0)</f>
        <v>0</v>
      </c>
      <c r="AD366" s="54">
        <f>IF(AQ366="7",BH366,0)</f>
        <v>0</v>
      </c>
      <c r="AE366" s="54">
        <f>IF(AQ366="7",BI366,0)</f>
        <v>0</v>
      </c>
      <c r="AF366" s="54">
        <f>IF(AQ366="2",BH366,0)</f>
        <v>0</v>
      </c>
      <c r="AG366" s="54">
        <f>IF(AQ366="2",BI366,0)</f>
        <v>0</v>
      </c>
      <c r="AH366" s="54">
        <f>IF(AQ366="0",BJ366,0)</f>
        <v>0</v>
      </c>
      <c r="AI366" s="34" t="s">
        <v>103</v>
      </c>
      <c r="AJ366" s="54">
        <f>IF(AN366=0,I366,0)</f>
        <v>0</v>
      </c>
      <c r="AK366" s="54">
        <f>IF(AN366=12,I366,0)</f>
        <v>0</v>
      </c>
      <c r="AL366" s="54">
        <f>IF(AN366=21,I366,0)</f>
        <v>0</v>
      </c>
      <c r="AN366" s="54">
        <v>21</v>
      </c>
      <c r="AO366" s="54">
        <f>H366*0.217154472</f>
        <v>0</v>
      </c>
      <c r="AP366" s="54">
        <f>H366*(1-0.217154472)</f>
        <v>0</v>
      </c>
      <c r="AQ366" s="56" t="s">
        <v>168</v>
      </c>
      <c r="AV366" s="54">
        <f>AW366+AX366</f>
        <v>0</v>
      </c>
      <c r="AW366" s="54">
        <f>G366*AO366</f>
        <v>0</v>
      </c>
      <c r="AX366" s="54">
        <f>G366*AP366</f>
        <v>0</v>
      </c>
      <c r="AY366" s="56" t="s">
        <v>622</v>
      </c>
      <c r="AZ366" s="56" t="s">
        <v>418</v>
      </c>
      <c r="BA366" s="34" t="s">
        <v>114</v>
      </c>
      <c r="BC366" s="54">
        <f>AW366+AX366</f>
        <v>0</v>
      </c>
      <c r="BD366" s="54">
        <f>H366/(100-BE366)*100</f>
        <v>0</v>
      </c>
      <c r="BE366" s="54">
        <v>0</v>
      </c>
      <c r="BF366" s="54">
        <f>L366</f>
        <v>2.0879999999999999E-2</v>
      </c>
      <c r="BH366" s="54">
        <f>G366*AO366</f>
        <v>0</v>
      </c>
      <c r="BI366" s="54">
        <f>G366*AP366</f>
        <v>0</v>
      </c>
      <c r="BJ366" s="54">
        <f>G366*H366</f>
        <v>0</v>
      </c>
      <c r="BK366" s="54"/>
      <c r="BL366" s="54">
        <v>725</v>
      </c>
      <c r="BW366" s="54">
        <v>21</v>
      </c>
      <c r="BX366" s="3" t="s">
        <v>651</v>
      </c>
    </row>
    <row r="367" spans="1:76" ht="14.5" x14ac:dyDescent="0.35">
      <c r="A367" s="57"/>
      <c r="D367" s="58" t="s">
        <v>406</v>
      </c>
      <c r="E367" s="59" t="s">
        <v>652</v>
      </c>
      <c r="G367" s="60">
        <v>24</v>
      </c>
      <c r="M367" s="61"/>
    </row>
    <row r="368" spans="1:76" ht="26" x14ac:dyDescent="0.35">
      <c r="A368" s="57"/>
      <c r="C368" s="62" t="s">
        <v>156</v>
      </c>
      <c r="D368" s="211" t="s">
        <v>653</v>
      </c>
      <c r="E368" s="212"/>
      <c r="F368" s="212"/>
      <c r="G368" s="212"/>
      <c r="H368" s="212"/>
      <c r="I368" s="212"/>
      <c r="J368" s="212"/>
      <c r="K368" s="212"/>
      <c r="L368" s="212"/>
      <c r="M368" s="213"/>
      <c r="BX368" s="63" t="s">
        <v>653</v>
      </c>
    </row>
    <row r="369" spans="1:76" ht="14.5" x14ac:dyDescent="0.35">
      <c r="A369" s="64" t="s">
        <v>654</v>
      </c>
      <c r="B369" s="65" t="s">
        <v>103</v>
      </c>
      <c r="C369" s="65" t="s">
        <v>655</v>
      </c>
      <c r="D369" s="217" t="s">
        <v>656</v>
      </c>
      <c r="E369" s="218"/>
      <c r="F369" s="65" t="s">
        <v>196</v>
      </c>
      <c r="G369" s="67">
        <f>'Stavební rozpočet'!G275</f>
        <v>24</v>
      </c>
      <c r="H369" s="95">
        <f>'Stavební rozpočet'!H275</f>
        <v>0</v>
      </c>
      <c r="I369" s="67">
        <f>G369*H369</f>
        <v>0</v>
      </c>
      <c r="J369" s="67">
        <f>'Stavební rozpočet'!J275</f>
        <v>2.5999999999999999E-3</v>
      </c>
      <c r="K369" s="67">
        <f>'Stavební rozpočet'!K275</f>
        <v>0</v>
      </c>
      <c r="L369" s="67">
        <f>G369*J369</f>
        <v>6.2399999999999997E-2</v>
      </c>
      <c r="M369" s="68" t="s">
        <v>111</v>
      </c>
      <c r="Z369" s="54">
        <f>IF(AQ369="5",BJ369,0)</f>
        <v>0</v>
      </c>
      <c r="AB369" s="54">
        <f>IF(AQ369="1",BH369,0)</f>
        <v>0</v>
      </c>
      <c r="AC369" s="54">
        <f>IF(AQ369="1",BI369,0)</f>
        <v>0</v>
      </c>
      <c r="AD369" s="54">
        <f>IF(AQ369="7",BH369,0)</f>
        <v>0</v>
      </c>
      <c r="AE369" s="54">
        <f>IF(AQ369="7",BI369,0)</f>
        <v>0</v>
      </c>
      <c r="AF369" s="54">
        <f>IF(AQ369="2",BH369,0)</f>
        <v>0</v>
      </c>
      <c r="AG369" s="54">
        <f>IF(AQ369="2",BI369,0)</f>
        <v>0</v>
      </c>
      <c r="AH369" s="54">
        <f>IF(AQ369="0",BJ369,0)</f>
        <v>0</v>
      </c>
      <c r="AI369" s="34" t="s">
        <v>103</v>
      </c>
      <c r="AJ369" s="67">
        <f>IF(AN369=0,I369,0)</f>
        <v>0</v>
      </c>
      <c r="AK369" s="67">
        <f>IF(AN369=12,I369,0)</f>
        <v>0</v>
      </c>
      <c r="AL369" s="67">
        <f>IF(AN369=21,I369,0)</f>
        <v>0</v>
      </c>
      <c r="AN369" s="54">
        <v>21</v>
      </c>
      <c r="AO369" s="54">
        <f>H369*1</f>
        <v>0</v>
      </c>
      <c r="AP369" s="54">
        <f>H369*(1-1)</f>
        <v>0</v>
      </c>
      <c r="AQ369" s="69" t="s">
        <v>168</v>
      </c>
      <c r="AV369" s="54">
        <f>AW369+AX369</f>
        <v>0</v>
      </c>
      <c r="AW369" s="54">
        <f>G369*AO369</f>
        <v>0</v>
      </c>
      <c r="AX369" s="54">
        <f>G369*AP369</f>
        <v>0</v>
      </c>
      <c r="AY369" s="56" t="s">
        <v>622</v>
      </c>
      <c r="AZ369" s="56" t="s">
        <v>418</v>
      </c>
      <c r="BA369" s="34" t="s">
        <v>114</v>
      </c>
      <c r="BC369" s="54">
        <f>AW369+AX369</f>
        <v>0</v>
      </c>
      <c r="BD369" s="54">
        <f>H369/(100-BE369)*100</f>
        <v>0</v>
      </c>
      <c r="BE369" s="54">
        <v>0</v>
      </c>
      <c r="BF369" s="54">
        <f>L369</f>
        <v>6.2399999999999997E-2</v>
      </c>
      <c r="BH369" s="67">
        <f>G369*AO369</f>
        <v>0</v>
      </c>
      <c r="BI369" s="67">
        <f>G369*AP369</f>
        <v>0</v>
      </c>
      <c r="BJ369" s="67">
        <f>G369*H369</f>
        <v>0</v>
      </c>
      <c r="BK369" s="67"/>
      <c r="BL369" s="54">
        <v>725</v>
      </c>
      <c r="BW369" s="54">
        <v>21</v>
      </c>
      <c r="BX369" s="66" t="s">
        <v>656</v>
      </c>
    </row>
    <row r="370" spans="1:76" ht="14.5" x14ac:dyDescent="0.35">
      <c r="A370" s="57"/>
      <c r="D370" s="58" t="s">
        <v>406</v>
      </c>
      <c r="E370" s="59" t="s">
        <v>657</v>
      </c>
      <c r="G370" s="60">
        <v>24</v>
      </c>
      <c r="M370" s="61"/>
    </row>
    <row r="371" spans="1:76" ht="52" x14ac:dyDescent="0.35">
      <c r="A371" s="57"/>
      <c r="C371" s="62" t="s">
        <v>156</v>
      </c>
      <c r="D371" s="211" t="s">
        <v>658</v>
      </c>
      <c r="E371" s="212"/>
      <c r="F371" s="212"/>
      <c r="G371" s="212"/>
      <c r="H371" s="212"/>
      <c r="I371" s="212"/>
      <c r="J371" s="212"/>
      <c r="K371" s="212"/>
      <c r="L371" s="212"/>
      <c r="M371" s="213"/>
      <c r="BX371" s="70" t="s">
        <v>658</v>
      </c>
    </row>
    <row r="372" spans="1:76" ht="14.5" x14ac:dyDescent="0.35">
      <c r="A372" s="64" t="s">
        <v>659</v>
      </c>
      <c r="B372" s="65" t="s">
        <v>103</v>
      </c>
      <c r="C372" s="65" t="s">
        <v>660</v>
      </c>
      <c r="D372" s="217" t="s">
        <v>661</v>
      </c>
      <c r="E372" s="218"/>
      <c r="F372" s="65" t="s">
        <v>196</v>
      </c>
      <c r="G372" s="67">
        <f>'Stavební rozpočet'!G277</f>
        <v>24</v>
      </c>
      <c r="H372" s="95">
        <f>'Stavební rozpočet'!H277</f>
        <v>0</v>
      </c>
      <c r="I372" s="67">
        <f>G372*H372</f>
        <v>0</v>
      </c>
      <c r="J372" s="67">
        <f>'Stavební rozpočet'!J277</f>
        <v>1.55E-2</v>
      </c>
      <c r="K372" s="67">
        <f>'Stavební rozpočet'!K277</f>
        <v>0</v>
      </c>
      <c r="L372" s="67">
        <f>G372*J372</f>
        <v>0.372</v>
      </c>
      <c r="M372" s="68" t="s">
        <v>10</v>
      </c>
      <c r="Z372" s="54">
        <f>IF(AQ372="5",BJ372,0)</f>
        <v>0</v>
      </c>
      <c r="AB372" s="54">
        <f>IF(AQ372="1",BH372,0)</f>
        <v>0</v>
      </c>
      <c r="AC372" s="54">
        <f>IF(AQ372="1",BI372,0)</f>
        <v>0</v>
      </c>
      <c r="AD372" s="54">
        <f>IF(AQ372="7",BH372,0)</f>
        <v>0</v>
      </c>
      <c r="AE372" s="54">
        <f>IF(AQ372="7",BI372,0)</f>
        <v>0</v>
      </c>
      <c r="AF372" s="54">
        <f>IF(AQ372="2",BH372,0)</f>
        <v>0</v>
      </c>
      <c r="AG372" s="54">
        <f>IF(AQ372="2",BI372,0)</f>
        <v>0</v>
      </c>
      <c r="AH372" s="54">
        <f>IF(AQ372="0",BJ372,0)</f>
        <v>0</v>
      </c>
      <c r="AI372" s="34" t="s">
        <v>103</v>
      </c>
      <c r="AJ372" s="67">
        <f>IF(AN372=0,I372,0)</f>
        <v>0</v>
      </c>
      <c r="AK372" s="67">
        <f>IF(AN372=12,I372,0)</f>
        <v>0</v>
      </c>
      <c r="AL372" s="67">
        <f>IF(AN372=21,I372,0)</f>
        <v>0</v>
      </c>
      <c r="AN372" s="54">
        <v>21</v>
      </c>
      <c r="AO372" s="54">
        <f>H372*1</f>
        <v>0</v>
      </c>
      <c r="AP372" s="54">
        <f>H372*(1-1)</f>
        <v>0</v>
      </c>
      <c r="AQ372" s="69" t="s">
        <v>168</v>
      </c>
      <c r="AV372" s="54">
        <f>AW372+AX372</f>
        <v>0</v>
      </c>
      <c r="AW372" s="54">
        <f>G372*AO372</f>
        <v>0</v>
      </c>
      <c r="AX372" s="54">
        <f>G372*AP372</f>
        <v>0</v>
      </c>
      <c r="AY372" s="56" t="s">
        <v>622</v>
      </c>
      <c r="AZ372" s="56" t="s">
        <v>418</v>
      </c>
      <c r="BA372" s="34" t="s">
        <v>114</v>
      </c>
      <c r="BC372" s="54">
        <f>AW372+AX372</f>
        <v>0</v>
      </c>
      <c r="BD372" s="54">
        <f>H372/(100-BE372)*100</f>
        <v>0</v>
      </c>
      <c r="BE372" s="54">
        <v>0</v>
      </c>
      <c r="BF372" s="54">
        <f>L372</f>
        <v>0.372</v>
      </c>
      <c r="BH372" s="67">
        <f>G372*AO372</f>
        <v>0</v>
      </c>
      <c r="BI372" s="67">
        <f>G372*AP372</f>
        <v>0</v>
      </c>
      <c r="BJ372" s="67">
        <f>G372*H372</f>
        <v>0</v>
      </c>
      <c r="BK372" s="67"/>
      <c r="BL372" s="54">
        <v>725</v>
      </c>
      <c r="BW372" s="54">
        <v>21</v>
      </c>
      <c r="BX372" s="66" t="s">
        <v>661</v>
      </c>
    </row>
    <row r="373" spans="1:76" ht="14.5" x14ac:dyDescent="0.35">
      <c r="A373" s="57"/>
      <c r="D373" s="58" t="s">
        <v>406</v>
      </c>
      <c r="E373" s="59" t="s">
        <v>662</v>
      </c>
      <c r="G373" s="60">
        <v>24</v>
      </c>
      <c r="M373" s="61"/>
    </row>
    <row r="374" spans="1:76" ht="14.5" x14ac:dyDescent="0.35">
      <c r="A374" s="1" t="s">
        <v>663</v>
      </c>
      <c r="B374" s="2" t="s">
        <v>103</v>
      </c>
      <c r="C374" s="2" t="s">
        <v>664</v>
      </c>
      <c r="D374" s="155" t="s">
        <v>665</v>
      </c>
      <c r="E374" s="153"/>
      <c r="F374" s="2" t="s">
        <v>196</v>
      </c>
      <c r="G374" s="54">
        <f>'Stavební rozpočet'!G279</f>
        <v>24</v>
      </c>
      <c r="H374" s="94">
        <f>'Stavební rozpočet'!H279</f>
        <v>0</v>
      </c>
      <c r="I374" s="54">
        <f>G374*H374</f>
        <v>0</v>
      </c>
      <c r="J374" s="54">
        <f>'Stavební rozpočet'!J279</f>
        <v>1.933E-2</v>
      </c>
      <c r="K374" s="54">
        <f>'Stavební rozpočet'!K279</f>
        <v>1.933E-2</v>
      </c>
      <c r="L374" s="54">
        <f>G374*J374</f>
        <v>0.46392</v>
      </c>
      <c r="M374" s="55" t="s">
        <v>10</v>
      </c>
      <c r="Z374" s="54">
        <f>IF(AQ374="5",BJ374,0)</f>
        <v>0</v>
      </c>
      <c r="AB374" s="54">
        <f>IF(AQ374="1",BH374,0)</f>
        <v>0</v>
      </c>
      <c r="AC374" s="54">
        <f>IF(AQ374="1",BI374,0)</f>
        <v>0</v>
      </c>
      <c r="AD374" s="54">
        <f>IF(AQ374="7",BH374,0)</f>
        <v>0</v>
      </c>
      <c r="AE374" s="54">
        <f>IF(AQ374="7",BI374,0)</f>
        <v>0</v>
      </c>
      <c r="AF374" s="54">
        <f>IF(AQ374="2",BH374,0)</f>
        <v>0</v>
      </c>
      <c r="AG374" s="54">
        <f>IF(AQ374="2",BI374,0)</f>
        <v>0</v>
      </c>
      <c r="AH374" s="54">
        <f>IF(AQ374="0",BJ374,0)</f>
        <v>0</v>
      </c>
      <c r="AI374" s="34" t="s">
        <v>103</v>
      </c>
      <c r="AJ374" s="54">
        <f>IF(AN374=0,I374,0)</f>
        <v>0</v>
      </c>
      <c r="AK374" s="54">
        <f>IF(AN374=12,I374,0)</f>
        <v>0</v>
      </c>
      <c r="AL374" s="54">
        <f>IF(AN374=21,I374,0)</f>
        <v>0</v>
      </c>
      <c r="AN374" s="54">
        <v>21</v>
      </c>
      <c r="AO374" s="54">
        <f>H374*0</f>
        <v>0</v>
      </c>
      <c r="AP374" s="54">
        <f>H374*(1-0)</f>
        <v>0</v>
      </c>
      <c r="AQ374" s="56" t="s">
        <v>168</v>
      </c>
      <c r="AV374" s="54">
        <f>AW374+AX374</f>
        <v>0</v>
      </c>
      <c r="AW374" s="54">
        <f>G374*AO374</f>
        <v>0</v>
      </c>
      <c r="AX374" s="54">
        <f>G374*AP374</f>
        <v>0</v>
      </c>
      <c r="AY374" s="56" t="s">
        <v>622</v>
      </c>
      <c r="AZ374" s="56" t="s">
        <v>418</v>
      </c>
      <c r="BA374" s="34" t="s">
        <v>114</v>
      </c>
      <c r="BC374" s="54">
        <f>AW374+AX374</f>
        <v>0</v>
      </c>
      <c r="BD374" s="54">
        <f>H374/(100-BE374)*100</f>
        <v>0</v>
      </c>
      <c r="BE374" s="54">
        <v>0</v>
      </c>
      <c r="BF374" s="54">
        <f>L374</f>
        <v>0.46392</v>
      </c>
      <c r="BH374" s="54">
        <f>G374*AO374</f>
        <v>0</v>
      </c>
      <c r="BI374" s="54">
        <f>G374*AP374</f>
        <v>0</v>
      </c>
      <c r="BJ374" s="54">
        <f>G374*H374</f>
        <v>0</v>
      </c>
      <c r="BK374" s="54"/>
      <c r="BL374" s="54">
        <v>725</v>
      </c>
      <c r="BW374" s="54">
        <v>21</v>
      </c>
      <c r="BX374" s="3" t="s">
        <v>665</v>
      </c>
    </row>
    <row r="375" spans="1:76" ht="13.5" customHeight="1" x14ac:dyDescent="0.35">
      <c r="A375" s="57"/>
      <c r="C375" s="62" t="s">
        <v>122</v>
      </c>
      <c r="D375" s="214" t="s">
        <v>666</v>
      </c>
      <c r="E375" s="215"/>
      <c r="F375" s="215"/>
      <c r="G375" s="215"/>
      <c r="H375" s="215"/>
      <c r="I375" s="215"/>
      <c r="J375" s="215"/>
      <c r="K375" s="215"/>
      <c r="L375" s="215"/>
      <c r="M375" s="216"/>
    </row>
    <row r="376" spans="1:76" ht="14.5" x14ac:dyDescent="0.35">
      <c r="A376" s="57"/>
      <c r="D376" s="58" t="s">
        <v>406</v>
      </c>
      <c r="E376" s="59" t="s">
        <v>667</v>
      </c>
      <c r="G376" s="60">
        <v>24</v>
      </c>
      <c r="M376" s="61"/>
    </row>
    <row r="377" spans="1:76" ht="14.5" x14ac:dyDescent="0.35">
      <c r="A377" s="1" t="s">
        <v>668</v>
      </c>
      <c r="B377" s="2" t="s">
        <v>103</v>
      </c>
      <c r="C377" s="2" t="s">
        <v>669</v>
      </c>
      <c r="D377" s="155" t="s">
        <v>670</v>
      </c>
      <c r="E377" s="153"/>
      <c r="F377" s="2" t="s">
        <v>196</v>
      </c>
      <c r="G377" s="54">
        <f>'Stavební rozpočet'!G281</f>
        <v>24</v>
      </c>
      <c r="H377" s="94">
        <f>'Stavební rozpočet'!H281</f>
        <v>0</v>
      </c>
      <c r="I377" s="54">
        <f>G377*H377</f>
        <v>0</v>
      </c>
      <c r="J377" s="54">
        <f>'Stavební rozpočet'!J281</f>
        <v>3.1870000000000002E-2</v>
      </c>
      <c r="K377" s="54">
        <f>'Stavební rozpočet'!K281</f>
        <v>3.1870000000000002E-2</v>
      </c>
      <c r="L377" s="54">
        <f>G377*J377</f>
        <v>0.76488</v>
      </c>
      <c r="M377" s="55" t="s">
        <v>10</v>
      </c>
      <c r="Z377" s="54">
        <f>IF(AQ377="5",BJ377,0)</f>
        <v>0</v>
      </c>
      <c r="AB377" s="54">
        <f>IF(AQ377="1",BH377,0)</f>
        <v>0</v>
      </c>
      <c r="AC377" s="54">
        <f>IF(AQ377="1",BI377,0)</f>
        <v>0</v>
      </c>
      <c r="AD377" s="54">
        <f>IF(AQ377="7",BH377,0)</f>
        <v>0</v>
      </c>
      <c r="AE377" s="54">
        <f>IF(AQ377="7",BI377,0)</f>
        <v>0</v>
      </c>
      <c r="AF377" s="54">
        <f>IF(AQ377="2",BH377,0)</f>
        <v>0</v>
      </c>
      <c r="AG377" s="54">
        <f>IF(AQ377="2",BI377,0)</f>
        <v>0</v>
      </c>
      <c r="AH377" s="54">
        <f>IF(AQ377="0",BJ377,0)</f>
        <v>0</v>
      </c>
      <c r="AI377" s="34" t="s">
        <v>103</v>
      </c>
      <c r="AJ377" s="54">
        <f>IF(AN377=0,I377,0)</f>
        <v>0</v>
      </c>
      <c r="AK377" s="54">
        <f>IF(AN377=12,I377,0)</f>
        <v>0</v>
      </c>
      <c r="AL377" s="54">
        <f>IF(AN377=21,I377,0)</f>
        <v>0</v>
      </c>
      <c r="AN377" s="54">
        <v>21</v>
      </c>
      <c r="AO377" s="54">
        <f>H377*0</f>
        <v>0</v>
      </c>
      <c r="AP377" s="54">
        <f>H377*(1-0)</f>
        <v>0</v>
      </c>
      <c r="AQ377" s="56" t="s">
        <v>168</v>
      </c>
      <c r="AV377" s="54">
        <f>AW377+AX377</f>
        <v>0</v>
      </c>
      <c r="AW377" s="54">
        <f>G377*AO377</f>
        <v>0</v>
      </c>
      <c r="AX377" s="54">
        <f>G377*AP377</f>
        <v>0</v>
      </c>
      <c r="AY377" s="56" t="s">
        <v>622</v>
      </c>
      <c r="AZ377" s="56" t="s">
        <v>418</v>
      </c>
      <c r="BA377" s="34" t="s">
        <v>114</v>
      </c>
      <c r="BC377" s="54">
        <f>AW377+AX377</f>
        <v>0</v>
      </c>
      <c r="BD377" s="54">
        <f>H377/(100-BE377)*100</f>
        <v>0</v>
      </c>
      <c r="BE377" s="54">
        <v>0</v>
      </c>
      <c r="BF377" s="54">
        <f>L377</f>
        <v>0.76488</v>
      </c>
      <c r="BH377" s="54">
        <f>G377*AO377</f>
        <v>0</v>
      </c>
      <c r="BI377" s="54">
        <f>G377*AP377</f>
        <v>0</v>
      </c>
      <c r="BJ377" s="54">
        <f>G377*H377</f>
        <v>0</v>
      </c>
      <c r="BK377" s="54"/>
      <c r="BL377" s="54">
        <v>725</v>
      </c>
      <c r="BW377" s="54">
        <v>21</v>
      </c>
      <c r="BX377" s="3" t="s">
        <v>670</v>
      </c>
    </row>
    <row r="378" spans="1:76" ht="13.5" customHeight="1" x14ac:dyDescent="0.35">
      <c r="A378" s="57"/>
      <c r="C378" s="62" t="s">
        <v>122</v>
      </c>
      <c r="D378" s="214" t="s">
        <v>666</v>
      </c>
      <c r="E378" s="215"/>
      <c r="F378" s="215"/>
      <c r="G378" s="215"/>
      <c r="H378" s="215"/>
      <c r="I378" s="215"/>
      <c r="J378" s="215"/>
      <c r="K378" s="215"/>
      <c r="L378" s="215"/>
      <c r="M378" s="216"/>
    </row>
    <row r="379" spans="1:76" ht="14.5" x14ac:dyDescent="0.35">
      <c r="A379" s="57"/>
      <c r="D379" s="58" t="s">
        <v>406</v>
      </c>
      <c r="E379" s="59" t="s">
        <v>667</v>
      </c>
      <c r="G379" s="60">
        <v>24</v>
      </c>
      <c r="M379" s="61"/>
    </row>
    <row r="380" spans="1:76" ht="14.5" x14ac:dyDescent="0.35">
      <c r="A380" s="1" t="s">
        <v>671</v>
      </c>
      <c r="B380" s="2" t="s">
        <v>103</v>
      </c>
      <c r="C380" s="2" t="s">
        <v>672</v>
      </c>
      <c r="D380" s="155" t="s">
        <v>673</v>
      </c>
      <c r="E380" s="153"/>
      <c r="F380" s="2" t="s">
        <v>196</v>
      </c>
      <c r="G380" s="54">
        <f>'Stavební rozpočet'!G283</f>
        <v>24</v>
      </c>
      <c r="H380" s="94">
        <f>'Stavební rozpočet'!H283</f>
        <v>0</v>
      </c>
      <c r="I380" s="54">
        <f>G380*H380</f>
        <v>0</v>
      </c>
      <c r="J380" s="54">
        <f>'Stavební rozpočet'!J283</f>
        <v>0.38567000000000001</v>
      </c>
      <c r="K380" s="54">
        <f>'Stavební rozpočet'!K283</f>
        <v>0.38472000000000001</v>
      </c>
      <c r="L380" s="54">
        <f>G380*J380</f>
        <v>9.2560800000000008</v>
      </c>
      <c r="M380" s="55" t="s">
        <v>10</v>
      </c>
      <c r="Z380" s="54">
        <f>IF(AQ380="5",BJ380,0)</f>
        <v>0</v>
      </c>
      <c r="AB380" s="54">
        <f>IF(AQ380="1",BH380,0)</f>
        <v>0</v>
      </c>
      <c r="AC380" s="54">
        <f>IF(AQ380="1",BI380,0)</f>
        <v>0</v>
      </c>
      <c r="AD380" s="54">
        <f>IF(AQ380="7",BH380,0)</f>
        <v>0</v>
      </c>
      <c r="AE380" s="54">
        <f>IF(AQ380="7",BI380,0)</f>
        <v>0</v>
      </c>
      <c r="AF380" s="54">
        <f>IF(AQ380="2",BH380,0)</f>
        <v>0</v>
      </c>
      <c r="AG380" s="54">
        <f>IF(AQ380="2",BI380,0)</f>
        <v>0</v>
      </c>
      <c r="AH380" s="54">
        <f>IF(AQ380="0",BJ380,0)</f>
        <v>0</v>
      </c>
      <c r="AI380" s="34" t="s">
        <v>103</v>
      </c>
      <c r="AJ380" s="54">
        <f>IF(AN380=0,I380,0)</f>
        <v>0</v>
      </c>
      <c r="AK380" s="54">
        <f>IF(AN380=12,I380,0)</f>
        <v>0</v>
      </c>
      <c r="AL380" s="54">
        <f>IF(AN380=21,I380,0)</f>
        <v>0</v>
      </c>
      <c r="AN380" s="54">
        <v>21</v>
      </c>
      <c r="AO380" s="54">
        <f>H380*0.017915933</f>
        <v>0</v>
      </c>
      <c r="AP380" s="54">
        <f>H380*(1-0.017915933)</f>
        <v>0</v>
      </c>
      <c r="AQ380" s="56" t="s">
        <v>168</v>
      </c>
      <c r="AV380" s="54">
        <f>AW380+AX380</f>
        <v>0</v>
      </c>
      <c r="AW380" s="54">
        <f>G380*AO380</f>
        <v>0</v>
      </c>
      <c r="AX380" s="54">
        <f>G380*AP380</f>
        <v>0</v>
      </c>
      <c r="AY380" s="56" t="s">
        <v>622</v>
      </c>
      <c r="AZ380" s="56" t="s">
        <v>418</v>
      </c>
      <c r="BA380" s="34" t="s">
        <v>114</v>
      </c>
      <c r="BC380" s="54">
        <f>AW380+AX380</f>
        <v>0</v>
      </c>
      <c r="BD380" s="54">
        <f>H380/(100-BE380)*100</f>
        <v>0</v>
      </c>
      <c r="BE380" s="54">
        <v>0</v>
      </c>
      <c r="BF380" s="54">
        <f>L380</f>
        <v>9.2560800000000008</v>
      </c>
      <c r="BH380" s="54">
        <f>G380*AO380</f>
        <v>0</v>
      </c>
      <c r="BI380" s="54">
        <f>G380*AP380</f>
        <v>0</v>
      </c>
      <c r="BJ380" s="54">
        <f>G380*H380</f>
        <v>0</v>
      </c>
      <c r="BK380" s="54"/>
      <c r="BL380" s="54">
        <v>725</v>
      </c>
      <c r="BW380" s="54">
        <v>21</v>
      </c>
      <c r="BX380" s="3" t="s">
        <v>673</v>
      </c>
    </row>
    <row r="381" spans="1:76" ht="13.5" customHeight="1" x14ac:dyDescent="0.35">
      <c r="A381" s="57"/>
      <c r="C381" s="62" t="s">
        <v>122</v>
      </c>
      <c r="D381" s="214" t="s">
        <v>666</v>
      </c>
      <c r="E381" s="215"/>
      <c r="F381" s="215"/>
      <c r="G381" s="215"/>
      <c r="H381" s="215"/>
      <c r="I381" s="215"/>
      <c r="J381" s="215"/>
      <c r="K381" s="215"/>
      <c r="L381" s="215"/>
      <c r="M381" s="216"/>
    </row>
    <row r="382" spans="1:76" ht="14.5" x14ac:dyDescent="0.35">
      <c r="A382" s="57"/>
      <c r="D382" s="58" t="s">
        <v>406</v>
      </c>
      <c r="E382" s="59" t="s">
        <v>667</v>
      </c>
      <c r="G382" s="60">
        <v>24</v>
      </c>
      <c r="M382" s="61"/>
    </row>
    <row r="383" spans="1:76" ht="14.5" x14ac:dyDescent="0.35">
      <c r="A383" s="1" t="s">
        <v>674</v>
      </c>
      <c r="B383" s="2" t="s">
        <v>103</v>
      </c>
      <c r="C383" s="2" t="s">
        <v>675</v>
      </c>
      <c r="D383" s="155" t="s">
        <v>676</v>
      </c>
      <c r="E383" s="153"/>
      <c r="F383" s="2" t="s">
        <v>581</v>
      </c>
      <c r="G383" s="54">
        <f>'Stavební rozpočet'!G285</f>
        <v>24</v>
      </c>
      <c r="H383" s="94">
        <f>'Stavební rozpočet'!H285</f>
        <v>0</v>
      </c>
      <c r="I383" s="54">
        <f>G383*H383</f>
        <v>0</v>
      </c>
      <c r="J383" s="54">
        <f>'Stavební rozpočet'!J285</f>
        <v>2.5999999999999998E-4</v>
      </c>
      <c r="K383" s="54">
        <f>'Stavební rozpočet'!K285</f>
        <v>0</v>
      </c>
      <c r="L383" s="54">
        <f>G383*J383</f>
        <v>6.239999999999999E-3</v>
      </c>
      <c r="M383" s="55" t="s">
        <v>111</v>
      </c>
      <c r="Z383" s="54">
        <f>IF(AQ383="5",BJ383,0)</f>
        <v>0</v>
      </c>
      <c r="AB383" s="54">
        <f>IF(AQ383="1",BH383,0)</f>
        <v>0</v>
      </c>
      <c r="AC383" s="54">
        <f>IF(AQ383="1",BI383,0)</f>
        <v>0</v>
      </c>
      <c r="AD383" s="54">
        <f>IF(AQ383="7",BH383,0)</f>
        <v>0</v>
      </c>
      <c r="AE383" s="54">
        <f>IF(AQ383="7",BI383,0)</f>
        <v>0</v>
      </c>
      <c r="AF383" s="54">
        <f>IF(AQ383="2",BH383,0)</f>
        <v>0</v>
      </c>
      <c r="AG383" s="54">
        <f>IF(AQ383="2",BI383,0)</f>
        <v>0</v>
      </c>
      <c r="AH383" s="54">
        <f>IF(AQ383="0",BJ383,0)</f>
        <v>0</v>
      </c>
      <c r="AI383" s="34" t="s">
        <v>103</v>
      </c>
      <c r="AJ383" s="54">
        <f>IF(AN383=0,I383,0)</f>
        <v>0</v>
      </c>
      <c r="AK383" s="54">
        <f>IF(AN383=12,I383,0)</f>
        <v>0</v>
      </c>
      <c r="AL383" s="54">
        <f>IF(AN383=21,I383,0)</f>
        <v>0</v>
      </c>
      <c r="AN383" s="54">
        <v>21</v>
      </c>
      <c r="AO383" s="54">
        <f>H383*0.829600844</f>
        <v>0</v>
      </c>
      <c r="AP383" s="54">
        <f>H383*(1-0.829600844)</f>
        <v>0</v>
      </c>
      <c r="AQ383" s="56" t="s">
        <v>168</v>
      </c>
      <c r="AV383" s="54">
        <f>AW383+AX383</f>
        <v>0</v>
      </c>
      <c r="AW383" s="54">
        <f>G383*AO383</f>
        <v>0</v>
      </c>
      <c r="AX383" s="54">
        <f>G383*AP383</f>
        <v>0</v>
      </c>
      <c r="AY383" s="56" t="s">
        <v>622</v>
      </c>
      <c r="AZ383" s="56" t="s">
        <v>418</v>
      </c>
      <c r="BA383" s="34" t="s">
        <v>114</v>
      </c>
      <c r="BC383" s="54">
        <f>AW383+AX383</f>
        <v>0</v>
      </c>
      <c r="BD383" s="54">
        <f>H383/(100-BE383)*100</f>
        <v>0</v>
      </c>
      <c r="BE383" s="54">
        <v>0</v>
      </c>
      <c r="BF383" s="54">
        <f>L383</f>
        <v>6.239999999999999E-3</v>
      </c>
      <c r="BH383" s="54">
        <f>G383*AO383</f>
        <v>0</v>
      </c>
      <c r="BI383" s="54">
        <f>G383*AP383</f>
        <v>0</v>
      </c>
      <c r="BJ383" s="54">
        <f>G383*H383</f>
        <v>0</v>
      </c>
      <c r="BK383" s="54"/>
      <c r="BL383" s="54">
        <v>725</v>
      </c>
      <c r="BW383" s="54">
        <v>21</v>
      </c>
      <c r="BX383" s="3" t="s">
        <v>676</v>
      </c>
    </row>
    <row r="384" spans="1:76" ht="13.5" customHeight="1" x14ac:dyDescent="0.35">
      <c r="A384" s="57"/>
      <c r="C384" s="62" t="s">
        <v>122</v>
      </c>
      <c r="D384" s="214" t="s">
        <v>623</v>
      </c>
      <c r="E384" s="215"/>
      <c r="F384" s="215"/>
      <c r="G384" s="215"/>
      <c r="H384" s="215"/>
      <c r="I384" s="215"/>
      <c r="J384" s="215"/>
      <c r="K384" s="215"/>
      <c r="L384" s="215"/>
      <c r="M384" s="216"/>
    </row>
    <row r="385" spans="1:76" ht="14.5" x14ac:dyDescent="0.35">
      <c r="A385" s="57"/>
      <c r="D385" s="58" t="s">
        <v>406</v>
      </c>
      <c r="E385" s="59" t="s">
        <v>677</v>
      </c>
      <c r="G385" s="60">
        <v>24</v>
      </c>
      <c r="M385" s="61"/>
    </row>
    <row r="386" spans="1:76" ht="14.5" x14ac:dyDescent="0.35">
      <c r="A386" s="1" t="s">
        <v>678</v>
      </c>
      <c r="B386" s="2" t="s">
        <v>103</v>
      </c>
      <c r="C386" s="2" t="s">
        <v>679</v>
      </c>
      <c r="D386" s="155" t="s">
        <v>680</v>
      </c>
      <c r="E386" s="153"/>
      <c r="F386" s="2" t="s">
        <v>581</v>
      </c>
      <c r="G386" s="54">
        <f>'Stavební rozpočet'!G287</f>
        <v>1</v>
      </c>
      <c r="H386" s="94">
        <f>'Stavební rozpočet'!H287</f>
        <v>0</v>
      </c>
      <c r="I386" s="54">
        <f>G386*H386</f>
        <v>0</v>
      </c>
      <c r="J386" s="54">
        <f>'Stavební rozpočet'!J287</f>
        <v>3.4700000000000002E-2</v>
      </c>
      <c r="K386" s="54">
        <f>'Stavební rozpočet'!K287</f>
        <v>3.4700000000000002E-2</v>
      </c>
      <c r="L386" s="54">
        <f>G386*J386</f>
        <v>3.4700000000000002E-2</v>
      </c>
      <c r="M386" s="55" t="s">
        <v>111</v>
      </c>
      <c r="Z386" s="54">
        <f>IF(AQ386="5",BJ386,0)</f>
        <v>0</v>
      </c>
      <c r="AB386" s="54">
        <f>IF(AQ386="1",BH386,0)</f>
        <v>0</v>
      </c>
      <c r="AC386" s="54">
        <f>IF(AQ386="1",BI386,0)</f>
        <v>0</v>
      </c>
      <c r="AD386" s="54">
        <f>IF(AQ386="7",BH386,0)</f>
        <v>0</v>
      </c>
      <c r="AE386" s="54">
        <f>IF(AQ386="7",BI386,0)</f>
        <v>0</v>
      </c>
      <c r="AF386" s="54">
        <f>IF(AQ386="2",BH386,0)</f>
        <v>0</v>
      </c>
      <c r="AG386" s="54">
        <f>IF(AQ386="2",BI386,0)</f>
        <v>0</v>
      </c>
      <c r="AH386" s="54">
        <f>IF(AQ386="0",BJ386,0)</f>
        <v>0</v>
      </c>
      <c r="AI386" s="34" t="s">
        <v>103</v>
      </c>
      <c r="AJ386" s="54">
        <f>IF(AN386=0,I386,0)</f>
        <v>0</v>
      </c>
      <c r="AK386" s="54">
        <f>IF(AN386=12,I386,0)</f>
        <v>0</v>
      </c>
      <c r="AL386" s="54">
        <f>IF(AN386=21,I386,0)</f>
        <v>0</v>
      </c>
      <c r="AN386" s="54">
        <v>21</v>
      </c>
      <c r="AO386" s="54">
        <f>H386*0</f>
        <v>0</v>
      </c>
      <c r="AP386" s="54">
        <f>H386*(1-0)</f>
        <v>0</v>
      </c>
      <c r="AQ386" s="56" t="s">
        <v>168</v>
      </c>
      <c r="AV386" s="54">
        <f>AW386+AX386</f>
        <v>0</v>
      </c>
      <c r="AW386" s="54">
        <f>G386*AO386</f>
        <v>0</v>
      </c>
      <c r="AX386" s="54">
        <f>G386*AP386</f>
        <v>0</v>
      </c>
      <c r="AY386" s="56" t="s">
        <v>622</v>
      </c>
      <c r="AZ386" s="56" t="s">
        <v>418</v>
      </c>
      <c r="BA386" s="34" t="s">
        <v>114</v>
      </c>
      <c r="BC386" s="54">
        <f>AW386+AX386</f>
        <v>0</v>
      </c>
      <c r="BD386" s="54">
        <f>H386/(100-BE386)*100</f>
        <v>0</v>
      </c>
      <c r="BE386" s="54">
        <v>0</v>
      </c>
      <c r="BF386" s="54">
        <f>L386</f>
        <v>3.4700000000000002E-2</v>
      </c>
      <c r="BH386" s="54">
        <f>G386*AO386</f>
        <v>0</v>
      </c>
      <c r="BI386" s="54">
        <f>G386*AP386</f>
        <v>0</v>
      </c>
      <c r="BJ386" s="54">
        <f>G386*H386</f>
        <v>0</v>
      </c>
      <c r="BK386" s="54"/>
      <c r="BL386" s="54">
        <v>725</v>
      </c>
      <c r="BW386" s="54">
        <v>21</v>
      </c>
      <c r="BX386" s="3" t="s">
        <v>680</v>
      </c>
    </row>
    <row r="387" spans="1:76" ht="14.5" x14ac:dyDescent="0.35">
      <c r="A387" s="57"/>
      <c r="D387" s="58" t="s">
        <v>629</v>
      </c>
      <c r="E387" s="59" t="s">
        <v>681</v>
      </c>
      <c r="G387" s="60">
        <v>1</v>
      </c>
      <c r="M387" s="61"/>
    </row>
    <row r="388" spans="1:76" ht="14.5" x14ac:dyDescent="0.35">
      <c r="A388" s="1" t="s">
        <v>682</v>
      </c>
      <c r="B388" s="2" t="s">
        <v>103</v>
      </c>
      <c r="C388" s="2" t="s">
        <v>683</v>
      </c>
      <c r="D388" s="155" t="s">
        <v>684</v>
      </c>
      <c r="E388" s="153"/>
      <c r="F388" s="2" t="s">
        <v>196</v>
      </c>
      <c r="G388" s="54">
        <f>'Stavební rozpočet'!G289</f>
        <v>1</v>
      </c>
      <c r="H388" s="94">
        <f>'Stavební rozpočet'!H289</f>
        <v>0</v>
      </c>
      <c r="I388" s="54">
        <f>G388*H388</f>
        <v>0</v>
      </c>
      <c r="J388" s="54">
        <f>'Stavební rozpočet'!J289</f>
        <v>8.0000000000000007E-5</v>
      </c>
      <c r="K388" s="54">
        <f>'Stavební rozpočet'!K289</f>
        <v>0</v>
      </c>
      <c r="L388" s="54">
        <f>G388*J388</f>
        <v>8.0000000000000007E-5</v>
      </c>
      <c r="M388" s="55" t="s">
        <v>111</v>
      </c>
      <c r="Z388" s="54">
        <f>IF(AQ388="5",BJ388,0)</f>
        <v>0</v>
      </c>
      <c r="AB388" s="54">
        <f>IF(AQ388="1",BH388,0)</f>
        <v>0</v>
      </c>
      <c r="AC388" s="54">
        <f>IF(AQ388="1",BI388,0)</f>
        <v>0</v>
      </c>
      <c r="AD388" s="54">
        <f>IF(AQ388="7",BH388,0)</f>
        <v>0</v>
      </c>
      <c r="AE388" s="54">
        <f>IF(AQ388="7",BI388,0)</f>
        <v>0</v>
      </c>
      <c r="AF388" s="54">
        <f>IF(AQ388="2",BH388,0)</f>
        <v>0</v>
      </c>
      <c r="AG388" s="54">
        <f>IF(AQ388="2",BI388,0)</f>
        <v>0</v>
      </c>
      <c r="AH388" s="54">
        <f>IF(AQ388="0",BJ388,0)</f>
        <v>0</v>
      </c>
      <c r="AI388" s="34" t="s">
        <v>103</v>
      </c>
      <c r="AJ388" s="54">
        <f>IF(AN388=0,I388,0)</f>
        <v>0</v>
      </c>
      <c r="AK388" s="54">
        <f>IF(AN388=12,I388,0)</f>
        <v>0</v>
      </c>
      <c r="AL388" s="54">
        <f>IF(AN388=21,I388,0)</f>
        <v>0</v>
      </c>
      <c r="AN388" s="54">
        <v>21</v>
      </c>
      <c r="AO388" s="54">
        <f>H388*0.124127849</f>
        <v>0</v>
      </c>
      <c r="AP388" s="54">
        <f>H388*(1-0.124127849)</f>
        <v>0</v>
      </c>
      <c r="AQ388" s="56" t="s">
        <v>168</v>
      </c>
      <c r="AV388" s="54">
        <f>AW388+AX388</f>
        <v>0</v>
      </c>
      <c r="AW388" s="54">
        <f>G388*AO388</f>
        <v>0</v>
      </c>
      <c r="AX388" s="54">
        <f>G388*AP388</f>
        <v>0</v>
      </c>
      <c r="AY388" s="56" t="s">
        <v>622</v>
      </c>
      <c r="AZ388" s="56" t="s">
        <v>418</v>
      </c>
      <c r="BA388" s="34" t="s">
        <v>114</v>
      </c>
      <c r="BC388" s="54">
        <f>AW388+AX388</f>
        <v>0</v>
      </c>
      <c r="BD388" s="54">
        <f>H388/(100-BE388)*100</f>
        <v>0</v>
      </c>
      <c r="BE388" s="54">
        <v>0</v>
      </c>
      <c r="BF388" s="54">
        <f>L388</f>
        <v>8.0000000000000007E-5</v>
      </c>
      <c r="BH388" s="54">
        <f>G388*AO388</f>
        <v>0</v>
      </c>
      <c r="BI388" s="54">
        <f>G388*AP388</f>
        <v>0</v>
      </c>
      <c r="BJ388" s="54">
        <f>G388*H388</f>
        <v>0</v>
      </c>
      <c r="BK388" s="54"/>
      <c r="BL388" s="54">
        <v>725</v>
      </c>
      <c r="BW388" s="54">
        <v>21</v>
      </c>
      <c r="BX388" s="3" t="s">
        <v>684</v>
      </c>
    </row>
    <row r="389" spans="1:76" ht="14.5" x14ac:dyDescent="0.35">
      <c r="A389" s="57"/>
      <c r="D389" s="58" t="s">
        <v>629</v>
      </c>
      <c r="E389" s="59" t="s">
        <v>685</v>
      </c>
      <c r="G389" s="60">
        <v>1</v>
      </c>
      <c r="M389" s="61"/>
    </row>
    <row r="390" spans="1:76" ht="14.5" x14ac:dyDescent="0.35">
      <c r="A390" s="1" t="s">
        <v>686</v>
      </c>
      <c r="B390" s="2" t="s">
        <v>103</v>
      </c>
      <c r="C390" s="2" t="s">
        <v>687</v>
      </c>
      <c r="D390" s="155" t="s">
        <v>688</v>
      </c>
      <c r="E390" s="153"/>
      <c r="F390" s="2" t="s">
        <v>581</v>
      </c>
      <c r="G390" s="54">
        <f>'Stavební rozpočet'!G291</f>
        <v>1</v>
      </c>
      <c r="H390" s="94">
        <f>'Stavební rozpočet'!H291</f>
        <v>0</v>
      </c>
      <c r="I390" s="54">
        <f>G390*H390</f>
        <v>0</v>
      </c>
      <c r="J390" s="54">
        <f>'Stavební rozpočet'!J291</f>
        <v>1.56E-3</v>
      </c>
      <c r="K390" s="54">
        <f>'Stavební rozpočet'!K291</f>
        <v>1.56E-3</v>
      </c>
      <c r="L390" s="54">
        <f>G390*J390</f>
        <v>1.56E-3</v>
      </c>
      <c r="M390" s="55" t="s">
        <v>111</v>
      </c>
      <c r="Z390" s="54">
        <f>IF(AQ390="5",BJ390,0)</f>
        <v>0</v>
      </c>
      <c r="AB390" s="54">
        <f>IF(AQ390="1",BH390,0)</f>
        <v>0</v>
      </c>
      <c r="AC390" s="54">
        <f>IF(AQ390="1",BI390,0)</f>
        <v>0</v>
      </c>
      <c r="AD390" s="54">
        <f>IF(AQ390="7",BH390,0)</f>
        <v>0</v>
      </c>
      <c r="AE390" s="54">
        <f>IF(AQ390="7",BI390,0)</f>
        <v>0</v>
      </c>
      <c r="AF390" s="54">
        <f>IF(AQ390="2",BH390,0)</f>
        <v>0</v>
      </c>
      <c r="AG390" s="54">
        <f>IF(AQ390="2",BI390,0)</f>
        <v>0</v>
      </c>
      <c r="AH390" s="54">
        <f>IF(AQ390="0",BJ390,0)</f>
        <v>0</v>
      </c>
      <c r="AI390" s="34" t="s">
        <v>103</v>
      </c>
      <c r="AJ390" s="54">
        <f>IF(AN390=0,I390,0)</f>
        <v>0</v>
      </c>
      <c r="AK390" s="54">
        <f>IF(AN390=12,I390,0)</f>
        <v>0</v>
      </c>
      <c r="AL390" s="54">
        <f>IF(AN390=21,I390,0)</f>
        <v>0</v>
      </c>
      <c r="AN390" s="54">
        <v>21</v>
      </c>
      <c r="AO390" s="54">
        <f>H390*0</f>
        <v>0</v>
      </c>
      <c r="AP390" s="54">
        <f>H390*(1-0)</f>
        <v>0</v>
      </c>
      <c r="AQ390" s="56" t="s">
        <v>168</v>
      </c>
      <c r="AV390" s="54">
        <f>AW390+AX390</f>
        <v>0</v>
      </c>
      <c r="AW390" s="54">
        <f>G390*AO390</f>
        <v>0</v>
      </c>
      <c r="AX390" s="54">
        <f>G390*AP390</f>
        <v>0</v>
      </c>
      <c r="AY390" s="56" t="s">
        <v>622</v>
      </c>
      <c r="AZ390" s="56" t="s">
        <v>418</v>
      </c>
      <c r="BA390" s="34" t="s">
        <v>114</v>
      </c>
      <c r="BC390" s="54">
        <f>AW390+AX390</f>
        <v>0</v>
      </c>
      <c r="BD390" s="54">
        <f>H390/(100-BE390)*100</f>
        <v>0</v>
      </c>
      <c r="BE390" s="54">
        <v>0</v>
      </c>
      <c r="BF390" s="54">
        <f>L390</f>
        <v>1.56E-3</v>
      </c>
      <c r="BH390" s="54">
        <f>G390*AO390</f>
        <v>0</v>
      </c>
      <c r="BI390" s="54">
        <f>G390*AP390</f>
        <v>0</v>
      </c>
      <c r="BJ390" s="54">
        <f>G390*H390</f>
        <v>0</v>
      </c>
      <c r="BK390" s="54"/>
      <c r="BL390" s="54">
        <v>725</v>
      </c>
      <c r="BW390" s="54">
        <v>21</v>
      </c>
      <c r="BX390" s="3" t="s">
        <v>688</v>
      </c>
    </row>
    <row r="391" spans="1:76" ht="14.5" x14ac:dyDescent="0.35">
      <c r="A391" s="57"/>
      <c r="D391" s="58" t="s">
        <v>629</v>
      </c>
      <c r="E391" s="59" t="s">
        <v>685</v>
      </c>
      <c r="G391" s="60">
        <v>1</v>
      </c>
      <c r="M391" s="61"/>
    </row>
    <row r="392" spans="1:76" ht="14.5" x14ac:dyDescent="0.35">
      <c r="A392" s="1" t="s">
        <v>689</v>
      </c>
      <c r="B392" s="2" t="s">
        <v>103</v>
      </c>
      <c r="C392" s="2" t="s">
        <v>690</v>
      </c>
      <c r="D392" s="155" t="s">
        <v>691</v>
      </c>
      <c r="E392" s="153"/>
      <c r="F392" s="2" t="s">
        <v>110</v>
      </c>
      <c r="G392" s="54">
        <f>'Stavební rozpočet'!G293</f>
        <v>0</v>
      </c>
      <c r="H392" s="94">
        <f>'Stavební rozpočet'!H293</f>
        <v>0</v>
      </c>
      <c r="I392" s="54">
        <f>G392*H392</f>
        <v>0</v>
      </c>
      <c r="J392" s="54">
        <f>'Stavební rozpočet'!J293</f>
        <v>8.0000000000000007E-5</v>
      </c>
      <c r="K392" s="54">
        <f>'Stavební rozpočet'!K293</f>
        <v>0</v>
      </c>
      <c r="L392" s="54">
        <f>G392*J392</f>
        <v>0</v>
      </c>
      <c r="M392" s="55" t="s">
        <v>111</v>
      </c>
      <c r="Z392" s="54">
        <f>IF(AQ392="5",BJ392,0)</f>
        <v>0</v>
      </c>
      <c r="AB392" s="54">
        <f>IF(AQ392="1",BH392,0)</f>
        <v>0</v>
      </c>
      <c r="AC392" s="54">
        <f>IF(AQ392="1",BI392,0)</f>
        <v>0</v>
      </c>
      <c r="AD392" s="54">
        <f>IF(AQ392="7",BH392,0)</f>
        <v>0</v>
      </c>
      <c r="AE392" s="54">
        <f>IF(AQ392="7",BI392,0)</f>
        <v>0</v>
      </c>
      <c r="AF392" s="54">
        <f>IF(AQ392="2",BH392,0)</f>
        <v>0</v>
      </c>
      <c r="AG392" s="54">
        <f>IF(AQ392="2",BI392,0)</f>
        <v>0</v>
      </c>
      <c r="AH392" s="54">
        <f>IF(AQ392="0",BJ392,0)</f>
        <v>0</v>
      </c>
      <c r="AI392" s="34" t="s">
        <v>103</v>
      </c>
      <c r="AJ392" s="54">
        <f>IF(AN392=0,I392,0)</f>
        <v>0</v>
      </c>
      <c r="AK392" s="54">
        <f>IF(AN392=12,I392,0)</f>
        <v>0</v>
      </c>
      <c r="AL392" s="54">
        <f>IF(AN392=21,I392,0)</f>
        <v>0</v>
      </c>
      <c r="AN392" s="54">
        <v>21</v>
      </c>
      <c r="AO392" s="54">
        <f>H392*0</f>
        <v>0</v>
      </c>
      <c r="AP392" s="54">
        <f>H392*(1-0)</f>
        <v>0</v>
      </c>
      <c r="AQ392" s="56" t="s">
        <v>168</v>
      </c>
      <c r="AV392" s="54">
        <f>AW392+AX392</f>
        <v>0</v>
      </c>
      <c r="AW392" s="54">
        <f>G392*AO392</f>
        <v>0</v>
      </c>
      <c r="AX392" s="54">
        <f>G392*AP392</f>
        <v>0</v>
      </c>
      <c r="AY392" s="56" t="s">
        <v>622</v>
      </c>
      <c r="AZ392" s="56" t="s">
        <v>418</v>
      </c>
      <c r="BA392" s="34" t="s">
        <v>114</v>
      </c>
      <c r="BC392" s="54">
        <f>AW392+AX392</f>
        <v>0</v>
      </c>
      <c r="BD392" s="54">
        <f>H392/(100-BE392)*100</f>
        <v>0</v>
      </c>
      <c r="BE392" s="54">
        <v>0</v>
      </c>
      <c r="BF392" s="54">
        <f>L392</f>
        <v>0</v>
      </c>
      <c r="BH392" s="54">
        <f>G392*AO392</f>
        <v>0</v>
      </c>
      <c r="BI392" s="54">
        <f>G392*AP392</f>
        <v>0</v>
      </c>
      <c r="BJ392" s="54">
        <f>G392*H392</f>
        <v>0</v>
      </c>
      <c r="BK392" s="54"/>
      <c r="BL392" s="54">
        <v>725</v>
      </c>
      <c r="BW392" s="54">
        <v>21</v>
      </c>
      <c r="BX392" s="3" t="s">
        <v>691</v>
      </c>
    </row>
    <row r="393" spans="1:76" ht="39" x14ac:dyDescent="0.35">
      <c r="A393" s="57"/>
      <c r="C393" s="62" t="s">
        <v>156</v>
      </c>
      <c r="D393" s="211" t="s">
        <v>692</v>
      </c>
      <c r="E393" s="212"/>
      <c r="F393" s="212"/>
      <c r="G393" s="212"/>
      <c r="H393" s="212"/>
      <c r="I393" s="212"/>
      <c r="J393" s="212"/>
      <c r="K393" s="212"/>
      <c r="L393" s="212"/>
      <c r="M393" s="213"/>
      <c r="BX393" s="63" t="s">
        <v>692</v>
      </c>
    </row>
    <row r="394" spans="1:76" ht="14.5" x14ac:dyDescent="0.35">
      <c r="A394" s="64" t="s">
        <v>693</v>
      </c>
      <c r="B394" s="65" t="s">
        <v>103</v>
      </c>
      <c r="C394" s="65" t="s">
        <v>694</v>
      </c>
      <c r="D394" s="217" t="s">
        <v>695</v>
      </c>
      <c r="E394" s="218"/>
      <c r="F394" s="65" t="s">
        <v>196</v>
      </c>
      <c r="G394" s="67">
        <f>'Stavební rozpočet'!G294</f>
        <v>24</v>
      </c>
      <c r="H394" s="95">
        <f>'Stavební rozpočet'!H294</f>
        <v>0</v>
      </c>
      <c r="I394" s="67">
        <f>G394*H394</f>
        <v>0</v>
      </c>
      <c r="J394" s="67">
        <f>'Stavební rozpočet'!J294</f>
        <v>6.0000000000000001E-3</v>
      </c>
      <c r="K394" s="67">
        <f>'Stavební rozpočet'!K294</f>
        <v>0</v>
      </c>
      <c r="L394" s="67">
        <f>G394*J394</f>
        <v>0.14400000000000002</v>
      </c>
      <c r="M394" s="68" t="s">
        <v>111</v>
      </c>
      <c r="Z394" s="54">
        <f>IF(AQ394="5",BJ394,0)</f>
        <v>0</v>
      </c>
      <c r="AB394" s="54">
        <f>IF(AQ394="1",BH394,0)</f>
        <v>0</v>
      </c>
      <c r="AC394" s="54">
        <f>IF(AQ394="1",BI394,0)</f>
        <v>0</v>
      </c>
      <c r="AD394" s="54">
        <f>IF(AQ394="7",BH394,0)</f>
        <v>0</v>
      </c>
      <c r="AE394" s="54">
        <f>IF(AQ394="7",BI394,0)</f>
        <v>0</v>
      </c>
      <c r="AF394" s="54">
        <f>IF(AQ394="2",BH394,0)</f>
        <v>0</v>
      </c>
      <c r="AG394" s="54">
        <f>IF(AQ394="2",BI394,0)</f>
        <v>0</v>
      </c>
      <c r="AH394" s="54">
        <f>IF(AQ394="0",BJ394,0)</f>
        <v>0</v>
      </c>
      <c r="AI394" s="34" t="s">
        <v>103</v>
      </c>
      <c r="AJ394" s="67">
        <f>IF(AN394=0,I394,0)</f>
        <v>0</v>
      </c>
      <c r="AK394" s="67">
        <f>IF(AN394=12,I394,0)</f>
        <v>0</v>
      </c>
      <c r="AL394" s="67">
        <f>IF(AN394=21,I394,0)</f>
        <v>0</v>
      </c>
      <c r="AN394" s="54">
        <v>21</v>
      </c>
      <c r="AO394" s="54">
        <f>H394*1</f>
        <v>0</v>
      </c>
      <c r="AP394" s="54">
        <f>H394*(1-1)</f>
        <v>0</v>
      </c>
      <c r="AQ394" s="69" t="s">
        <v>168</v>
      </c>
      <c r="AV394" s="54">
        <f>AW394+AX394</f>
        <v>0</v>
      </c>
      <c r="AW394" s="54">
        <f>G394*AO394</f>
        <v>0</v>
      </c>
      <c r="AX394" s="54">
        <f>G394*AP394</f>
        <v>0</v>
      </c>
      <c r="AY394" s="56" t="s">
        <v>622</v>
      </c>
      <c r="AZ394" s="56" t="s">
        <v>418</v>
      </c>
      <c r="BA394" s="34" t="s">
        <v>114</v>
      </c>
      <c r="BC394" s="54">
        <f>AW394+AX394</f>
        <v>0</v>
      </c>
      <c r="BD394" s="54">
        <f>H394/(100-BE394)*100</f>
        <v>0</v>
      </c>
      <c r="BE394" s="54">
        <v>0</v>
      </c>
      <c r="BF394" s="54">
        <f>L394</f>
        <v>0.14400000000000002</v>
      </c>
      <c r="BH394" s="67">
        <f>G394*AO394</f>
        <v>0</v>
      </c>
      <c r="BI394" s="67">
        <f>G394*AP394</f>
        <v>0</v>
      </c>
      <c r="BJ394" s="67">
        <f>G394*H394</f>
        <v>0</v>
      </c>
      <c r="BK394" s="67"/>
      <c r="BL394" s="54">
        <v>725</v>
      </c>
      <c r="BW394" s="54">
        <v>21</v>
      </c>
      <c r="BX394" s="66" t="s">
        <v>695</v>
      </c>
    </row>
    <row r="395" spans="1:76" ht="13.5" customHeight="1" x14ac:dyDescent="0.35">
      <c r="A395" s="57"/>
      <c r="C395" s="62" t="s">
        <v>122</v>
      </c>
      <c r="D395" s="214" t="s">
        <v>696</v>
      </c>
      <c r="E395" s="215"/>
      <c r="F395" s="215"/>
      <c r="G395" s="215"/>
      <c r="H395" s="215"/>
      <c r="I395" s="215"/>
      <c r="J395" s="215"/>
      <c r="K395" s="215"/>
      <c r="L395" s="215"/>
      <c r="M395" s="216"/>
    </row>
    <row r="396" spans="1:76" ht="14.5" x14ac:dyDescent="0.35">
      <c r="A396" s="57"/>
      <c r="D396" s="58" t="s">
        <v>406</v>
      </c>
      <c r="E396" s="59" t="s">
        <v>697</v>
      </c>
      <c r="G396" s="60">
        <v>24</v>
      </c>
      <c r="M396" s="61"/>
    </row>
    <row r="397" spans="1:76" ht="14.5" x14ac:dyDescent="0.35">
      <c r="A397" s="1" t="s">
        <v>698</v>
      </c>
      <c r="B397" s="2" t="s">
        <v>103</v>
      </c>
      <c r="C397" s="2" t="s">
        <v>699</v>
      </c>
      <c r="D397" s="155" t="s">
        <v>700</v>
      </c>
      <c r="E397" s="153"/>
      <c r="F397" s="2" t="s">
        <v>412</v>
      </c>
      <c r="G397" s="54">
        <f>'Stavební rozpočet'!G296</f>
        <v>13.708</v>
      </c>
      <c r="H397" s="94">
        <f>'Stavební rozpočet'!H296</f>
        <v>0</v>
      </c>
      <c r="I397" s="54">
        <f>G397*H397</f>
        <v>0</v>
      </c>
      <c r="J397" s="54">
        <f>'Stavební rozpočet'!J296</f>
        <v>0</v>
      </c>
      <c r="K397" s="54">
        <f>'Stavební rozpočet'!K296</f>
        <v>0</v>
      </c>
      <c r="L397" s="54">
        <f>G397*J397</f>
        <v>0</v>
      </c>
      <c r="M397" s="55" t="s">
        <v>111</v>
      </c>
      <c r="Z397" s="54">
        <f>IF(AQ397="5",BJ397,0)</f>
        <v>0</v>
      </c>
      <c r="AB397" s="54">
        <f>IF(AQ397="1",BH397,0)</f>
        <v>0</v>
      </c>
      <c r="AC397" s="54">
        <f>IF(AQ397="1",BI397,0)</f>
        <v>0</v>
      </c>
      <c r="AD397" s="54">
        <f>IF(AQ397="7",BH397,0)</f>
        <v>0</v>
      </c>
      <c r="AE397" s="54">
        <f>IF(AQ397="7",BI397,0)</f>
        <v>0</v>
      </c>
      <c r="AF397" s="54">
        <f>IF(AQ397="2",BH397,0)</f>
        <v>0</v>
      </c>
      <c r="AG397" s="54">
        <f>IF(AQ397="2",BI397,0)</f>
        <v>0</v>
      </c>
      <c r="AH397" s="54">
        <f>IF(AQ397="0",BJ397,0)</f>
        <v>0</v>
      </c>
      <c r="AI397" s="34" t="s">
        <v>103</v>
      </c>
      <c r="AJ397" s="54">
        <f>IF(AN397=0,I397,0)</f>
        <v>0</v>
      </c>
      <c r="AK397" s="54">
        <f>IF(AN397=12,I397,0)</f>
        <v>0</v>
      </c>
      <c r="AL397" s="54">
        <f>IF(AN397=21,I397,0)</f>
        <v>0</v>
      </c>
      <c r="AN397" s="54">
        <v>21</v>
      </c>
      <c r="AO397" s="54">
        <f>H397*0</f>
        <v>0</v>
      </c>
      <c r="AP397" s="54">
        <f>H397*(1-0)</f>
        <v>0</v>
      </c>
      <c r="AQ397" s="56" t="s">
        <v>150</v>
      </c>
      <c r="AV397" s="54">
        <f>AW397+AX397</f>
        <v>0</v>
      </c>
      <c r="AW397" s="54">
        <f>G397*AO397</f>
        <v>0</v>
      </c>
      <c r="AX397" s="54">
        <f>G397*AP397</f>
        <v>0</v>
      </c>
      <c r="AY397" s="56" t="s">
        <v>622</v>
      </c>
      <c r="AZ397" s="56" t="s">
        <v>418</v>
      </c>
      <c r="BA397" s="34" t="s">
        <v>114</v>
      </c>
      <c r="BC397" s="54">
        <f>AW397+AX397</f>
        <v>0</v>
      </c>
      <c r="BD397" s="54">
        <f>H397/(100-BE397)*100</f>
        <v>0</v>
      </c>
      <c r="BE397" s="54">
        <v>0</v>
      </c>
      <c r="BF397" s="54">
        <f>L397</f>
        <v>0</v>
      </c>
      <c r="BH397" s="54">
        <f>G397*AO397</f>
        <v>0</v>
      </c>
      <c r="BI397" s="54">
        <f>G397*AP397</f>
        <v>0</v>
      </c>
      <c r="BJ397" s="54">
        <f>G397*H397</f>
        <v>0</v>
      </c>
      <c r="BK397" s="54"/>
      <c r="BL397" s="54">
        <v>725</v>
      </c>
      <c r="BW397" s="54">
        <v>21</v>
      </c>
      <c r="BX397" s="3" t="s">
        <v>700</v>
      </c>
    </row>
    <row r="398" spans="1:76" ht="14.5" x14ac:dyDescent="0.35">
      <c r="A398" s="50" t="s">
        <v>10</v>
      </c>
      <c r="B398" s="51" t="s">
        <v>103</v>
      </c>
      <c r="C398" s="51" t="s">
        <v>701</v>
      </c>
      <c r="D398" s="206" t="s">
        <v>702</v>
      </c>
      <c r="E398" s="207"/>
      <c r="F398" s="52" t="s">
        <v>84</v>
      </c>
      <c r="G398" s="52" t="s">
        <v>84</v>
      </c>
      <c r="H398" s="52" t="s">
        <v>84</v>
      </c>
      <c r="I398" s="27">
        <f>SUM(I399:I405)</f>
        <v>0</v>
      </c>
      <c r="J398" s="34" t="s">
        <v>10</v>
      </c>
      <c r="K398" s="34" t="s">
        <v>10</v>
      </c>
      <c r="L398" s="27">
        <f>SUM(L399:L405)</f>
        <v>0.22487999999999997</v>
      </c>
      <c r="M398" s="53" t="s">
        <v>10</v>
      </c>
      <c r="AI398" s="34" t="s">
        <v>103</v>
      </c>
      <c r="AS398" s="27">
        <f>SUM(AJ399:AJ405)</f>
        <v>0</v>
      </c>
      <c r="AT398" s="27">
        <f>SUM(AK399:AK405)</f>
        <v>0</v>
      </c>
      <c r="AU398" s="27">
        <f>SUM(AL399:AL405)</f>
        <v>0</v>
      </c>
    </row>
    <row r="399" spans="1:76" ht="14.5" x14ac:dyDescent="0.35">
      <c r="A399" s="1" t="s">
        <v>703</v>
      </c>
      <c r="B399" s="2" t="s">
        <v>103</v>
      </c>
      <c r="C399" s="2" t="s">
        <v>704</v>
      </c>
      <c r="D399" s="155" t="s">
        <v>705</v>
      </c>
      <c r="E399" s="153"/>
      <c r="F399" s="2" t="s">
        <v>581</v>
      </c>
      <c r="G399" s="54">
        <f>'Stavební rozpočet'!G298</f>
        <v>24</v>
      </c>
      <c r="H399" s="94">
        <f>'Stavební rozpočet'!H298</f>
        <v>0</v>
      </c>
      <c r="I399" s="54">
        <f>G399*H399</f>
        <v>0</v>
      </c>
      <c r="J399" s="54">
        <f>'Stavební rozpočet'!J298</f>
        <v>8.9999999999999993E-3</v>
      </c>
      <c r="K399" s="54">
        <f>'Stavební rozpočet'!K298</f>
        <v>0</v>
      </c>
      <c r="L399" s="54">
        <f>G399*J399</f>
        <v>0.21599999999999997</v>
      </c>
      <c r="M399" s="55" t="s">
        <v>111</v>
      </c>
      <c r="Z399" s="54">
        <f>IF(AQ399="5",BJ399,0)</f>
        <v>0</v>
      </c>
      <c r="AB399" s="54">
        <f>IF(AQ399="1",BH399,0)</f>
        <v>0</v>
      </c>
      <c r="AC399" s="54">
        <f>IF(AQ399="1",BI399,0)</f>
        <v>0</v>
      </c>
      <c r="AD399" s="54">
        <f>IF(AQ399="7",BH399,0)</f>
        <v>0</v>
      </c>
      <c r="AE399" s="54">
        <f>IF(AQ399="7",BI399,0)</f>
        <v>0</v>
      </c>
      <c r="AF399" s="54">
        <f>IF(AQ399="2",BH399,0)</f>
        <v>0</v>
      </c>
      <c r="AG399" s="54">
        <f>IF(AQ399="2",BI399,0)</f>
        <v>0</v>
      </c>
      <c r="AH399" s="54">
        <f>IF(AQ399="0",BJ399,0)</f>
        <v>0</v>
      </c>
      <c r="AI399" s="34" t="s">
        <v>103</v>
      </c>
      <c r="AJ399" s="54">
        <f>IF(AN399=0,I399,0)</f>
        <v>0</v>
      </c>
      <c r="AK399" s="54">
        <f>IF(AN399=12,I399,0)</f>
        <v>0</v>
      </c>
      <c r="AL399" s="54">
        <f>IF(AN399=21,I399,0)</f>
        <v>0</v>
      </c>
      <c r="AN399" s="54">
        <v>21</v>
      </c>
      <c r="AO399" s="54">
        <f>H399*0.869689481</f>
        <v>0</v>
      </c>
      <c r="AP399" s="54">
        <f>H399*(1-0.869689481)</f>
        <v>0</v>
      </c>
      <c r="AQ399" s="56" t="s">
        <v>168</v>
      </c>
      <c r="AV399" s="54">
        <f>AW399+AX399</f>
        <v>0</v>
      </c>
      <c r="AW399" s="54">
        <f>G399*AO399</f>
        <v>0</v>
      </c>
      <c r="AX399" s="54">
        <f>G399*AP399</f>
        <v>0</v>
      </c>
      <c r="AY399" s="56" t="s">
        <v>706</v>
      </c>
      <c r="AZ399" s="56" t="s">
        <v>418</v>
      </c>
      <c r="BA399" s="34" t="s">
        <v>114</v>
      </c>
      <c r="BC399" s="54">
        <f>AW399+AX399</f>
        <v>0</v>
      </c>
      <c r="BD399" s="54">
        <f>H399/(100-BE399)*100</f>
        <v>0</v>
      </c>
      <c r="BE399" s="54">
        <v>0</v>
      </c>
      <c r="BF399" s="54">
        <f>L399</f>
        <v>0.21599999999999997</v>
      </c>
      <c r="BH399" s="54">
        <f>G399*AO399</f>
        <v>0</v>
      </c>
      <c r="BI399" s="54">
        <f>G399*AP399</f>
        <v>0</v>
      </c>
      <c r="BJ399" s="54">
        <f>G399*H399</f>
        <v>0</v>
      </c>
      <c r="BK399" s="54"/>
      <c r="BL399" s="54">
        <v>726</v>
      </c>
      <c r="BW399" s="54">
        <v>21</v>
      </c>
      <c r="BX399" s="3" t="s">
        <v>705</v>
      </c>
    </row>
    <row r="400" spans="1:76" ht="14.5" x14ac:dyDescent="0.35">
      <c r="A400" s="57"/>
      <c r="D400" s="58" t="s">
        <v>406</v>
      </c>
      <c r="E400" s="59" t="s">
        <v>707</v>
      </c>
      <c r="G400" s="60">
        <v>24</v>
      </c>
      <c r="M400" s="61"/>
    </row>
    <row r="401" spans="1:76" ht="14.5" x14ac:dyDescent="0.35">
      <c r="A401" s="57"/>
      <c r="C401" s="62" t="s">
        <v>156</v>
      </c>
      <c r="D401" s="211" t="s">
        <v>708</v>
      </c>
      <c r="E401" s="212"/>
      <c r="F401" s="212"/>
      <c r="G401" s="212"/>
      <c r="H401" s="212"/>
      <c r="I401" s="212"/>
      <c r="J401" s="212"/>
      <c r="K401" s="212"/>
      <c r="L401" s="212"/>
      <c r="M401" s="213"/>
      <c r="BX401" s="63" t="s">
        <v>708</v>
      </c>
    </row>
    <row r="402" spans="1:76" ht="14.5" x14ac:dyDescent="0.35">
      <c r="A402" s="64" t="s">
        <v>709</v>
      </c>
      <c r="B402" s="65" t="s">
        <v>103</v>
      </c>
      <c r="C402" s="65" t="s">
        <v>710</v>
      </c>
      <c r="D402" s="217" t="s">
        <v>711</v>
      </c>
      <c r="E402" s="218"/>
      <c r="F402" s="65" t="s">
        <v>196</v>
      </c>
      <c r="G402" s="67">
        <f>'Stavební rozpočet'!G300</f>
        <v>24</v>
      </c>
      <c r="H402" s="95">
        <f>'Stavební rozpočet'!H300</f>
        <v>0</v>
      </c>
      <c r="I402" s="67">
        <f>G402*H402</f>
        <v>0</v>
      </c>
      <c r="J402" s="67">
        <f>'Stavební rozpočet'!J300</f>
        <v>3.6999999999999999E-4</v>
      </c>
      <c r="K402" s="67">
        <f>'Stavební rozpočet'!K300</f>
        <v>0</v>
      </c>
      <c r="L402" s="67">
        <f>G402*J402</f>
        <v>8.879999999999999E-3</v>
      </c>
      <c r="M402" s="68" t="s">
        <v>111</v>
      </c>
      <c r="Z402" s="54">
        <f>IF(AQ402="5",BJ402,0)</f>
        <v>0</v>
      </c>
      <c r="AB402" s="54">
        <f>IF(AQ402="1",BH402,0)</f>
        <v>0</v>
      </c>
      <c r="AC402" s="54">
        <f>IF(AQ402="1",BI402,0)</f>
        <v>0</v>
      </c>
      <c r="AD402" s="54">
        <f>IF(AQ402="7",BH402,0)</f>
        <v>0</v>
      </c>
      <c r="AE402" s="54">
        <f>IF(AQ402="7",BI402,0)</f>
        <v>0</v>
      </c>
      <c r="AF402" s="54">
        <f>IF(AQ402="2",BH402,0)</f>
        <v>0</v>
      </c>
      <c r="AG402" s="54">
        <f>IF(AQ402="2",BI402,0)</f>
        <v>0</v>
      </c>
      <c r="AH402" s="54">
        <f>IF(AQ402="0",BJ402,0)</f>
        <v>0</v>
      </c>
      <c r="AI402" s="34" t="s">
        <v>103</v>
      </c>
      <c r="AJ402" s="67">
        <f>IF(AN402=0,I402,0)</f>
        <v>0</v>
      </c>
      <c r="AK402" s="67">
        <f>IF(AN402=12,I402,0)</f>
        <v>0</v>
      </c>
      <c r="AL402" s="67">
        <f>IF(AN402=21,I402,0)</f>
        <v>0</v>
      </c>
      <c r="AN402" s="54">
        <v>21</v>
      </c>
      <c r="AO402" s="54">
        <f>H402*1</f>
        <v>0</v>
      </c>
      <c r="AP402" s="54">
        <f>H402*(1-1)</f>
        <v>0</v>
      </c>
      <c r="AQ402" s="69" t="s">
        <v>168</v>
      </c>
      <c r="AV402" s="54">
        <f>AW402+AX402</f>
        <v>0</v>
      </c>
      <c r="AW402" s="54">
        <f>G402*AO402</f>
        <v>0</v>
      </c>
      <c r="AX402" s="54">
        <f>G402*AP402</f>
        <v>0</v>
      </c>
      <c r="AY402" s="56" t="s">
        <v>706</v>
      </c>
      <c r="AZ402" s="56" t="s">
        <v>418</v>
      </c>
      <c r="BA402" s="34" t="s">
        <v>114</v>
      </c>
      <c r="BC402" s="54">
        <f>AW402+AX402</f>
        <v>0</v>
      </c>
      <c r="BD402" s="54">
        <f>H402/(100-BE402)*100</f>
        <v>0</v>
      </c>
      <c r="BE402" s="54">
        <v>0</v>
      </c>
      <c r="BF402" s="54">
        <f>L402</f>
        <v>8.879999999999999E-3</v>
      </c>
      <c r="BH402" s="67">
        <f>G402*AO402</f>
        <v>0</v>
      </c>
      <c r="BI402" s="67">
        <f>G402*AP402</f>
        <v>0</v>
      </c>
      <c r="BJ402" s="67">
        <f>G402*H402</f>
        <v>0</v>
      </c>
      <c r="BK402" s="67"/>
      <c r="BL402" s="54">
        <v>726</v>
      </c>
      <c r="BW402" s="54">
        <v>21</v>
      </c>
      <c r="BX402" s="66" t="s">
        <v>711</v>
      </c>
    </row>
    <row r="403" spans="1:76" ht="14.5" x14ac:dyDescent="0.35">
      <c r="A403" s="57"/>
      <c r="D403" s="58" t="s">
        <v>406</v>
      </c>
      <c r="E403" s="59" t="s">
        <v>712</v>
      </c>
      <c r="G403" s="60">
        <v>24</v>
      </c>
      <c r="M403" s="61"/>
    </row>
    <row r="404" spans="1:76" ht="26" x14ac:dyDescent="0.35">
      <c r="A404" s="57"/>
      <c r="C404" s="62" t="s">
        <v>156</v>
      </c>
      <c r="D404" s="211" t="s">
        <v>713</v>
      </c>
      <c r="E404" s="212"/>
      <c r="F404" s="212"/>
      <c r="G404" s="212"/>
      <c r="H404" s="212"/>
      <c r="I404" s="212"/>
      <c r="J404" s="212"/>
      <c r="K404" s="212"/>
      <c r="L404" s="212"/>
      <c r="M404" s="213"/>
      <c r="BX404" s="70" t="s">
        <v>713</v>
      </c>
    </row>
    <row r="405" spans="1:76" ht="14.5" x14ac:dyDescent="0.35">
      <c r="A405" s="1" t="s">
        <v>714</v>
      </c>
      <c r="B405" s="2" t="s">
        <v>103</v>
      </c>
      <c r="C405" s="2" t="s">
        <v>715</v>
      </c>
      <c r="D405" s="155" t="s">
        <v>716</v>
      </c>
      <c r="E405" s="153"/>
      <c r="F405" s="2" t="s">
        <v>412</v>
      </c>
      <c r="G405" s="54">
        <f>'Stavební rozpočet'!G302</f>
        <v>0.22500000000000001</v>
      </c>
      <c r="H405" s="94">
        <f>'Stavební rozpočet'!H302</f>
        <v>0</v>
      </c>
      <c r="I405" s="54">
        <f>G405*H405</f>
        <v>0</v>
      </c>
      <c r="J405" s="54">
        <f>'Stavební rozpočet'!J302</f>
        <v>0</v>
      </c>
      <c r="K405" s="54">
        <f>'Stavební rozpočet'!K302</f>
        <v>0</v>
      </c>
      <c r="L405" s="54">
        <f>G405*J405</f>
        <v>0</v>
      </c>
      <c r="M405" s="55" t="s">
        <v>111</v>
      </c>
      <c r="Z405" s="54">
        <f>IF(AQ405="5",BJ405,0)</f>
        <v>0</v>
      </c>
      <c r="AB405" s="54">
        <f>IF(AQ405="1",BH405,0)</f>
        <v>0</v>
      </c>
      <c r="AC405" s="54">
        <f>IF(AQ405="1",BI405,0)</f>
        <v>0</v>
      </c>
      <c r="AD405" s="54">
        <f>IF(AQ405="7",BH405,0)</f>
        <v>0</v>
      </c>
      <c r="AE405" s="54">
        <f>IF(AQ405="7",BI405,0)</f>
        <v>0</v>
      </c>
      <c r="AF405" s="54">
        <f>IF(AQ405="2",BH405,0)</f>
        <v>0</v>
      </c>
      <c r="AG405" s="54">
        <f>IF(AQ405="2",BI405,0)</f>
        <v>0</v>
      </c>
      <c r="AH405" s="54">
        <f>IF(AQ405="0",BJ405,0)</f>
        <v>0</v>
      </c>
      <c r="AI405" s="34" t="s">
        <v>103</v>
      </c>
      <c r="AJ405" s="54">
        <f>IF(AN405=0,I405,0)</f>
        <v>0</v>
      </c>
      <c r="AK405" s="54">
        <f>IF(AN405=12,I405,0)</f>
        <v>0</v>
      </c>
      <c r="AL405" s="54">
        <f>IF(AN405=21,I405,0)</f>
        <v>0</v>
      </c>
      <c r="AN405" s="54">
        <v>21</v>
      </c>
      <c r="AO405" s="54">
        <f>H405*0</f>
        <v>0</v>
      </c>
      <c r="AP405" s="54">
        <f>H405*(1-0)</f>
        <v>0</v>
      </c>
      <c r="AQ405" s="56" t="s">
        <v>150</v>
      </c>
      <c r="AV405" s="54">
        <f>AW405+AX405</f>
        <v>0</v>
      </c>
      <c r="AW405" s="54">
        <f>G405*AO405</f>
        <v>0</v>
      </c>
      <c r="AX405" s="54">
        <f>G405*AP405</f>
        <v>0</v>
      </c>
      <c r="AY405" s="56" t="s">
        <v>706</v>
      </c>
      <c r="AZ405" s="56" t="s">
        <v>418</v>
      </c>
      <c r="BA405" s="34" t="s">
        <v>114</v>
      </c>
      <c r="BC405" s="54">
        <f>AW405+AX405</f>
        <v>0</v>
      </c>
      <c r="BD405" s="54">
        <f>H405/(100-BE405)*100</f>
        <v>0</v>
      </c>
      <c r="BE405" s="54">
        <v>0</v>
      </c>
      <c r="BF405" s="54">
        <f>L405</f>
        <v>0</v>
      </c>
      <c r="BH405" s="54">
        <f>G405*AO405</f>
        <v>0</v>
      </c>
      <c r="BI405" s="54">
        <f>G405*AP405</f>
        <v>0</v>
      </c>
      <c r="BJ405" s="54">
        <f>G405*H405</f>
        <v>0</v>
      </c>
      <c r="BK405" s="54"/>
      <c r="BL405" s="54">
        <v>726</v>
      </c>
      <c r="BW405" s="54">
        <v>21</v>
      </c>
      <c r="BX405" s="3" t="s">
        <v>716</v>
      </c>
    </row>
    <row r="406" spans="1:76" ht="14.5" x14ac:dyDescent="0.35">
      <c r="A406" s="50" t="s">
        <v>10</v>
      </c>
      <c r="B406" s="51" t="s">
        <v>103</v>
      </c>
      <c r="C406" s="51" t="s">
        <v>717</v>
      </c>
      <c r="D406" s="206" t="s">
        <v>718</v>
      </c>
      <c r="E406" s="207"/>
      <c r="F406" s="52" t="s">
        <v>84</v>
      </c>
      <c r="G406" s="52" t="s">
        <v>84</v>
      </c>
      <c r="H406" s="52" t="s">
        <v>84</v>
      </c>
      <c r="I406" s="27">
        <f>SUM(I407:I432)</f>
        <v>0</v>
      </c>
      <c r="J406" s="34" t="s">
        <v>10</v>
      </c>
      <c r="K406" s="34" t="s">
        <v>10</v>
      </c>
      <c r="L406" s="27">
        <f>SUM(L407:L432)</f>
        <v>0.17555999999999999</v>
      </c>
      <c r="M406" s="53" t="s">
        <v>10</v>
      </c>
      <c r="AI406" s="34" t="s">
        <v>103</v>
      </c>
      <c r="AS406" s="27">
        <f>SUM(AJ407:AJ432)</f>
        <v>0</v>
      </c>
      <c r="AT406" s="27">
        <f>SUM(AK407:AK432)</f>
        <v>0</v>
      </c>
      <c r="AU406" s="27">
        <f>SUM(AL407:AL432)</f>
        <v>0</v>
      </c>
    </row>
    <row r="407" spans="1:76" ht="14.5" x14ac:dyDescent="0.35">
      <c r="A407" s="1" t="s">
        <v>719</v>
      </c>
      <c r="B407" s="2" t="s">
        <v>103</v>
      </c>
      <c r="C407" s="2" t="s">
        <v>720</v>
      </c>
      <c r="D407" s="155" t="s">
        <v>721</v>
      </c>
      <c r="E407" s="153"/>
      <c r="F407" s="2" t="s">
        <v>153</v>
      </c>
      <c r="G407" s="54">
        <f>'Stavební rozpočet'!G304</f>
        <v>8.4</v>
      </c>
      <c r="H407" s="94">
        <f>'Stavební rozpočet'!H304</f>
        <v>0</v>
      </c>
      <c r="I407" s="54">
        <f>G407*H407</f>
        <v>0</v>
      </c>
      <c r="J407" s="54">
        <f>'Stavební rozpočet'!J304</f>
        <v>5.8999999999999999E-3</v>
      </c>
      <c r="K407" s="54">
        <f>'Stavební rozpočet'!K304</f>
        <v>5.8999999999999999E-3</v>
      </c>
      <c r="L407" s="54">
        <f>G407*J407</f>
        <v>4.956E-2</v>
      </c>
      <c r="M407" s="55" t="s">
        <v>111</v>
      </c>
      <c r="Z407" s="54">
        <f>IF(AQ407="5",BJ407,0)</f>
        <v>0</v>
      </c>
      <c r="AB407" s="54">
        <f>IF(AQ407="1",BH407,0)</f>
        <v>0</v>
      </c>
      <c r="AC407" s="54">
        <f>IF(AQ407="1",BI407,0)</f>
        <v>0</v>
      </c>
      <c r="AD407" s="54">
        <f>IF(AQ407="7",BH407,0)</f>
        <v>0</v>
      </c>
      <c r="AE407" s="54">
        <f>IF(AQ407="7",BI407,0)</f>
        <v>0</v>
      </c>
      <c r="AF407" s="54">
        <f>IF(AQ407="2",BH407,0)</f>
        <v>0</v>
      </c>
      <c r="AG407" s="54">
        <f>IF(AQ407="2",BI407,0)</f>
        <v>0</v>
      </c>
      <c r="AH407" s="54">
        <f>IF(AQ407="0",BJ407,0)</f>
        <v>0</v>
      </c>
      <c r="AI407" s="34" t="s">
        <v>103</v>
      </c>
      <c r="AJ407" s="54">
        <f>IF(AN407=0,I407,0)</f>
        <v>0</v>
      </c>
      <c r="AK407" s="54">
        <f>IF(AN407=12,I407,0)</f>
        <v>0</v>
      </c>
      <c r="AL407" s="54">
        <f>IF(AN407=21,I407,0)</f>
        <v>0</v>
      </c>
      <c r="AN407" s="54">
        <v>21</v>
      </c>
      <c r="AO407" s="54">
        <f>H407*0</f>
        <v>0</v>
      </c>
      <c r="AP407" s="54">
        <f>H407*(1-0)</f>
        <v>0</v>
      </c>
      <c r="AQ407" s="56" t="s">
        <v>168</v>
      </c>
      <c r="AV407" s="54">
        <f>AW407+AX407</f>
        <v>0</v>
      </c>
      <c r="AW407" s="54">
        <f>G407*AO407</f>
        <v>0</v>
      </c>
      <c r="AX407" s="54">
        <f>G407*AP407</f>
        <v>0</v>
      </c>
      <c r="AY407" s="56" t="s">
        <v>722</v>
      </c>
      <c r="AZ407" s="56" t="s">
        <v>418</v>
      </c>
      <c r="BA407" s="34" t="s">
        <v>114</v>
      </c>
      <c r="BC407" s="54">
        <f>AW407+AX407</f>
        <v>0</v>
      </c>
      <c r="BD407" s="54">
        <f>H407/(100-BE407)*100</f>
        <v>0</v>
      </c>
      <c r="BE407" s="54">
        <v>0</v>
      </c>
      <c r="BF407" s="54">
        <f>L407</f>
        <v>4.956E-2</v>
      </c>
      <c r="BH407" s="54">
        <f>G407*AO407</f>
        <v>0</v>
      </c>
      <c r="BI407" s="54">
        <f>G407*AP407</f>
        <v>0</v>
      </c>
      <c r="BJ407" s="54">
        <f>G407*H407</f>
        <v>0</v>
      </c>
      <c r="BK407" s="54"/>
      <c r="BL407" s="54">
        <v>728</v>
      </c>
      <c r="BW407" s="54">
        <v>21</v>
      </c>
      <c r="BX407" s="3" t="s">
        <v>721</v>
      </c>
    </row>
    <row r="408" spans="1:76" ht="14.5" x14ac:dyDescent="0.35">
      <c r="A408" s="57"/>
      <c r="D408" s="58" t="s">
        <v>723</v>
      </c>
      <c r="E408" s="59" t="s">
        <v>724</v>
      </c>
      <c r="G408" s="60">
        <v>8.4</v>
      </c>
      <c r="M408" s="61"/>
    </row>
    <row r="409" spans="1:76" ht="14.5" x14ac:dyDescent="0.35">
      <c r="A409" s="1" t="s">
        <v>725</v>
      </c>
      <c r="B409" s="2" t="s">
        <v>103</v>
      </c>
      <c r="C409" s="2" t="s">
        <v>726</v>
      </c>
      <c r="D409" s="155" t="s">
        <v>727</v>
      </c>
      <c r="E409" s="153"/>
      <c r="F409" s="2" t="s">
        <v>153</v>
      </c>
      <c r="G409" s="54">
        <f>'Stavební rozpočet'!G306</f>
        <v>4.8</v>
      </c>
      <c r="H409" s="94">
        <f>'Stavební rozpočet'!H306</f>
        <v>0</v>
      </c>
      <c r="I409" s="54">
        <f>G409*H409</f>
        <v>0</v>
      </c>
      <c r="J409" s="54">
        <f>'Stavební rozpočet'!J306</f>
        <v>0</v>
      </c>
      <c r="K409" s="54">
        <f>'Stavební rozpočet'!K306</f>
        <v>0</v>
      </c>
      <c r="L409" s="54">
        <f>G409*J409</f>
        <v>0</v>
      </c>
      <c r="M409" s="55" t="s">
        <v>111</v>
      </c>
      <c r="Z409" s="54">
        <f>IF(AQ409="5",BJ409,0)</f>
        <v>0</v>
      </c>
      <c r="AB409" s="54">
        <f>IF(AQ409="1",BH409,0)</f>
        <v>0</v>
      </c>
      <c r="AC409" s="54">
        <f>IF(AQ409="1",BI409,0)</f>
        <v>0</v>
      </c>
      <c r="AD409" s="54">
        <f>IF(AQ409="7",BH409,0)</f>
        <v>0</v>
      </c>
      <c r="AE409" s="54">
        <f>IF(AQ409="7",BI409,0)</f>
        <v>0</v>
      </c>
      <c r="AF409" s="54">
        <f>IF(AQ409="2",BH409,0)</f>
        <v>0</v>
      </c>
      <c r="AG409" s="54">
        <f>IF(AQ409="2",BI409,0)</f>
        <v>0</v>
      </c>
      <c r="AH409" s="54">
        <f>IF(AQ409="0",BJ409,0)</f>
        <v>0</v>
      </c>
      <c r="AI409" s="34" t="s">
        <v>103</v>
      </c>
      <c r="AJ409" s="54">
        <f>IF(AN409=0,I409,0)</f>
        <v>0</v>
      </c>
      <c r="AK409" s="54">
        <f>IF(AN409=12,I409,0)</f>
        <v>0</v>
      </c>
      <c r="AL409" s="54">
        <f>IF(AN409=21,I409,0)</f>
        <v>0</v>
      </c>
      <c r="AN409" s="54">
        <v>21</v>
      </c>
      <c r="AO409" s="54">
        <f>H409*0</f>
        <v>0</v>
      </c>
      <c r="AP409" s="54">
        <f>H409*(1-0)</f>
        <v>0</v>
      </c>
      <c r="AQ409" s="56" t="s">
        <v>168</v>
      </c>
      <c r="AV409" s="54">
        <f>AW409+AX409</f>
        <v>0</v>
      </c>
      <c r="AW409" s="54">
        <f>G409*AO409</f>
        <v>0</v>
      </c>
      <c r="AX409" s="54">
        <f>G409*AP409</f>
        <v>0</v>
      </c>
      <c r="AY409" s="56" t="s">
        <v>722</v>
      </c>
      <c r="AZ409" s="56" t="s">
        <v>418</v>
      </c>
      <c r="BA409" s="34" t="s">
        <v>114</v>
      </c>
      <c r="BC409" s="54">
        <f>AW409+AX409</f>
        <v>0</v>
      </c>
      <c r="BD409" s="54">
        <f>H409/(100-BE409)*100</f>
        <v>0</v>
      </c>
      <c r="BE409" s="54">
        <v>0</v>
      </c>
      <c r="BF409" s="54">
        <f>L409</f>
        <v>0</v>
      </c>
      <c r="BH409" s="54">
        <f>G409*AO409</f>
        <v>0</v>
      </c>
      <c r="BI409" s="54">
        <f>G409*AP409</f>
        <v>0</v>
      </c>
      <c r="BJ409" s="54">
        <f>G409*H409</f>
        <v>0</v>
      </c>
      <c r="BK409" s="54"/>
      <c r="BL409" s="54">
        <v>728</v>
      </c>
      <c r="BW409" s="54">
        <v>21</v>
      </c>
      <c r="BX409" s="3" t="s">
        <v>727</v>
      </c>
    </row>
    <row r="410" spans="1:76" ht="14.5" x14ac:dyDescent="0.35">
      <c r="A410" s="57"/>
      <c r="D410" s="58" t="s">
        <v>728</v>
      </c>
      <c r="E410" s="59" t="s">
        <v>729</v>
      </c>
      <c r="G410" s="60">
        <v>4.8</v>
      </c>
      <c r="M410" s="61"/>
    </row>
    <row r="411" spans="1:76" ht="14.5" x14ac:dyDescent="0.35">
      <c r="A411" s="1" t="s">
        <v>730</v>
      </c>
      <c r="B411" s="2" t="s">
        <v>103</v>
      </c>
      <c r="C411" s="2" t="s">
        <v>731</v>
      </c>
      <c r="D411" s="155" t="s">
        <v>732</v>
      </c>
      <c r="E411" s="153"/>
      <c r="F411" s="2" t="s">
        <v>196</v>
      </c>
      <c r="G411" s="54">
        <f>'Stavební rozpočet'!G308</f>
        <v>24</v>
      </c>
      <c r="H411" s="94">
        <f>'Stavební rozpočet'!H308</f>
        <v>0</v>
      </c>
      <c r="I411" s="54">
        <f>G411*H411</f>
        <v>0</v>
      </c>
      <c r="J411" s="54">
        <f>'Stavební rozpočet'!J308</f>
        <v>0</v>
      </c>
      <c r="K411" s="54">
        <f>'Stavební rozpočet'!K308</f>
        <v>0</v>
      </c>
      <c r="L411" s="54">
        <f>G411*J411</f>
        <v>0</v>
      </c>
      <c r="M411" s="55" t="s">
        <v>111</v>
      </c>
      <c r="Z411" s="54">
        <f>IF(AQ411="5",BJ411,0)</f>
        <v>0</v>
      </c>
      <c r="AB411" s="54">
        <f>IF(AQ411="1",BH411,0)</f>
        <v>0</v>
      </c>
      <c r="AC411" s="54">
        <f>IF(AQ411="1",BI411,0)</f>
        <v>0</v>
      </c>
      <c r="AD411" s="54">
        <f>IF(AQ411="7",BH411,0)</f>
        <v>0</v>
      </c>
      <c r="AE411" s="54">
        <f>IF(AQ411="7",BI411,0)</f>
        <v>0</v>
      </c>
      <c r="AF411" s="54">
        <f>IF(AQ411="2",BH411,0)</f>
        <v>0</v>
      </c>
      <c r="AG411" s="54">
        <f>IF(AQ411="2",BI411,0)</f>
        <v>0</v>
      </c>
      <c r="AH411" s="54">
        <f>IF(AQ411="0",BJ411,0)</f>
        <v>0</v>
      </c>
      <c r="AI411" s="34" t="s">
        <v>103</v>
      </c>
      <c r="AJ411" s="54">
        <f>IF(AN411=0,I411,0)</f>
        <v>0</v>
      </c>
      <c r="AK411" s="54">
        <f>IF(AN411=12,I411,0)</f>
        <v>0</v>
      </c>
      <c r="AL411" s="54">
        <f>IF(AN411=21,I411,0)</f>
        <v>0</v>
      </c>
      <c r="AN411" s="54">
        <v>21</v>
      </c>
      <c r="AO411" s="54">
        <f>H411*0</f>
        <v>0</v>
      </c>
      <c r="AP411" s="54">
        <f>H411*(1-0)</f>
        <v>0</v>
      </c>
      <c r="AQ411" s="56" t="s">
        <v>168</v>
      </c>
      <c r="AV411" s="54">
        <f>AW411+AX411</f>
        <v>0</v>
      </c>
      <c r="AW411" s="54">
        <f>G411*AO411</f>
        <v>0</v>
      </c>
      <c r="AX411" s="54">
        <f>G411*AP411</f>
        <v>0</v>
      </c>
      <c r="AY411" s="56" t="s">
        <v>722</v>
      </c>
      <c r="AZ411" s="56" t="s">
        <v>418</v>
      </c>
      <c r="BA411" s="34" t="s">
        <v>114</v>
      </c>
      <c r="BC411" s="54">
        <f>AW411+AX411</f>
        <v>0</v>
      </c>
      <c r="BD411" s="54">
        <f>H411/(100-BE411)*100</f>
        <v>0</v>
      </c>
      <c r="BE411" s="54">
        <v>0</v>
      </c>
      <c r="BF411" s="54">
        <f>L411</f>
        <v>0</v>
      </c>
      <c r="BH411" s="54">
        <f>G411*AO411</f>
        <v>0</v>
      </c>
      <c r="BI411" s="54">
        <f>G411*AP411</f>
        <v>0</v>
      </c>
      <c r="BJ411" s="54">
        <f>G411*H411</f>
        <v>0</v>
      </c>
      <c r="BK411" s="54"/>
      <c r="BL411" s="54">
        <v>728</v>
      </c>
      <c r="BW411" s="54">
        <v>21</v>
      </c>
      <c r="BX411" s="3" t="s">
        <v>732</v>
      </c>
    </row>
    <row r="412" spans="1:76" ht="13.5" customHeight="1" x14ac:dyDescent="0.35">
      <c r="A412" s="57"/>
      <c r="C412" s="62" t="s">
        <v>122</v>
      </c>
      <c r="D412" s="214" t="s">
        <v>733</v>
      </c>
      <c r="E412" s="215"/>
      <c r="F412" s="215"/>
      <c r="G412" s="215"/>
      <c r="H412" s="215"/>
      <c r="I412" s="215"/>
      <c r="J412" s="215"/>
      <c r="K412" s="215"/>
      <c r="L412" s="215"/>
      <c r="M412" s="216"/>
    </row>
    <row r="413" spans="1:76" ht="14.5" x14ac:dyDescent="0.35">
      <c r="A413" s="57"/>
      <c r="D413" s="58" t="s">
        <v>406</v>
      </c>
      <c r="E413" s="59" t="s">
        <v>734</v>
      </c>
      <c r="G413" s="60">
        <v>24</v>
      </c>
      <c r="M413" s="61"/>
    </row>
    <row r="414" spans="1:76" ht="25" x14ac:dyDescent="0.35">
      <c r="A414" s="64" t="s">
        <v>735</v>
      </c>
      <c r="B414" s="65" t="s">
        <v>103</v>
      </c>
      <c r="C414" s="65" t="s">
        <v>736</v>
      </c>
      <c r="D414" s="217" t="s">
        <v>737</v>
      </c>
      <c r="E414" s="218"/>
      <c r="F414" s="65" t="s">
        <v>196</v>
      </c>
      <c r="G414" s="67">
        <f>'Stavební rozpočet'!G310</f>
        <v>24</v>
      </c>
      <c r="H414" s="95">
        <f>'Stavební rozpočet'!H310</f>
        <v>0</v>
      </c>
      <c r="I414" s="67">
        <f>G414*H414</f>
        <v>0</v>
      </c>
      <c r="J414" s="67">
        <f>'Stavební rozpočet'!J310</f>
        <v>0</v>
      </c>
      <c r="K414" s="67">
        <f>'Stavební rozpočet'!K310</f>
        <v>0</v>
      </c>
      <c r="L414" s="67">
        <f>G414*J414</f>
        <v>0</v>
      </c>
      <c r="M414" s="68" t="s">
        <v>10</v>
      </c>
      <c r="Z414" s="54">
        <f>IF(AQ414="5",BJ414,0)</f>
        <v>0</v>
      </c>
      <c r="AB414" s="54">
        <f>IF(AQ414="1",BH414,0)</f>
        <v>0</v>
      </c>
      <c r="AC414" s="54">
        <f>IF(AQ414="1",BI414,0)</f>
        <v>0</v>
      </c>
      <c r="AD414" s="54">
        <f>IF(AQ414="7",BH414,0)</f>
        <v>0</v>
      </c>
      <c r="AE414" s="54">
        <f>IF(AQ414="7",BI414,0)</f>
        <v>0</v>
      </c>
      <c r="AF414" s="54">
        <f>IF(AQ414="2",BH414,0)</f>
        <v>0</v>
      </c>
      <c r="AG414" s="54">
        <f>IF(AQ414="2",BI414,0)</f>
        <v>0</v>
      </c>
      <c r="AH414" s="54">
        <f>IF(AQ414="0",BJ414,0)</f>
        <v>0</v>
      </c>
      <c r="AI414" s="34" t="s">
        <v>103</v>
      </c>
      <c r="AJ414" s="67">
        <f>IF(AN414=0,I414,0)</f>
        <v>0</v>
      </c>
      <c r="AK414" s="67">
        <f>IF(AN414=12,I414,0)</f>
        <v>0</v>
      </c>
      <c r="AL414" s="67">
        <f>IF(AN414=21,I414,0)</f>
        <v>0</v>
      </c>
      <c r="AN414" s="54">
        <v>21</v>
      </c>
      <c r="AO414" s="54">
        <f>H414*1</f>
        <v>0</v>
      </c>
      <c r="AP414" s="54">
        <f>H414*(1-1)</f>
        <v>0</v>
      </c>
      <c r="AQ414" s="69" t="s">
        <v>168</v>
      </c>
      <c r="AV414" s="54">
        <f>AW414+AX414</f>
        <v>0</v>
      </c>
      <c r="AW414" s="54">
        <f>G414*AO414</f>
        <v>0</v>
      </c>
      <c r="AX414" s="54">
        <f>G414*AP414</f>
        <v>0</v>
      </c>
      <c r="AY414" s="56" t="s">
        <v>722</v>
      </c>
      <c r="AZ414" s="56" t="s">
        <v>418</v>
      </c>
      <c r="BA414" s="34" t="s">
        <v>114</v>
      </c>
      <c r="BC414" s="54">
        <f>AW414+AX414</f>
        <v>0</v>
      </c>
      <c r="BD414" s="54">
        <f>H414/(100-BE414)*100</f>
        <v>0</v>
      </c>
      <c r="BE414" s="54">
        <v>0</v>
      </c>
      <c r="BF414" s="54">
        <f>L414</f>
        <v>0</v>
      </c>
      <c r="BH414" s="67">
        <f>G414*AO414</f>
        <v>0</v>
      </c>
      <c r="BI414" s="67">
        <f>G414*AP414</f>
        <v>0</v>
      </c>
      <c r="BJ414" s="67">
        <f>G414*H414</f>
        <v>0</v>
      </c>
      <c r="BK414" s="67"/>
      <c r="BL414" s="54">
        <v>728</v>
      </c>
      <c r="BW414" s="54">
        <v>21</v>
      </c>
      <c r="BX414" s="66" t="s">
        <v>737</v>
      </c>
    </row>
    <row r="415" spans="1:76" ht="14.5" x14ac:dyDescent="0.35">
      <c r="A415" s="57"/>
      <c r="D415" s="58" t="s">
        <v>406</v>
      </c>
      <c r="E415" s="59" t="s">
        <v>10</v>
      </c>
      <c r="G415" s="60">
        <v>24</v>
      </c>
      <c r="M415" s="61"/>
    </row>
    <row r="416" spans="1:76" ht="14.5" x14ac:dyDescent="0.35">
      <c r="A416" s="1" t="s">
        <v>738</v>
      </c>
      <c r="B416" s="2" t="s">
        <v>103</v>
      </c>
      <c r="C416" s="2" t="s">
        <v>739</v>
      </c>
      <c r="D416" s="155" t="s">
        <v>740</v>
      </c>
      <c r="E416" s="153"/>
      <c r="F416" s="2" t="s">
        <v>196</v>
      </c>
      <c r="G416" s="54">
        <f>'Stavební rozpočet'!G312</f>
        <v>48</v>
      </c>
      <c r="H416" s="94">
        <f>'Stavební rozpočet'!H312</f>
        <v>0</v>
      </c>
      <c r="I416" s="54">
        <f>G416*H416</f>
        <v>0</v>
      </c>
      <c r="J416" s="54">
        <f>'Stavební rozpočet'!J312</f>
        <v>0</v>
      </c>
      <c r="K416" s="54">
        <f>'Stavební rozpočet'!K312</f>
        <v>0</v>
      </c>
      <c r="L416" s="54">
        <f>G416*J416</f>
        <v>0</v>
      </c>
      <c r="M416" s="55" t="s">
        <v>111</v>
      </c>
      <c r="Z416" s="54">
        <f>IF(AQ416="5",BJ416,0)</f>
        <v>0</v>
      </c>
      <c r="AB416" s="54">
        <f>IF(AQ416="1",BH416,0)</f>
        <v>0</v>
      </c>
      <c r="AC416" s="54">
        <f>IF(AQ416="1",BI416,0)</f>
        <v>0</v>
      </c>
      <c r="AD416" s="54">
        <f>IF(AQ416="7",BH416,0)</f>
        <v>0</v>
      </c>
      <c r="AE416" s="54">
        <f>IF(AQ416="7",BI416,0)</f>
        <v>0</v>
      </c>
      <c r="AF416" s="54">
        <f>IF(AQ416="2",BH416,0)</f>
        <v>0</v>
      </c>
      <c r="AG416" s="54">
        <f>IF(AQ416="2",BI416,0)</f>
        <v>0</v>
      </c>
      <c r="AH416" s="54">
        <f>IF(AQ416="0",BJ416,0)</f>
        <v>0</v>
      </c>
      <c r="AI416" s="34" t="s">
        <v>103</v>
      </c>
      <c r="AJ416" s="54">
        <f>IF(AN416=0,I416,0)</f>
        <v>0</v>
      </c>
      <c r="AK416" s="54">
        <f>IF(AN416=12,I416,0)</f>
        <v>0</v>
      </c>
      <c r="AL416" s="54">
        <f>IF(AN416=21,I416,0)</f>
        <v>0</v>
      </c>
      <c r="AN416" s="54">
        <v>21</v>
      </c>
      <c r="AO416" s="54">
        <f>H416*0</f>
        <v>0</v>
      </c>
      <c r="AP416" s="54">
        <f>H416*(1-0)</f>
        <v>0</v>
      </c>
      <c r="AQ416" s="56" t="s">
        <v>168</v>
      </c>
      <c r="AV416" s="54">
        <f>AW416+AX416</f>
        <v>0</v>
      </c>
      <c r="AW416" s="54">
        <f>G416*AO416</f>
        <v>0</v>
      </c>
      <c r="AX416" s="54">
        <f>G416*AP416</f>
        <v>0</v>
      </c>
      <c r="AY416" s="56" t="s">
        <v>722</v>
      </c>
      <c r="AZ416" s="56" t="s">
        <v>418</v>
      </c>
      <c r="BA416" s="34" t="s">
        <v>114</v>
      </c>
      <c r="BC416" s="54">
        <f>AW416+AX416</f>
        <v>0</v>
      </c>
      <c r="BD416" s="54">
        <f>H416/(100-BE416)*100</f>
        <v>0</v>
      </c>
      <c r="BE416" s="54">
        <v>0</v>
      </c>
      <c r="BF416" s="54">
        <f>L416</f>
        <v>0</v>
      </c>
      <c r="BH416" s="54">
        <f>G416*AO416</f>
        <v>0</v>
      </c>
      <c r="BI416" s="54">
        <f>G416*AP416</f>
        <v>0</v>
      </c>
      <c r="BJ416" s="54">
        <f>G416*H416</f>
        <v>0</v>
      </c>
      <c r="BK416" s="54"/>
      <c r="BL416" s="54">
        <v>728</v>
      </c>
      <c r="BW416" s="54">
        <v>21</v>
      </c>
      <c r="BX416" s="3" t="s">
        <v>740</v>
      </c>
    </row>
    <row r="417" spans="1:76" ht="14.5" x14ac:dyDescent="0.35">
      <c r="A417" s="57"/>
      <c r="D417" s="58" t="s">
        <v>483</v>
      </c>
      <c r="E417" s="59" t="s">
        <v>741</v>
      </c>
      <c r="G417" s="60">
        <v>48</v>
      </c>
      <c r="M417" s="61"/>
    </row>
    <row r="418" spans="1:76" ht="14.5" x14ac:dyDescent="0.35">
      <c r="A418" s="64" t="s">
        <v>742</v>
      </c>
      <c r="B418" s="65" t="s">
        <v>103</v>
      </c>
      <c r="C418" s="65" t="s">
        <v>743</v>
      </c>
      <c r="D418" s="217" t="s">
        <v>744</v>
      </c>
      <c r="E418" s="218"/>
      <c r="F418" s="65" t="s">
        <v>196</v>
      </c>
      <c r="G418" s="67">
        <f>'Stavební rozpočet'!G314</f>
        <v>48</v>
      </c>
      <c r="H418" s="95">
        <f>'Stavební rozpočet'!H314</f>
        <v>0</v>
      </c>
      <c r="I418" s="67">
        <f>G418*H418</f>
        <v>0</v>
      </c>
      <c r="J418" s="67">
        <f>'Stavební rozpočet'!J314</f>
        <v>5.9999999999999995E-4</v>
      </c>
      <c r="K418" s="67">
        <f>'Stavební rozpočet'!K314</f>
        <v>0</v>
      </c>
      <c r="L418" s="67">
        <f>G418*J418</f>
        <v>2.8799999999999999E-2</v>
      </c>
      <c r="M418" s="68" t="s">
        <v>111</v>
      </c>
      <c r="Z418" s="54">
        <f>IF(AQ418="5",BJ418,0)</f>
        <v>0</v>
      </c>
      <c r="AB418" s="54">
        <f>IF(AQ418="1",BH418,0)</f>
        <v>0</v>
      </c>
      <c r="AC418" s="54">
        <f>IF(AQ418="1",BI418,0)</f>
        <v>0</v>
      </c>
      <c r="AD418" s="54">
        <f>IF(AQ418="7",BH418,0)</f>
        <v>0</v>
      </c>
      <c r="AE418" s="54">
        <f>IF(AQ418="7",BI418,0)</f>
        <v>0</v>
      </c>
      <c r="AF418" s="54">
        <f>IF(AQ418="2",BH418,0)</f>
        <v>0</v>
      </c>
      <c r="AG418" s="54">
        <f>IF(AQ418="2",BI418,0)</f>
        <v>0</v>
      </c>
      <c r="AH418" s="54">
        <f>IF(AQ418="0",BJ418,0)</f>
        <v>0</v>
      </c>
      <c r="AI418" s="34" t="s">
        <v>103</v>
      </c>
      <c r="AJ418" s="67">
        <f>IF(AN418=0,I418,0)</f>
        <v>0</v>
      </c>
      <c r="AK418" s="67">
        <f>IF(AN418=12,I418,0)</f>
        <v>0</v>
      </c>
      <c r="AL418" s="67">
        <f>IF(AN418=21,I418,0)</f>
        <v>0</v>
      </c>
      <c r="AN418" s="54">
        <v>21</v>
      </c>
      <c r="AO418" s="54">
        <f>H418*1</f>
        <v>0</v>
      </c>
      <c r="AP418" s="54">
        <f>H418*(1-1)</f>
        <v>0</v>
      </c>
      <c r="AQ418" s="69" t="s">
        <v>168</v>
      </c>
      <c r="AV418" s="54">
        <f>AW418+AX418</f>
        <v>0</v>
      </c>
      <c r="AW418" s="54">
        <f>G418*AO418</f>
        <v>0</v>
      </c>
      <c r="AX418" s="54">
        <f>G418*AP418</f>
        <v>0</v>
      </c>
      <c r="AY418" s="56" t="s">
        <v>722</v>
      </c>
      <c r="AZ418" s="56" t="s">
        <v>418</v>
      </c>
      <c r="BA418" s="34" t="s">
        <v>114</v>
      </c>
      <c r="BC418" s="54">
        <f>AW418+AX418</f>
        <v>0</v>
      </c>
      <c r="BD418" s="54">
        <f>H418/(100-BE418)*100</f>
        <v>0</v>
      </c>
      <c r="BE418" s="54">
        <v>0</v>
      </c>
      <c r="BF418" s="54">
        <f>L418</f>
        <v>2.8799999999999999E-2</v>
      </c>
      <c r="BH418" s="67">
        <f>G418*AO418</f>
        <v>0</v>
      </c>
      <c r="BI418" s="67">
        <f>G418*AP418</f>
        <v>0</v>
      </c>
      <c r="BJ418" s="67">
        <f>G418*H418</f>
        <v>0</v>
      </c>
      <c r="BK418" s="67"/>
      <c r="BL418" s="54">
        <v>728</v>
      </c>
      <c r="BW418" s="54">
        <v>21</v>
      </c>
      <c r="BX418" s="66" t="s">
        <v>744</v>
      </c>
    </row>
    <row r="419" spans="1:76" ht="14.5" x14ac:dyDescent="0.35">
      <c r="A419" s="57"/>
      <c r="D419" s="58" t="s">
        <v>483</v>
      </c>
      <c r="E419" s="59" t="s">
        <v>10</v>
      </c>
      <c r="G419" s="60">
        <v>48</v>
      </c>
      <c r="M419" s="61"/>
    </row>
    <row r="420" spans="1:76" ht="26" x14ac:dyDescent="0.35">
      <c r="A420" s="57"/>
      <c r="C420" s="62" t="s">
        <v>156</v>
      </c>
      <c r="D420" s="211" t="s">
        <v>745</v>
      </c>
      <c r="E420" s="212"/>
      <c r="F420" s="212"/>
      <c r="G420" s="212"/>
      <c r="H420" s="212"/>
      <c r="I420" s="212"/>
      <c r="J420" s="212"/>
      <c r="K420" s="212"/>
      <c r="L420" s="212"/>
      <c r="M420" s="213"/>
      <c r="BX420" s="70" t="s">
        <v>745</v>
      </c>
    </row>
    <row r="421" spans="1:76" ht="14.5" x14ac:dyDescent="0.35">
      <c r="A421" s="1" t="s">
        <v>746</v>
      </c>
      <c r="B421" s="2" t="s">
        <v>103</v>
      </c>
      <c r="C421" s="2" t="s">
        <v>747</v>
      </c>
      <c r="D421" s="155" t="s">
        <v>748</v>
      </c>
      <c r="E421" s="153"/>
      <c r="F421" s="2" t="s">
        <v>196</v>
      </c>
      <c r="G421" s="54">
        <f>'Stavební rozpočet'!G316</f>
        <v>24</v>
      </c>
      <c r="H421" s="94">
        <f>'Stavební rozpočet'!H316</f>
        <v>0</v>
      </c>
      <c r="I421" s="54">
        <f>G421*H421</f>
        <v>0</v>
      </c>
      <c r="J421" s="54">
        <f>'Stavební rozpočet'!J316</f>
        <v>1.1000000000000001E-3</v>
      </c>
      <c r="K421" s="54">
        <f>'Stavební rozpočet'!K316</f>
        <v>1.1000000000000001E-3</v>
      </c>
      <c r="L421" s="54">
        <f>G421*J421</f>
        <v>2.64E-2</v>
      </c>
      <c r="M421" s="55" t="s">
        <v>111</v>
      </c>
      <c r="Z421" s="54">
        <f>IF(AQ421="5",BJ421,0)</f>
        <v>0</v>
      </c>
      <c r="AB421" s="54">
        <f>IF(AQ421="1",BH421,0)</f>
        <v>0</v>
      </c>
      <c r="AC421" s="54">
        <f>IF(AQ421="1",BI421,0)</f>
        <v>0</v>
      </c>
      <c r="AD421" s="54">
        <f>IF(AQ421="7",BH421,0)</f>
        <v>0</v>
      </c>
      <c r="AE421" s="54">
        <f>IF(AQ421="7",BI421,0)</f>
        <v>0</v>
      </c>
      <c r="AF421" s="54">
        <f>IF(AQ421="2",BH421,0)</f>
        <v>0</v>
      </c>
      <c r="AG421" s="54">
        <f>IF(AQ421="2",BI421,0)</f>
        <v>0</v>
      </c>
      <c r="AH421" s="54">
        <f>IF(AQ421="0",BJ421,0)</f>
        <v>0</v>
      </c>
      <c r="AI421" s="34" t="s">
        <v>103</v>
      </c>
      <c r="AJ421" s="54">
        <f>IF(AN421=0,I421,0)</f>
        <v>0</v>
      </c>
      <c r="AK421" s="54">
        <f>IF(AN421=12,I421,0)</f>
        <v>0</v>
      </c>
      <c r="AL421" s="54">
        <f>IF(AN421=21,I421,0)</f>
        <v>0</v>
      </c>
      <c r="AN421" s="54">
        <v>21</v>
      </c>
      <c r="AO421" s="54">
        <f>H421*0</f>
        <v>0</v>
      </c>
      <c r="AP421" s="54">
        <f>H421*(1-0)</f>
        <v>0</v>
      </c>
      <c r="AQ421" s="56" t="s">
        <v>168</v>
      </c>
      <c r="AV421" s="54">
        <f>AW421+AX421</f>
        <v>0</v>
      </c>
      <c r="AW421" s="54">
        <f>G421*AO421</f>
        <v>0</v>
      </c>
      <c r="AX421" s="54">
        <f>G421*AP421</f>
        <v>0</v>
      </c>
      <c r="AY421" s="56" t="s">
        <v>722</v>
      </c>
      <c r="AZ421" s="56" t="s">
        <v>418</v>
      </c>
      <c r="BA421" s="34" t="s">
        <v>114</v>
      </c>
      <c r="BC421" s="54">
        <f>AW421+AX421</f>
        <v>0</v>
      </c>
      <c r="BD421" s="54">
        <f>H421/(100-BE421)*100</f>
        <v>0</v>
      </c>
      <c r="BE421" s="54">
        <v>0</v>
      </c>
      <c r="BF421" s="54">
        <f>L421</f>
        <v>2.64E-2</v>
      </c>
      <c r="BH421" s="54">
        <f>G421*AO421</f>
        <v>0</v>
      </c>
      <c r="BI421" s="54">
        <f>G421*AP421</f>
        <v>0</v>
      </c>
      <c r="BJ421" s="54">
        <f>G421*H421</f>
        <v>0</v>
      </c>
      <c r="BK421" s="54"/>
      <c r="BL421" s="54">
        <v>728</v>
      </c>
      <c r="BW421" s="54">
        <v>21</v>
      </c>
      <c r="BX421" s="3" t="s">
        <v>748</v>
      </c>
    </row>
    <row r="422" spans="1:76" ht="14.5" x14ac:dyDescent="0.35">
      <c r="A422" s="57"/>
      <c r="D422" s="58" t="s">
        <v>406</v>
      </c>
      <c r="E422" s="59" t="s">
        <v>749</v>
      </c>
      <c r="G422" s="60">
        <v>24</v>
      </c>
      <c r="M422" s="61"/>
    </row>
    <row r="423" spans="1:76" ht="14.5" x14ac:dyDescent="0.35">
      <c r="A423" s="1" t="s">
        <v>750</v>
      </c>
      <c r="B423" s="2" t="s">
        <v>103</v>
      </c>
      <c r="C423" s="2" t="s">
        <v>751</v>
      </c>
      <c r="D423" s="155" t="s">
        <v>752</v>
      </c>
      <c r="E423" s="153"/>
      <c r="F423" s="2" t="s">
        <v>196</v>
      </c>
      <c r="G423" s="54">
        <f>'Stavební rozpočet'!G318</f>
        <v>24</v>
      </c>
      <c r="H423" s="94">
        <f>'Stavební rozpočet'!H318</f>
        <v>0</v>
      </c>
      <c r="I423" s="54">
        <f>G423*H423</f>
        <v>0</v>
      </c>
      <c r="J423" s="54">
        <f>'Stavební rozpočet'!J318</f>
        <v>0</v>
      </c>
      <c r="K423" s="54">
        <f>'Stavební rozpočet'!K318</f>
        <v>0</v>
      </c>
      <c r="L423" s="54">
        <f>G423*J423</f>
        <v>0</v>
      </c>
      <c r="M423" s="55" t="s">
        <v>111</v>
      </c>
      <c r="Z423" s="54">
        <f>IF(AQ423="5",BJ423,0)</f>
        <v>0</v>
      </c>
      <c r="AB423" s="54">
        <f>IF(AQ423="1",BH423,0)</f>
        <v>0</v>
      </c>
      <c r="AC423" s="54">
        <f>IF(AQ423="1",BI423,0)</f>
        <v>0</v>
      </c>
      <c r="AD423" s="54">
        <f>IF(AQ423="7",BH423,0)</f>
        <v>0</v>
      </c>
      <c r="AE423" s="54">
        <f>IF(AQ423="7",BI423,0)</f>
        <v>0</v>
      </c>
      <c r="AF423" s="54">
        <f>IF(AQ423="2",BH423,0)</f>
        <v>0</v>
      </c>
      <c r="AG423" s="54">
        <f>IF(AQ423="2",BI423,0)</f>
        <v>0</v>
      </c>
      <c r="AH423" s="54">
        <f>IF(AQ423="0",BJ423,0)</f>
        <v>0</v>
      </c>
      <c r="AI423" s="34" t="s">
        <v>103</v>
      </c>
      <c r="AJ423" s="54">
        <f>IF(AN423=0,I423,0)</f>
        <v>0</v>
      </c>
      <c r="AK423" s="54">
        <f>IF(AN423=12,I423,0)</f>
        <v>0</v>
      </c>
      <c r="AL423" s="54">
        <f>IF(AN423=21,I423,0)</f>
        <v>0</v>
      </c>
      <c r="AN423" s="54">
        <v>21</v>
      </c>
      <c r="AO423" s="54">
        <f>H423*0</f>
        <v>0</v>
      </c>
      <c r="AP423" s="54">
        <f>H423*(1-0)</f>
        <v>0</v>
      </c>
      <c r="AQ423" s="56" t="s">
        <v>168</v>
      </c>
      <c r="AV423" s="54">
        <f>AW423+AX423</f>
        <v>0</v>
      </c>
      <c r="AW423" s="54">
        <f>G423*AO423</f>
        <v>0</v>
      </c>
      <c r="AX423" s="54">
        <f>G423*AP423</f>
        <v>0</v>
      </c>
      <c r="AY423" s="56" t="s">
        <v>722</v>
      </c>
      <c r="AZ423" s="56" t="s">
        <v>418</v>
      </c>
      <c r="BA423" s="34" t="s">
        <v>114</v>
      </c>
      <c r="BC423" s="54">
        <f>AW423+AX423</f>
        <v>0</v>
      </c>
      <c r="BD423" s="54">
        <f>H423/(100-BE423)*100</f>
        <v>0</v>
      </c>
      <c r="BE423" s="54">
        <v>0</v>
      </c>
      <c r="BF423" s="54">
        <f>L423</f>
        <v>0</v>
      </c>
      <c r="BH423" s="54">
        <f>G423*AO423</f>
        <v>0</v>
      </c>
      <c r="BI423" s="54">
        <f>G423*AP423</f>
        <v>0</v>
      </c>
      <c r="BJ423" s="54">
        <f>G423*H423</f>
        <v>0</v>
      </c>
      <c r="BK423" s="54"/>
      <c r="BL423" s="54">
        <v>728</v>
      </c>
      <c r="BW423" s="54">
        <v>21</v>
      </c>
      <c r="BX423" s="3" t="s">
        <v>752</v>
      </c>
    </row>
    <row r="424" spans="1:76" ht="14.5" x14ac:dyDescent="0.35">
      <c r="A424" s="57"/>
      <c r="D424" s="58" t="s">
        <v>406</v>
      </c>
      <c r="E424" s="59" t="s">
        <v>753</v>
      </c>
      <c r="G424" s="60">
        <v>24</v>
      </c>
      <c r="M424" s="61"/>
    </row>
    <row r="425" spans="1:76" ht="25" x14ac:dyDescent="0.35">
      <c r="A425" s="64" t="s">
        <v>754</v>
      </c>
      <c r="B425" s="65" t="s">
        <v>103</v>
      </c>
      <c r="C425" s="65" t="s">
        <v>755</v>
      </c>
      <c r="D425" s="217" t="s">
        <v>756</v>
      </c>
      <c r="E425" s="218"/>
      <c r="F425" s="65" t="s">
        <v>196</v>
      </c>
      <c r="G425" s="67">
        <f>'Stavební rozpočet'!G320</f>
        <v>24</v>
      </c>
      <c r="H425" s="95">
        <f>'Stavební rozpočet'!H320</f>
        <v>0</v>
      </c>
      <c r="I425" s="67">
        <f>G425*H425</f>
        <v>0</v>
      </c>
      <c r="J425" s="67">
        <f>'Stavební rozpočet'!J320</f>
        <v>5.9000000000000003E-4</v>
      </c>
      <c r="K425" s="67">
        <f>'Stavební rozpočet'!K320</f>
        <v>0</v>
      </c>
      <c r="L425" s="67">
        <f>G425*J425</f>
        <v>1.4160000000000001E-2</v>
      </c>
      <c r="M425" s="68" t="s">
        <v>111</v>
      </c>
      <c r="Z425" s="54">
        <f>IF(AQ425="5",BJ425,0)</f>
        <v>0</v>
      </c>
      <c r="AB425" s="54">
        <f>IF(AQ425="1",BH425,0)</f>
        <v>0</v>
      </c>
      <c r="AC425" s="54">
        <f>IF(AQ425="1",BI425,0)</f>
        <v>0</v>
      </c>
      <c r="AD425" s="54">
        <f>IF(AQ425="7",BH425,0)</f>
        <v>0</v>
      </c>
      <c r="AE425" s="54">
        <f>IF(AQ425="7",BI425,0)</f>
        <v>0</v>
      </c>
      <c r="AF425" s="54">
        <f>IF(AQ425="2",BH425,0)</f>
        <v>0</v>
      </c>
      <c r="AG425" s="54">
        <f>IF(AQ425="2",BI425,0)</f>
        <v>0</v>
      </c>
      <c r="AH425" s="54">
        <f>IF(AQ425="0",BJ425,0)</f>
        <v>0</v>
      </c>
      <c r="AI425" s="34" t="s">
        <v>103</v>
      </c>
      <c r="AJ425" s="67">
        <f>IF(AN425=0,I425,0)</f>
        <v>0</v>
      </c>
      <c r="AK425" s="67">
        <f>IF(AN425=12,I425,0)</f>
        <v>0</v>
      </c>
      <c r="AL425" s="67">
        <f>IF(AN425=21,I425,0)</f>
        <v>0</v>
      </c>
      <c r="AN425" s="54">
        <v>21</v>
      </c>
      <c r="AO425" s="54">
        <f>H425*1</f>
        <v>0</v>
      </c>
      <c r="AP425" s="54">
        <f>H425*(1-1)</f>
        <v>0</v>
      </c>
      <c r="AQ425" s="69" t="s">
        <v>168</v>
      </c>
      <c r="AV425" s="54">
        <f>AW425+AX425</f>
        <v>0</v>
      </c>
      <c r="AW425" s="54">
        <f>G425*AO425</f>
        <v>0</v>
      </c>
      <c r="AX425" s="54">
        <f>G425*AP425</f>
        <v>0</v>
      </c>
      <c r="AY425" s="56" t="s">
        <v>722</v>
      </c>
      <c r="AZ425" s="56" t="s">
        <v>418</v>
      </c>
      <c r="BA425" s="34" t="s">
        <v>114</v>
      </c>
      <c r="BC425" s="54">
        <f>AW425+AX425</f>
        <v>0</v>
      </c>
      <c r="BD425" s="54">
        <f>H425/(100-BE425)*100</f>
        <v>0</v>
      </c>
      <c r="BE425" s="54">
        <v>0</v>
      </c>
      <c r="BF425" s="54">
        <f>L425</f>
        <v>1.4160000000000001E-2</v>
      </c>
      <c r="BH425" s="67">
        <f>G425*AO425</f>
        <v>0</v>
      </c>
      <c r="BI425" s="67">
        <f>G425*AP425</f>
        <v>0</v>
      </c>
      <c r="BJ425" s="67">
        <f>G425*H425</f>
        <v>0</v>
      </c>
      <c r="BK425" s="67"/>
      <c r="BL425" s="54">
        <v>728</v>
      </c>
      <c r="BW425" s="54">
        <v>21</v>
      </c>
      <c r="BX425" s="66" t="s">
        <v>756</v>
      </c>
    </row>
    <row r="426" spans="1:76" ht="13.5" customHeight="1" x14ac:dyDescent="0.35">
      <c r="A426" s="57"/>
      <c r="C426" s="62" t="s">
        <v>122</v>
      </c>
      <c r="D426" s="214" t="s">
        <v>757</v>
      </c>
      <c r="E426" s="215"/>
      <c r="F426" s="215"/>
      <c r="G426" s="215"/>
      <c r="H426" s="215"/>
      <c r="I426" s="215"/>
      <c r="J426" s="215"/>
      <c r="K426" s="215"/>
      <c r="L426" s="215"/>
      <c r="M426" s="216"/>
    </row>
    <row r="427" spans="1:76" ht="14.5" x14ac:dyDescent="0.35">
      <c r="A427" s="57"/>
      <c r="D427" s="58" t="s">
        <v>406</v>
      </c>
      <c r="E427" s="59" t="s">
        <v>758</v>
      </c>
      <c r="G427" s="60">
        <v>24</v>
      </c>
      <c r="M427" s="61"/>
    </row>
    <row r="428" spans="1:76" ht="52" x14ac:dyDescent="0.35">
      <c r="A428" s="57"/>
      <c r="C428" s="62" t="s">
        <v>156</v>
      </c>
      <c r="D428" s="211" t="s">
        <v>759</v>
      </c>
      <c r="E428" s="212"/>
      <c r="F428" s="212"/>
      <c r="G428" s="212"/>
      <c r="H428" s="212"/>
      <c r="I428" s="212"/>
      <c r="J428" s="212"/>
      <c r="K428" s="212"/>
      <c r="L428" s="212"/>
      <c r="M428" s="213"/>
      <c r="BX428" s="70" t="s">
        <v>759</v>
      </c>
    </row>
    <row r="429" spans="1:76" ht="14.5" x14ac:dyDescent="0.35">
      <c r="A429" s="1" t="s">
        <v>760</v>
      </c>
      <c r="B429" s="2" t="s">
        <v>103</v>
      </c>
      <c r="C429" s="2" t="s">
        <v>761</v>
      </c>
      <c r="D429" s="155" t="s">
        <v>762</v>
      </c>
      <c r="E429" s="153"/>
      <c r="F429" s="2" t="s">
        <v>110</v>
      </c>
      <c r="G429" s="54">
        <f>'Stavební rozpočet'!G322</f>
        <v>9.6</v>
      </c>
      <c r="H429" s="94">
        <f>'Stavební rozpočet'!H322</f>
        <v>0</v>
      </c>
      <c r="I429" s="54">
        <f>G429*H429</f>
        <v>0</v>
      </c>
      <c r="J429" s="54">
        <f>'Stavební rozpočet'!J322</f>
        <v>5.8999999999999999E-3</v>
      </c>
      <c r="K429" s="54">
        <f>'Stavební rozpočet'!K322</f>
        <v>5.8999999999999999E-3</v>
      </c>
      <c r="L429" s="54">
        <f>G429*J429</f>
        <v>5.6639999999999996E-2</v>
      </c>
      <c r="M429" s="55" t="s">
        <v>10</v>
      </c>
      <c r="Z429" s="54">
        <f>IF(AQ429="5",BJ429,0)</f>
        <v>0</v>
      </c>
      <c r="AB429" s="54">
        <f>IF(AQ429="1",BH429,0)</f>
        <v>0</v>
      </c>
      <c r="AC429" s="54">
        <f>IF(AQ429="1",BI429,0)</f>
        <v>0</v>
      </c>
      <c r="AD429" s="54">
        <f>IF(AQ429="7",BH429,0)</f>
        <v>0</v>
      </c>
      <c r="AE429" s="54">
        <f>IF(AQ429="7",BI429,0)</f>
        <v>0</v>
      </c>
      <c r="AF429" s="54">
        <f>IF(AQ429="2",BH429,0)</f>
        <v>0</v>
      </c>
      <c r="AG429" s="54">
        <f>IF(AQ429="2",BI429,0)</f>
        <v>0</v>
      </c>
      <c r="AH429" s="54">
        <f>IF(AQ429="0",BJ429,0)</f>
        <v>0</v>
      </c>
      <c r="AI429" s="34" t="s">
        <v>103</v>
      </c>
      <c r="AJ429" s="54">
        <f>IF(AN429=0,I429,0)</f>
        <v>0</v>
      </c>
      <c r="AK429" s="54">
        <f>IF(AN429=12,I429,0)</f>
        <v>0</v>
      </c>
      <c r="AL429" s="54">
        <f>IF(AN429=21,I429,0)</f>
        <v>0</v>
      </c>
      <c r="AN429" s="54">
        <v>21</v>
      </c>
      <c r="AO429" s="54">
        <f>H429*0</f>
        <v>0</v>
      </c>
      <c r="AP429" s="54">
        <f>H429*(1-0)</f>
        <v>0</v>
      </c>
      <c r="AQ429" s="56" t="s">
        <v>168</v>
      </c>
      <c r="AV429" s="54">
        <f>AW429+AX429</f>
        <v>0</v>
      </c>
      <c r="AW429" s="54">
        <f>G429*AO429</f>
        <v>0</v>
      </c>
      <c r="AX429" s="54">
        <f>G429*AP429</f>
        <v>0</v>
      </c>
      <c r="AY429" s="56" t="s">
        <v>722</v>
      </c>
      <c r="AZ429" s="56" t="s">
        <v>418</v>
      </c>
      <c r="BA429" s="34" t="s">
        <v>114</v>
      </c>
      <c r="BC429" s="54">
        <f>AW429+AX429</f>
        <v>0</v>
      </c>
      <c r="BD429" s="54">
        <f>H429/(100-BE429)*100</f>
        <v>0</v>
      </c>
      <c r="BE429" s="54">
        <v>0</v>
      </c>
      <c r="BF429" s="54">
        <f>L429</f>
        <v>5.6639999999999996E-2</v>
      </c>
      <c r="BH429" s="54">
        <f>G429*AO429</f>
        <v>0</v>
      </c>
      <c r="BI429" s="54">
        <f>G429*AP429</f>
        <v>0</v>
      </c>
      <c r="BJ429" s="54">
        <f>G429*H429</f>
        <v>0</v>
      </c>
      <c r="BK429" s="54"/>
      <c r="BL429" s="54">
        <v>728</v>
      </c>
      <c r="BW429" s="54">
        <v>21</v>
      </c>
      <c r="BX429" s="3" t="s">
        <v>762</v>
      </c>
    </row>
    <row r="430" spans="1:76" ht="13.5" customHeight="1" x14ac:dyDescent="0.35">
      <c r="A430" s="57"/>
      <c r="C430" s="62" t="s">
        <v>122</v>
      </c>
      <c r="D430" s="214" t="s">
        <v>763</v>
      </c>
      <c r="E430" s="215"/>
      <c r="F430" s="215"/>
      <c r="G430" s="215"/>
      <c r="H430" s="215"/>
      <c r="I430" s="215"/>
      <c r="J430" s="215"/>
      <c r="K430" s="215"/>
      <c r="L430" s="215"/>
      <c r="M430" s="216"/>
    </row>
    <row r="431" spans="1:76" ht="14.5" x14ac:dyDescent="0.35">
      <c r="A431" s="57"/>
      <c r="D431" s="58" t="s">
        <v>764</v>
      </c>
      <c r="E431" s="59" t="s">
        <v>765</v>
      </c>
      <c r="G431" s="60">
        <v>9.6</v>
      </c>
      <c r="M431" s="61"/>
    </row>
    <row r="432" spans="1:76" ht="14.5" x14ac:dyDescent="0.35">
      <c r="A432" s="1" t="s">
        <v>766</v>
      </c>
      <c r="B432" s="2" t="s">
        <v>103</v>
      </c>
      <c r="C432" s="2" t="s">
        <v>767</v>
      </c>
      <c r="D432" s="155" t="s">
        <v>768</v>
      </c>
      <c r="E432" s="153"/>
      <c r="F432" s="2" t="s">
        <v>412</v>
      </c>
      <c r="G432" s="54">
        <f>'Stavební rozpočet'!G324</f>
        <v>0.17599999999999999</v>
      </c>
      <c r="H432" s="94">
        <f>'Stavební rozpočet'!H324</f>
        <v>0</v>
      </c>
      <c r="I432" s="54">
        <f>G432*H432</f>
        <v>0</v>
      </c>
      <c r="J432" s="54">
        <f>'Stavební rozpočet'!J324</f>
        <v>0</v>
      </c>
      <c r="K432" s="54">
        <f>'Stavební rozpočet'!K324</f>
        <v>0</v>
      </c>
      <c r="L432" s="54">
        <f>G432*J432</f>
        <v>0</v>
      </c>
      <c r="M432" s="55" t="s">
        <v>111</v>
      </c>
      <c r="Z432" s="54">
        <f>IF(AQ432="5",BJ432,0)</f>
        <v>0</v>
      </c>
      <c r="AB432" s="54">
        <f>IF(AQ432="1",BH432,0)</f>
        <v>0</v>
      </c>
      <c r="AC432" s="54">
        <f>IF(AQ432="1",BI432,0)</f>
        <v>0</v>
      </c>
      <c r="AD432" s="54">
        <f>IF(AQ432="7",BH432,0)</f>
        <v>0</v>
      </c>
      <c r="AE432" s="54">
        <f>IF(AQ432="7",BI432,0)</f>
        <v>0</v>
      </c>
      <c r="AF432" s="54">
        <f>IF(AQ432="2",BH432,0)</f>
        <v>0</v>
      </c>
      <c r="AG432" s="54">
        <f>IF(AQ432="2",BI432,0)</f>
        <v>0</v>
      </c>
      <c r="AH432" s="54">
        <f>IF(AQ432="0",BJ432,0)</f>
        <v>0</v>
      </c>
      <c r="AI432" s="34" t="s">
        <v>103</v>
      </c>
      <c r="AJ432" s="54">
        <f>IF(AN432=0,I432,0)</f>
        <v>0</v>
      </c>
      <c r="AK432" s="54">
        <f>IF(AN432=12,I432,0)</f>
        <v>0</v>
      </c>
      <c r="AL432" s="54">
        <f>IF(AN432=21,I432,0)</f>
        <v>0</v>
      </c>
      <c r="AN432" s="54">
        <v>21</v>
      </c>
      <c r="AO432" s="54">
        <f>H432*0</f>
        <v>0</v>
      </c>
      <c r="AP432" s="54">
        <f>H432*(1-0)</f>
        <v>0</v>
      </c>
      <c r="AQ432" s="56" t="s">
        <v>150</v>
      </c>
      <c r="AV432" s="54">
        <f>AW432+AX432</f>
        <v>0</v>
      </c>
      <c r="AW432" s="54">
        <f>G432*AO432</f>
        <v>0</v>
      </c>
      <c r="AX432" s="54">
        <f>G432*AP432</f>
        <v>0</v>
      </c>
      <c r="AY432" s="56" t="s">
        <v>722</v>
      </c>
      <c r="AZ432" s="56" t="s">
        <v>418</v>
      </c>
      <c r="BA432" s="34" t="s">
        <v>114</v>
      </c>
      <c r="BC432" s="54">
        <f>AW432+AX432</f>
        <v>0</v>
      </c>
      <c r="BD432" s="54">
        <f>H432/(100-BE432)*100</f>
        <v>0</v>
      </c>
      <c r="BE432" s="54">
        <v>0</v>
      </c>
      <c r="BF432" s="54">
        <f>L432</f>
        <v>0</v>
      </c>
      <c r="BH432" s="54">
        <f>G432*AO432</f>
        <v>0</v>
      </c>
      <c r="BI432" s="54">
        <f>G432*AP432</f>
        <v>0</v>
      </c>
      <c r="BJ432" s="54">
        <f>G432*H432</f>
        <v>0</v>
      </c>
      <c r="BK432" s="54"/>
      <c r="BL432" s="54">
        <v>728</v>
      </c>
      <c r="BW432" s="54">
        <v>21</v>
      </c>
      <c r="BX432" s="3" t="s">
        <v>768</v>
      </c>
    </row>
    <row r="433" spans="1:76" ht="14.5" x14ac:dyDescent="0.35">
      <c r="A433" s="50" t="s">
        <v>10</v>
      </c>
      <c r="B433" s="51" t="s">
        <v>103</v>
      </c>
      <c r="C433" s="51" t="s">
        <v>769</v>
      </c>
      <c r="D433" s="206" t="s">
        <v>770</v>
      </c>
      <c r="E433" s="207"/>
      <c r="F433" s="52" t="s">
        <v>84</v>
      </c>
      <c r="G433" s="52" t="s">
        <v>84</v>
      </c>
      <c r="H433" s="52" t="s">
        <v>84</v>
      </c>
      <c r="I433" s="27">
        <f>SUM(I434:I482)</f>
        <v>0</v>
      </c>
      <c r="J433" s="34" t="s">
        <v>10</v>
      </c>
      <c r="K433" s="34" t="s">
        <v>10</v>
      </c>
      <c r="L433" s="27">
        <f>SUM(L434:L482)</f>
        <v>7.0594999999999999</v>
      </c>
      <c r="M433" s="53" t="s">
        <v>10</v>
      </c>
      <c r="AI433" s="34" t="s">
        <v>103</v>
      </c>
      <c r="AS433" s="27">
        <f>SUM(AJ434:AJ482)</f>
        <v>0</v>
      </c>
      <c r="AT433" s="27">
        <f>SUM(AK434:AK482)</f>
        <v>0</v>
      </c>
      <c r="AU433" s="27">
        <f>SUM(AL434:AL482)</f>
        <v>0</v>
      </c>
    </row>
    <row r="434" spans="1:76" ht="14.5" x14ac:dyDescent="0.35">
      <c r="A434" s="1" t="s">
        <v>771</v>
      </c>
      <c r="B434" s="2" t="s">
        <v>103</v>
      </c>
      <c r="C434" s="2" t="s">
        <v>772</v>
      </c>
      <c r="D434" s="155" t="s">
        <v>773</v>
      </c>
      <c r="E434" s="153"/>
      <c r="F434" s="2" t="s">
        <v>196</v>
      </c>
      <c r="G434" s="54">
        <f>'Stavební rozpočet'!G326</f>
        <v>120</v>
      </c>
      <c r="H434" s="94">
        <f>'Stavební rozpočet'!H326</f>
        <v>0</v>
      </c>
      <c r="I434" s="54">
        <f>G434*H434</f>
        <v>0</v>
      </c>
      <c r="J434" s="54">
        <f>'Stavební rozpočet'!J326</f>
        <v>6.9999999999999994E-5</v>
      </c>
      <c r="K434" s="54">
        <f>'Stavební rozpočet'!K326</f>
        <v>0</v>
      </c>
      <c r="L434" s="54">
        <f>G434*J434</f>
        <v>8.3999999999999995E-3</v>
      </c>
      <c r="M434" s="55" t="s">
        <v>111</v>
      </c>
      <c r="Z434" s="54">
        <f>IF(AQ434="5",BJ434,0)</f>
        <v>0</v>
      </c>
      <c r="AB434" s="54">
        <f>IF(AQ434="1",BH434,0)</f>
        <v>0</v>
      </c>
      <c r="AC434" s="54">
        <f>IF(AQ434="1",BI434,0)</f>
        <v>0</v>
      </c>
      <c r="AD434" s="54">
        <f>IF(AQ434="7",BH434,0)</f>
        <v>0</v>
      </c>
      <c r="AE434" s="54">
        <f>IF(AQ434="7",BI434,0)</f>
        <v>0</v>
      </c>
      <c r="AF434" s="54">
        <f>IF(AQ434="2",BH434,0)</f>
        <v>0</v>
      </c>
      <c r="AG434" s="54">
        <f>IF(AQ434="2",BI434,0)</f>
        <v>0</v>
      </c>
      <c r="AH434" s="54">
        <f>IF(AQ434="0",BJ434,0)</f>
        <v>0</v>
      </c>
      <c r="AI434" s="34" t="s">
        <v>103</v>
      </c>
      <c r="AJ434" s="54">
        <f>IF(AN434=0,I434,0)</f>
        <v>0</v>
      </c>
      <c r="AK434" s="54">
        <f>IF(AN434=12,I434,0)</f>
        <v>0</v>
      </c>
      <c r="AL434" s="54">
        <f>IF(AN434=21,I434,0)</f>
        <v>0</v>
      </c>
      <c r="AN434" s="54">
        <v>21</v>
      </c>
      <c r="AO434" s="54">
        <f>H434*0.125356125</f>
        <v>0</v>
      </c>
      <c r="AP434" s="54">
        <f>H434*(1-0.125356125)</f>
        <v>0</v>
      </c>
      <c r="AQ434" s="56" t="s">
        <v>168</v>
      </c>
      <c r="AV434" s="54">
        <f>AW434+AX434</f>
        <v>0</v>
      </c>
      <c r="AW434" s="54">
        <f>G434*AO434</f>
        <v>0</v>
      </c>
      <c r="AX434" s="54">
        <f>G434*AP434</f>
        <v>0</v>
      </c>
      <c r="AY434" s="56" t="s">
        <v>774</v>
      </c>
      <c r="AZ434" s="56" t="s">
        <v>775</v>
      </c>
      <c r="BA434" s="34" t="s">
        <v>114</v>
      </c>
      <c r="BC434" s="54">
        <f>AW434+AX434</f>
        <v>0</v>
      </c>
      <c r="BD434" s="54">
        <f>H434/(100-BE434)*100</f>
        <v>0</v>
      </c>
      <c r="BE434" s="54">
        <v>0</v>
      </c>
      <c r="BF434" s="54">
        <f>L434</f>
        <v>8.3999999999999995E-3</v>
      </c>
      <c r="BH434" s="54">
        <f>G434*AO434</f>
        <v>0</v>
      </c>
      <c r="BI434" s="54">
        <f>G434*AP434</f>
        <v>0</v>
      </c>
      <c r="BJ434" s="54">
        <f>G434*H434</f>
        <v>0</v>
      </c>
      <c r="BK434" s="54"/>
      <c r="BL434" s="54">
        <v>735</v>
      </c>
      <c r="BW434" s="54">
        <v>21</v>
      </c>
      <c r="BX434" s="3" t="s">
        <v>773</v>
      </c>
    </row>
    <row r="435" spans="1:76" ht="14.5" x14ac:dyDescent="0.35">
      <c r="A435" s="57"/>
      <c r="D435" s="58" t="s">
        <v>208</v>
      </c>
      <c r="E435" s="59" t="s">
        <v>776</v>
      </c>
      <c r="G435" s="60">
        <v>0</v>
      </c>
      <c r="M435" s="61"/>
    </row>
    <row r="436" spans="1:76" ht="14.5" x14ac:dyDescent="0.35">
      <c r="A436" s="57"/>
      <c r="D436" s="58" t="s">
        <v>777</v>
      </c>
      <c r="E436" s="59" t="s">
        <v>778</v>
      </c>
      <c r="G436" s="60">
        <v>88</v>
      </c>
      <c r="M436" s="61"/>
    </row>
    <row r="437" spans="1:76" ht="14.5" x14ac:dyDescent="0.35">
      <c r="A437" s="57"/>
      <c r="D437" s="58" t="s">
        <v>779</v>
      </c>
      <c r="E437" s="59" t="s">
        <v>780</v>
      </c>
      <c r="G437" s="60">
        <v>8</v>
      </c>
      <c r="M437" s="61"/>
    </row>
    <row r="438" spans="1:76" ht="14.5" x14ac:dyDescent="0.35">
      <c r="A438" s="57"/>
      <c r="D438" s="58" t="s">
        <v>781</v>
      </c>
      <c r="E438" s="59" t="s">
        <v>782</v>
      </c>
      <c r="G438" s="60">
        <v>16</v>
      </c>
      <c r="M438" s="61"/>
    </row>
    <row r="439" spans="1:76" ht="14.5" x14ac:dyDescent="0.35">
      <c r="A439" s="57"/>
      <c r="D439" s="58" t="s">
        <v>779</v>
      </c>
      <c r="E439" s="59" t="s">
        <v>783</v>
      </c>
      <c r="G439" s="60">
        <v>8</v>
      </c>
      <c r="M439" s="61"/>
    </row>
    <row r="440" spans="1:76" ht="14.5" x14ac:dyDescent="0.35">
      <c r="A440" s="1" t="s">
        <v>784</v>
      </c>
      <c r="B440" s="2" t="s">
        <v>103</v>
      </c>
      <c r="C440" s="2" t="s">
        <v>785</v>
      </c>
      <c r="D440" s="155" t="s">
        <v>786</v>
      </c>
      <c r="E440" s="153"/>
      <c r="F440" s="2" t="s">
        <v>196</v>
      </c>
      <c r="G440" s="54">
        <f>'Stavební rozpočet'!G332</f>
        <v>379</v>
      </c>
      <c r="H440" s="94">
        <f>'Stavební rozpočet'!H332</f>
        <v>0</v>
      </c>
      <c r="I440" s="54">
        <f>G440*H440</f>
        <v>0</v>
      </c>
      <c r="J440" s="54">
        <f>'Stavební rozpočet'!J332</f>
        <v>5.5999999999999999E-3</v>
      </c>
      <c r="K440" s="54">
        <f>'Stavební rozpočet'!K332</f>
        <v>0</v>
      </c>
      <c r="L440" s="54">
        <f>G440*J440</f>
        <v>2.1223999999999998</v>
      </c>
      <c r="M440" s="55" t="s">
        <v>616</v>
      </c>
      <c r="Z440" s="54">
        <f>IF(AQ440="5",BJ440,0)</f>
        <v>0</v>
      </c>
      <c r="AB440" s="54">
        <f>IF(AQ440="1",BH440,0)</f>
        <v>0</v>
      </c>
      <c r="AC440" s="54">
        <f>IF(AQ440="1",BI440,0)</f>
        <v>0</v>
      </c>
      <c r="AD440" s="54">
        <f>IF(AQ440="7",BH440,0)</f>
        <v>0</v>
      </c>
      <c r="AE440" s="54">
        <f>IF(AQ440="7",BI440,0)</f>
        <v>0</v>
      </c>
      <c r="AF440" s="54">
        <f>IF(AQ440="2",BH440,0)</f>
        <v>0</v>
      </c>
      <c r="AG440" s="54">
        <f>IF(AQ440="2",BI440,0)</f>
        <v>0</v>
      </c>
      <c r="AH440" s="54">
        <f>IF(AQ440="0",BJ440,0)</f>
        <v>0</v>
      </c>
      <c r="AI440" s="34" t="s">
        <v>103</v>
      </c>
      <c r="AJ440" s="54">
        <f>IF(AN440=0,I440,0)</f>
        <v>0</v>
      </c>
      <c r="AK440" s="54">
        <f>IF(AN440=12,I440,0)</f>
        <v>0</v>
      </c>
      <c r="AL440" s="54">
        <f>IF(AN440=21,I440,0)</f>
        <v>0</v>
      </c>
      <c r="AN440" s="54">
        <v>21</v>
      </c>
      <c r="AO440" s="54">
        <f>H440*0.125356125</f>
        <v>0</v>
      </c>
      <c r="AP440" s="54">
        <f>H440*(1-0.125356125)</f>
        <v>0</v>
      </c>
      <c r="AQ440" s="56" t="s">
        <v>168</v>
      </c>
      <c r="AV440" s="54">
        <f>AW440+AX440</f>
        <v>0</v>
      </c>
      <c r="AW440" s="54">
        <f>G440*AO440</f>
        <v>0</v>
      </c>
      <c r="AX440" s="54">
        <f>G440*AP440</f>
        <v>0</v>
      </c>
      <c r="AY440" s="56" t="s">
        <v>774</v>
      </c>
      <c r="AZ440" s="56" t="s">
        <v>775</v>
      </c>
      <c r="BA440" s="34" t="s">
        <v>114</v>
      </c>
      <c r="BC440" s="54">
        <f>AW440+AX440</f>
        <v>0</v>
      </c>
      <c r="BD440" s="54">
        <f>H440/(100-BE440)*100</f>
        <v>0</v>
      </c>
      <c r="BE440" s="54">
        <v>0</v>
      </c>
      <c r="BF440" s="54">
        <f>L440</f>
        <v>2.1223999999999998</v>
      </c>
      <c r="BH440" s="54">
        <f>G440*AO440</f>
        <v>0</v>
      </c>
      <c r="BI440" s="54">
        <f>G440*AP440</f>
        <v>0</v>
      </c>
      <c r="BJ440" s="54">
        <f>G440*H440</f>
        <v>0</v>
      </c>
      <c r="BK440" s="54"/>
      <c r="BL440" s="54">
        <v>735</v>
      </c>
      <c r="BW440" s="54">
        <v>21</v>
      </c>
      <c r="BX440" s="3" t="s">
        <v>786</v>
      </c>
    </row>
    <row r="441" spans="1:76" ht="14.5" x14ac:dyDescent="0.35">
      <c r="A441" s="57"/>
      <c r="D441" s="58" t="s">
        <v>208</v>
      </c>
      <c r="E441" s="59" t="s">
        <v>776</v>
      </c>
      <c r="G441" s="60">
        <v>0</v>
      </c>
      <c r="M441" s="61"/>
    </row>
    <row r="442" spans="1:76" ht="14.5" x14ac:dyDescent="0.35">
      <c r="A442" s="57"/>
      <c r="D442" s="58" t="s">
        <v>787</v>
      </c>
      <c r="E442" s="59" t="s">
        <v>788</v>
      </c>
      <c r="G442" s="60">
        <v>253</v>
      </c>
      <c r="M442" s="61"/>
    </row>
    <row r="443" spans="1:76" ht="14.5" x14ac:dyDescent="0.35">
      <c r="A443" s="57"/>
      <c r="D443" s="58" t="s">
        <v>789</v>
      </c>
      <c r="E443" s="59" t="s">
        <v>790</v>
      </c>
      <c r="G443" s="60">
        <v>23</v>
      </c>
      <c r="M443" s="61"/>
    </row>
    <row r="444" spans="1:76" ht="14.5" x14ac:dyDescent="0.35">
      <c r="A444" s="57"/>
      <c r="D444" s="58" t="s">
        <v>791</v>
      </c>
      <c r="E444" s="59" t="s">
        <v>792</v>
      </c>
      <c r="G444" s="60">
        <v>84</v>
      </c>
      <c r="M444" s="61"/>
    </row>
    <row r="445" spans="1:76" ht="14.5" x14ac:dyDescent="0.35">
      <c r="A445" s="57"/>
      <c r="D445" s="58" t="s">
        <v>793</v>
      </c>
      <c r="E445" s="59" t="s">
        <v>794</v>
      </c>
      <c r="G445" s="60">
        <v>19</v>
      </c>
      <c r="M445" s="61"/>
    </row>
    <row r="446" spans="1:76" ht="14.5" x14ac:dyDescent="0.35">
      <c r="A446" s="1" t="s">
        <v>795</v>
      </c>
      <c r="B446" s="2" t="s">
        <v>103</v>
      </c>
      <c r="C446" s="2" t="s">
        <v>796</v>
      </c>
      <c r="D446" s="155" t="s">
        <v>797</v>
      </c>
      <c r="E446" s="153"/>
      <c r="F446" s="2" t="s">
        <v>196</v>
      </c>
      <c r="G446" s="54">
        <f>'Stavební rozpočet'!G338</f>
        <v>30</v>
      </c>
      <c r="H446" s="94">
        <f>'Stavební rozpočet'!H338</f>
        <v>0</v>
      </c>
      <c r="I446" s="54">
        <f>G446*H446</f>
        <v>0</v>
      </c>
      <c r="J446" s="54">
        <f>'Stavební rozpočet'!J338</f>
        <v>6.0000000000000002E-5</v>
      </c>
      <c r="K446" s="54">
        <f>'Stavební rozpočet'!K338</f>
        <v>0</v>
      </c>
      <c r="L446" s="54">
        <f>G446*J446</f>
        <v>1.8E-3</v>
      </c>
      <c r="M446" s="55" t="s">
        <v>111</v>
      </c>
      <c r="Z446" s="54">
        <f>IF(AQ446="5",BJ446,0)</f>
        <v>0</v>
      </c>
      <c r="AB446" s="54">
        <f>IF(AQ446="1",BH446,0)</f>
        <v>0</v>
      </c>
      <c r="AC446" s="54">
        <f>IF(AQ446="1",BI446,0)</f>
        <v>0</v>
      </c>
      <c r="AD446" s="54">
        <f>IF(AQ446="7",BH446,0)</f>
        <v>0</v>
      </c>
      <c r="AE446" s="54">
        <f>IF(AQ446="7",BI446,0)</f>
        <v>0</v>
      </c>
      <c r="AF446" s="54">
        <f>IF(AQ446="2",BH446,0)</f>
        <v>0</v>
      </c>
      <c r="AG446" s="54">
        <f>IF(AQ446="2",BI446,0)</f>
        <v>0</v>
      </c>
      <c r="AH446" s="54">
        <f>IF(AQ446="0",BJ446,0)</f>
        <v>0</v>
      </c>
      <c r="AI446" s="34" t="s">
        <v>103</v>
      </c>
      <c r="AJ446" s="54">
        <f>IF(AN446=0,I446,0)</f>
        <v>0</v>
      </c>
      <c r="AK446" s="54">
        <f>IF(AN446=12,I446,0)</f>
        <v>0</v>
      </c>
      <c r="AL446" s="54">
        <f>IF(AN446=21,I446,0)</f>
        <v>0</v>
      </c>
      <c r="AN446" s="54">
        <v>21</v>
      </c>
      <c r="AO446" s="54">
        <f>H446*0.140649351</f>
        <v>0</v>
      </c>
      <c r="AP446" s="54">
        <f>H446*(1-0.140649351)</f>
        <v>0</v>
      </c>
      <c r="AQ446" s="56" t="s">
        <v>168</v>
      </c>
      <c r="AV446" s="54">
        <f>AW446+AX446</f>
        <v>0</v>
      </c>
      <c r="AW446" s="54">
        <f>G446*AO446</f>
        <v>0</v>
      </c>
      <c r="AX446" s="54">
        <f>G446*AP446</f>
        <v>0</v>
      </c>
      <c r="AY446" s="56" t="s">
        <v>774</v>
      </c>
      <c r="AZ446" s="56" t="s">
        <v>775</v>
      </c>
      <c r="BA446" s="34" t="s">
        <v>114</v>
      </c>
      <c r="BC446" s="54">
        <f>AW446+AX446</f>
        <v>0</v>
      </c>
      <c r="BD446" s="54">
        <f>H446/(100-BE446)*100</f>
        <v>0</v>
      </c>
      <c r="BE446" s="54">
        <v>0</v>
      </c>
      <c r="BF446" s="54">
        <f>L446</f>
        <v>1.8E-3</v>
      </c>
      <c r="BH446" s="54">
        <f>G446*AO446</f>
        <v>0</v>
      </c>
      <c r="BI446" s="54">
        <f>G446*AP446</f>
        <v>0</v>
      </c>
      <c r="BJ446" s="54">
        <f>G446*H446</f>
        <v>0</v>
      </c>
      <c r="BK446" s="54"/>
      <c r="BL446" s="54">
        <v>735</v>
      </c>
      <c r="BW446" s="54">
        <v>21</v>
      </c>
      <c r="BX446" s="3" t="s">
        <v>797</v>
      </c>
    </row>
    <row r="447" spans="1:76" ht="14.5" x14ac:dyDescent="0.35">
      <c r="A447" s="57"/>
      <c r="D447" s="58" t="s">
        <v>208</v>
      </c>
      <c r="E447" s="59" t="s">
        <v>776</v>
      </c>
      <c r="G447" s="60">
        <v>0</v>
      </c>
      <c r="M447" s="61"/>
    </row>
    <row r="448" spans="1:76" ht="14.5" x14ac:dyDescent="0.35">
      <c r="A448" s="57"/>
      <c r="D448" s="58" t="s">
        <v>798</v>
      </c>
      <c r="E448" s="59" t="s">
        <v>799</v>
      </c>
      <c r="G448" s="60">
        <v>22</v>
      </c>
      <c r="M448" s="61"/>
    </row>
    <row r="449" spans="1:76" ht="14.5" x14ac:dyDescent="0.35">
      <c r="A449" s="57"/>
      <c r="D449" s="58" t="s">
        <v>572</v>
      </c>
      <c r="E449" s="59" t="s">
        <v>800</v>
      </c>
      <c r="G449" s="60">
        <v>2</v>
      </c>
      <c r="M449" s="61"/>
    </row>
    <row r="450" spans="1:76" ht="14.5" x14ac:dyDescent="0.35">
      <c r="A450" s="57"/>
      <c r="D450" s="58" t="s">
        <v>801</v>
      </c>
      <c r="E450" s="59" t="s">
        <v>802</v>
      </c>
      <c r="G450" s="60">
        <v>4</v>
      </c>
      <c r="M450" s="61"/>
    </row>
    <row r="451" spans="1:76" ht="14.5" x14ac:dyDescent="0.35">
      <c r="A451" s="57"/>
      <c r="D451" s="58" t="s">
        <v>572</v>
      </c>
      <c r="E451" s="59" t="s">
        <v>803</v>
      </c>
      <c r="G451" s="60">
        <v>2</v>
      </c>
      <c r="M451" s="61"/>
    </row>
    <row r="452" spans="1:76" ht="14.5" x14ac:dyDescent="0.35">
      <c r="A452" s="1" t="s">
        <v>804</v>
      </c>
      <c r="B452" s="2" t="s">
        <v>103</v>
      </c>
      <c r="C452" s="2" t="s">
        <v>805</v>
      </c>
      <c r="D452" s="155" t="s">
        <v>806</v>
      </c>
      <c r="E452" s="153"/>
      <c r="F452" s="2" t="s">
        <v>196</v>
      </c>
      <c r="G452" s="54">
        <f>'Stavební rozpočet'!G344</f>
        <v>30</v>
      </c>
      <c r="H452" s="94">
        <f>'Stavební rozpočet'!H344</f>
        <v>0</v>
      </c>
      <c r="I452" s="54">
        <f>G452*H452</f>
        <v>0</v>
      </c>
      <c r="J452" s="54">
        <f>'Stavební rozpočet'!J344</f>
        <v>1.0000000000000001E-5</v>
      </c>
      <c r="K452" s="54">
        <f>'Stavební rozpočet'!K344</f>
        <v>0</v>
      </c>
      <c r="L452" s="54">
        <f>G452*J452</f>
        <v>3.0000000000000003E-4</v>
      </c>
      <c r="M452" s="55" t="s">
        <v>111</v>
      </c>
      <c r="Z452" s="54">
        <f>IF(AQ452="5",BJ452,0)</f>
        <v>0</v>
      </c>
      <c r="AB452" s="54">
        <f>IF(AQ452="1",BH452,0)</f>
        <v>0</v>
      </c>
      <c r="AC452" s="54">
        <f>IF(AQ452="1",BI452,0)</f>
        <v>0</v>
      </c>
      <c r="AD452" s="54">
        <f>IF(AQ452="7",BH452,0)</f>
        <v>0</v>
      </c>
      <c r="AE452" s="54">
        <f>IF(AQ452="7",BI452,0)</f>
        <v>0</v>
      </c>
      <c r="AF452" s="54">
        <f>IF(AQ452="2",BH452,0)</f>
        <v>0</v>
      </c>
      <c r="AG452" s="54">
        <f>IF(AQ452="2",BI452,0)</f>
        <v>0</v>
      </c>
      <c r="AH452" s="54">
        <f>IF(AQ452="0",BJ452,0)</f>
        <v>0</v>
      </c>
      <c r="AI452" s="34" t="s">
        <v>103</v>
      </c>
      <c r="AJ452" s="54">
        <f>IF(AN452=0,I452,0)</f>
        <v>0</v>
      </c>
      <c r="AK452" s="54">
        <f>IF(AN452=12,I452,0)</f>
        <v>0</v>
      </c>
      <c r="AL452" s="54">
        <f>IF(AN452=21,I452,0)</f>
        <v>0</v>
      </c>
      <c r="AN452" s="54">
        <v>21</v>
      </c>
      <c r="AO452" s="54">
        <f>H452*0.159320594</f>
        <v>0</v>
      </c>
      <c r="AP452" s="54">
        <f>H452*(1-0.159320594)</f>
        <v>0</v>
      </c>
      <c r="AQ452" s="56" t="s">
        <v>168</v>
      </c>
      <c r="AV452" s="54">
        <f>AW452+AX452</f>
        <v>0</v>
      </c>
      <c r="AW452" s="54">
        <f>G452*AO452</f>
        <v>0</v>
      </c>
      <c r="AX452" s="54">
        <f>G452*AP452</f>
        <v>0</v>
      </c>
      <c r="AY452" s="56" t="s">
        <v>774</v>
      </c>
      <c r="AZ452" s="56" t="s">
        <v>775</v>
      </c>
      <c r="BA452" s="34" t="s">
        <v>114</v>
      </c>
      <c r="BC452" s="54">
        <f>AW452+AX452</f>
        <v>0</v>
      </c>
      <c r="BD452" s="54">
        <f>H452/(100-BE452)*100</f>
        <v>0</v>
      </c>
      <c r="BE452" s="54">
        <v>0</v>
      </c>
      <c r="BF452" s="54">
        <f>L452</f>
        <v>3.0000000000000003E-4</v>
      </c>
      <c r="BH452" s="54">
        <f>G452*AO452</f>
        <v>0</v>
      </c>
      <c r="BI452" s="54">
        <f>G452*AP452</f>
        <v>0</v>
      </c>
      <c r="BJ452" s="54">
        <f>G452*H452</f>
        <v>0</v>
      </c>
      <c r="BK452" s="54"/>
      <c r="BL452" s="54">
        <v>735</v>
      </c>
      <c r="BW452" s="54">
        <v>21</v>
      </c>
      <c r="BX452" s="3" t="s">
        <v>806</v>
      </c>
    </row>
    <row r="453" spans="1:76" ht="14.5" x14ac:dyDescent="0.35">
      <c r="A453" s="57"/>
      <c r="D453" s="58" t="s">
        <v>807</v>
      </c>
      <c r="E453" s="59" t="s">
        <v>10</v>
      </c>
      <c r="G453" s="60">
        <v>30</v>
      </c>
      <c r="M453" s="61"/>
    </row>
    <row r="454" spans="1:76" ht="14.5" x14ac:dyDescent="0.35">
      <c r="A454" s="1" t="s">
        <v>808</v>
      </c>
      <c r="B454" s="2" t="s">
        <v>103</v>
      </c>
      <c r="C454" s="2" t="s">
        <v>809</v>
      </c>
      <c r="D454" s="155" t="s">
        <v>810</v>
      </c>
      <c r="E454" s="153"/>
      <c r="F454" s="2" t="s">
        <v>110</v>
      </c>
      <c r="G454" s="54">
        <f>'Stavební rozpočet'!G346</f>
        <v>15.45</v>
      </c>
      <c r="H454" s="94">
        <f>'Stavební rozpočet'!H346</f>
        <v>0</v>
      </c>
      <c r="I454" s="54">
        <f>G454*H454</f>
        <v>0</v>
      </c>
      <c r="J454" s="54">
        <f>'Stavební rozpočet'!J346</f>
        <v>0.16</v>
      </c>
      <c r="K454" s="54">
        <f>'Stavební rozpočet'!K346</f>
        <v>0.16</v>
      </c>
      <c r="L454" s="54">
        <f>G454*J454</f>
        <v>2.472</v>
      </c>
      <c r="M454" s="55" t="s">
        <v>111</v>
      </c>
      <c r="Z454" s="54">
        <f>IF(AQ454="5",BJ454,0)</f>
        <v>0</v>
      </c>
      <c r="AB454" s="54">
        <f>IF(AQ454="1",BH454,0)</f>
        <v>0</v>
      </c>
      <c r="AC454" s="54">
        <f>IF(AQ454="1",BI454,0)</f>
        <v>0</v>
      </c>
      <c r="AD454" s="54">
        <f>IF(AQ454="7",BH454,0)</f>
        <v>0</v>
      </c>
      <c r="AE454" s="54">
        <f>IF(AQ454="7",BI454,0)</f>
        <v>0</v>
      </c>
      <c r="AF454" s="54">
        <f>IF(AQ454="2",BH454,0)</f>
        <v>0</v>
      </c>
      <c r="AG454" s="54">
        <f>IF(AQ454="2",BI454,0)</f>
        <v>0</v>
      </c>
      <c r="AH454" s="54">
        <f>IF(AQ454="0",BJ454,0)</f>
        <v>0</v>
      </c>
      <c r="AI454" s="34" t="s">
        <v>103</v>
      </c>
      <c r="AJ454" s="54">
        <f>IF(AN454=0,I454,0)</f>
        <v>0</v>
      </c>
      <c r="AK454" s="54">
        <f>IF(AN454=12,I454,0)</f>
        <v>0</v>
      </c>
      <c r="AL454" s="54">
        <f>IF(AN454=21,I454,0)</f>
        <v>0</v>
      </c>
      <c r="AN454" s="54">
        <v>21</v>
      </c>
      <c r="AO454" s="54">
        <f>H454*0</f>
        <v>0</v>
      </c>
      <c r="AP454" s="54">
        <f>H454*(1-0)</f>
        <v>0</v>
      </c>
      <c r="AQ454" s="56" t="s">
        <v>168</v>
      </c>
      <c r="AV454" s="54">
        <f>AW454+AX454</f>
        <v>0</v>
      </c>
      <c r="AW454" s="54">
        <f>G454*AO454</f>
        <v>0</v>
      </c>
      <c r="AX454" s="54">
        <f>G454*AP454</f>
        <v>0</v>
      </c>
      <c r="AY454" s="56" t="s">
        <v>774</v>
      </c>
      <c r="AZ454" s="56" t="s">
        <v>775</v>
      </c>
      <c r="BA454" s="34" t="s">
        <v>114</v>
      </c>
      <c r="BC454" s="54">
        <f>AW454+AX454</f>
        <v>0</v>
      </c>
      <c r="BD454" s="54">
        <f>H454/(100-BE454)*100</f>
        <v>0</v>
      </c>
      <c r="BE454" s="54">
        <v>0</v>
      </c>
      <c r="BF454" s="54">
        <f>L454</f>
        <v>2.472</v>
      </c>
      <c r="BH454" s="54">
        <f>G454*AO454</f>
        <v>0</v>
      </c>
      <c r="BI454" s="54">
        <f>G454*AP454</f>
        <v>0</v>
      </c>
      <c r="BJ454" s="54">
        <f>G454*H454</f>
        <v>0</v>
      </c>
      <c r="BK454" s="54"/>
      <c r="BL454" s="54">
        <v>735</v>
      </c>
      <c r="BW454" s="54">
        <v>21</v>
      </c>
      <c r="BX454" s="3" t="s">
        <v>810</v>
      </c>
    </row>
    <row r="455" spans="1:76" ht="13.5" customHeight="1" x14ac:dyDescent="0.35">
      <c r="A455" s="57"/>
      <c r="C455" s="62" t="s">
        <v>122</v>
      </c>
      <c r="D455" s="214" t="s">
        <v>811</v>
      </c>
      <c r="E455" s="215"/>
      <c r="F455" s="215"/>
      <c r="G455" s="215"/>
      <c r="H455" s="215"/>
      <c r="I455" s="215"/>
      <c r="J455" s="215"/>
      <c r="K455" s="215"/>
      <c r="L455" s="215"/>
      <c r="M455" s="216"/>
    </row>
    <row r="456" spans="1:76" ht="14.5" x14ac:dyDescent="0.35">
      <c r="A456" s="57"/>
      <c r="D456" s="58" t="s">
        <v>208</v>
      </c>
      <c r="E456" s="59" t="s">
        <v>776</v>
      </c>
      <c r="G456" s="60">
        <v>0</v>
      </c>
      <c r="M456" s="61"/>
    </row>
    <row r="457" spans="1:76" ht="14.5" x14ac:dyDescent="0.35">
      <c r="A457" s="57"/>
      <c r="D457" s="58" t="s">
        <v>812</v>
      </c>
      <c r="E457" s="59" t="s">
        <v>813</v>
      </c>
      <c r="G457" s="60">
        <v>10.56</v>
      </c>
      <c r="M457" s="61"/>
    </row>
    <row r="458" spans="1:76" ht="14.5" x14ac:dyDescent="0.35">
      <c r="A458" s="57"/>
      <c r="D458" s="58" t="s">
        <v>814</v>
      </c>
      <c r="E458" s="59" t="s">
        <v>815</v>
      </c>
      <c r="G458" s="60">
        <v>0.96</v>
      </c>
      <c r="M458" s="61"/>
    </row>
    <row r="459" spans="1:76" ht="14.5" x14ac:dyDescent="0.35">
      <c r="A459" s="57"/>
      <c r="D459" s="58" t="s">
        <v>816</v>
      </c>
      <c r="E459" s="59" t="s">
        <v>817</v>
      </c>
      <c r="G459" s="60">
        <v>3.24</v>
      </c>
      <c r="M459" s="61"/>
    </row>
    <row r="460" spans="1:76" ht="14.5" x14ac:dyDescent="0.35">
      <c r="A460" s="57"/>
      <c r="D460" s="58" t="s">
        <v>818</v>
      </c>
      <c r="E460" s="59" t="s">
        <v>819</v>
      </c>
      <c r="G460" s="60">
        <v>0.69</v>
      </c>
      <c r="M460" s="61"/>
    </row>
    <row r="461" spans="1:76" ht="14.5" x14ac:dyDescent="0.35">
      <c r="A461" s="1" t="s">
        <v>820</v>
      </c>
      <c r="B461" s="2" t="s">
        <v>103</v>
      </c>
      <c r="C461" s="2" t="s">
        <v>821</v>
      </c>
      <c r="D461" s="155" t="s">
        <v>822</v>
      </c>
      <c r="E461" s="153"/>
      <c r="F461" s="2" t="s">
        <v>110</v>
      </c>
      <c r="G461" s="54">
        <f>'Stavební rozpočet'!G352</f>
        <v>15.27</v>
      </c>
      <c r="H461" s="94">
        <f>'Stavební rozpočet'!H352</f>
        <v>0</v>
      </c>
      <c r="I461" s="54">
        <f>G461*H461</f>
        <v>0</v>
      </c>
      <c r="J461" s="54">
        <f>'Stavební rozpočet'!J352</f>
        <v>0</v>
      </c>
      <c r="K461" s="54">
        <f>'Stavební rozpočet'!K352</f>
        <v>0</v>
      </c>
      <c r="L461" s="54">
        <f>G461*J461</f>
        <v>0</v>
      </c>
      <c r="M461" s="55" t="s">
        <v>111</v>
      </c>
      <c r="Z461" s="54">
        <f>IF(AQ461="5",BJ461,0)</f>
        <v>0</v>
      </c>
      <c r="AB461" s="54">
        <f>IF(AQ461="1",BH461,0)</f>
        <v>0</v>
      </c>
      <c r="AC461" s="54">
        <f>IF(AQ461="1",BI461,0)</f>
        <v>0</v>
      </c>
      <c r="AD461" s="54">
        <f>IF(AQ461="7",BH461,0)</f>
        <v>0</v>
      </c>
      <c r="AE461" s="54">
        <f>IF(AQ461="7",BI461,0)</f>
        <v>0</v>
      </c>
      <c r="AF461" s="54">
        <f>IF(AQ461="2",BH461,0)</f>
        <v>0</v>
      </c>
      <c r="AG461" s="54">
        <f>IF(AQ461="2",BI461,0)</f>
        <v>0</v>
      </c>
      <c r="AH461" s="54">
        <f>IF(AQ461="0",BJ461,0)</f>
        <v>0</v>
      </c>
      <c r="AI461" s="34" t="s">
        <v>103</v>
      </c>
      <c r="AJ461" s="54">
        <f>IF(AN461=0,I461,0)</f>
        <v>0</v>
      </c>
      <c r="AK461" s="54">
        <f>IF(AN461=12,I461,0)</f>
        <v>0</v>
      </c>
      <c r="AL461" s="54">
        <f>IF(AN461=21,I461,0)</f>
        <v>0</v>
      </c>
      <c r="AN461" s="54">
        <v>21</v>
      </c>
      <c r="AO461" s="54">
        <f>H461*0</f>
        <v>0</v>
      </c>
      <c r="AP461" s="54">
        <f>H461*(1-0)</f>
        <v>0</v>
      </c>
      <c r="AQ461" s="56" t="s">
        <v>168</v>
      </c>
      <c r="AV461" s="54">
        <f>AW461+AX461</f>
        <v>0</v>
      </c>
      <c r="AW461" s="54">
        <f>G461*AO461</f>
        <v>0</v>
      </c>
      <c r="AX461" s="54">
        <f>G461*AP461</f>
        <v>0</v>
      </c>
      <c r="AY461" s="56" t="s">
        <v>774</v>
      </c>
      <c r="AZ461" s="56" t="s">
        <v>775</v>
      </c>
      <c r="BA461" s="34" t="s">
        <v>114</v>
      </c>
      <c r="BC461" s="54">
        <f>AW461+AX461</f>
        <v>0</v>
      </c>
      <c r="BD461" s="54">
        <f>H461/(100-BE461)*100</f>
        <v>0</v>
      </c>
      <c r="BE461" s="54">
        <v>0</v>
      </c>
      <c r="BF461" s="54">
        <f>L461</f>
        <v>0</v>
      </c>
      <c r="BH461" s="54">
        <f>G461*AO461</f>
        <v>0</v>
      </c>
      <c r="BI461" s="54">
        <f>G461*AP461</f>
        <v>0</v>
      </c>
      <c r="BJ461" s="54">
        <f>G461*H461</f>
        <v>0</v>
      </c>
      <c r="BK461" s="54"/>
      <c r="BL461" s="54">
        <v>735</v>
      </c>
      <c r="BW461" s="54">
        <v>21</v>
      </c>
      <c r="BX461" s="3" t="s">
        <v>822</v>
      </c>
    </row>
    <row r="462" spans="1:76" ht="14.5" x14ac:dyDescent="0.35">
      <c r="A462" s="57"/>
      <c r="D462" s="58" t="s">
        <v>208</v>
      </c>
      <c r="E462" s="59" t="s">
        <v>776</v>
      </c>
      <c r="G462" s="60">
        <v>0</v>
      </c>
      <c r="M462" s="61"/>
    </row>
    <row r="463" spans="1:76" ht="14.5" x14ac:dyDescent="0.35">
      <c r="A463" s="57"/>
      <c r="D463" s="58" t="s">
        <v>812</v>
      </c>
      <c r="E463" s="59" t="s">
        <v>813</v>
      </c>
      <c r="G463" s="60">
        <v>10.56</v>
      </c>
      <c r="M463" s="61"/>
    </row>
    <row r="464" spans="1:76" ht="14.5" x14ac:dyDescent="0.35">
      <c r="A464" s="57"/>
      <c r="D464" s="58" t="s">
        <v>814</v>
      </c>
      <c r="E464" s="59" t="s">
        <v>815</v>
      </c>
      <c r="G464" s="60">
        <v>0.96</v>
      </c>
      <c r="M464" s="61"/>
    </row>
    <row r="465" spans="1:76" ht="14.5" x14ac:dyDescent="0.35">
      <c r="A465" s="57"/>
      <c r="D465" s="58" t="s">
        <v>823</v>
      </c>
      <c r="E465" s="59" t="s">
        <v>824</v>
      </c>
      <c r="G465" s="60">
        <v>3.06</v>
      </c>
      <c r="M465" s="61"/>
    </row>
    <row r="466" spans="1:76" ht="14.5" x14ac:dyDescent="0.35">
      <c r="A466" s="57"/>
      <c r="D466" s="58" t="s">
        <v>818</v>
      </c>
      <c r="E466" s="59" t="s">
        <v>819</v>
      </c>
      <c r="G466" s="60">
        <v>0.69</v>
      </c>
      <c r="M466" s="61"/>
    </row>
    <row r="467" spans="1:76" ht="14.5" x14ac:dyDescent="0.35">
      <c r="A467" s="1" t="s">
        <v>825</v>
      </c>
      <c r="B467" s="2" t="s">
        <v>103</v>
      </c>
      <c r="C467" s="2" t="s">
        <v>826</v>
      </c>
      <c r="D467" s="155" t="s">
        <v>827</v>
      </c>
      <c r="E467" s="153"/>
      <c r="F467" s="2" t="s">
        <v>110</v>
      </c>
      <c r="G467" s="54">
        <f>'Stavební rozpočet'!G358</f>
        <v>15.27</v>
      </c>
      <c r="H467" s="94">
        <f>'Stavební rozpočet'!H358</f>
        <v>0</v>
      </c>
      <c r="I467" s="54">
        <f>G467*H467</f>
        <v>0</v>
      </c>
      <c r="J467" s="54">
        <f>'Stavební rozpočet'!J358</f>
        <v>0</v>
      </c>
      <c r="K467" s="54">
        <f>'Stavební rozpočet'!K358</f>
        <v>0</v>
      </c>
      <c r="L467" s="54">
        <f>G467*J467</f>
        <v>0</v>
      </c>
      <c r="M467" s="55" t="s">
        <v>111</v>
      </c>
      <c r="Z467" s="54">
        <f>IF(AQ467="5",BJ467,0)</f>
        <v>0</v>
      </c>
      <c r="AB467" s="54">
        <f>IF(AQ467="1",BH467,0)</f>
        <v>0</v>
      </c>
      <c r="AC467" s="54">
        <f>IF(AQ467="1",BI467,0)</f>
        <v>0</v>
      </c>
      <c r="AD467" s="54">
        <f>IF(AQ467="7",BH467,0)</f>
        <v>0</v>
      </c>
      <c r="AE467" s="54">
        <f>IF(AQ467="7",BI467,0)</f>
        <v>0</v>
      </c>
      <c r="AF467" s="54">
        <f>IF(AQ467="2",BH467,0)</f>
        <v>0</v>
      </c>
      <c r="AG467" s="54">
        <f>IF(AQ467="2",BI467,0)</f>
        <v>0</v>
      </c>
      <c r="AH467" s="54">
        <f>IF(AQ467="0",BJ467,0)</f>
        <v>0</v>
      </c>
      <c r="AI467" s="34" t="s">
        <v>103</v>
      </c>
      <c r="AJ467" s="54">
        <f>IF(AN467=0,I467,0)</f>
        <v>0</v>
      </c>
      <c r="AK467" s="54">
        <f>IF(AN467=12,I467,0)</f>
        <v>0</v>
      </c>
      <c r="AL467" s="54">
        <f>IF(AN467=21,I467,0)</f>
        <v>0</v>
      </c>
      <c r="AN467" s="54">
        <v>21</v>
      </c>
      <c r="AO467" s="54">
        <f>H467*0.015149561</f>
        <v>0</v>
      </c>
      <c r="AP467" s="54">
        <f>H467*(1-0.015149561)</f>
        <v>0</v>
      </c>
      <c r="AQ467" s="56" t="s">
        <v>168</v>
      </c>
      <c r="AV467" s="54">
        <f>AW467+AX467</f>
        <v>0</v>
      </c>
      <c r="AW467" s="54">
        <f>G467*AO467</f>
        <v>0</v>
      </c>
      <c r="AX467" s="54">
        <f>G467*AP467</f>
        <v>0</v>
      </c>
      <c r="AY467" s="56" t="s">
        <v>774</v>
      </c>
      <c r="AZ467" s="56" t="s">
        <v>775</v>
      </c>
      <c r="BA467" s="34" t="s">
        <v>114</v>
      </c>
      <c r="BC467" s="54">
        <f>AW467+AX467</f>
        <v>0</v>
      </c>
      <c r="BD467" s="54">
        <f>H467/(100-BE467)*100</f>
        <v>0</v>
      </c>
      <c r="BE467" s="54">
        <v>0</v>
      </c>
      <c r="BF467" s="54">
        <f>L467</f>
        <v>0</v>
      </c>
      <c r="BH467" s="54">
        <f>G467*AO467</f>
        <v>0</v>
      </c>
      <c r="BI467" s="54">
        <f>G467*AP467</f>
        <v>0</v>
      </c>
      <c r="BJ467" s="54">
        <f>G467*H467</f>
        <v>0</v>
      </c>
      <c r="BK467" s="54"/>
      <c r="BL467" s="54">
        <v>735</v>
      </c>
      <c r="BW467" s="54">
        <v>21</v>
      </c>
      <c r="BX467" s="3" t="s">
        <v>827</v>
      </c>
    </row>
    <row r="468" spans="1:76" ht="14.5" x14ac:dyDescent="0.35">
      <c r="A468" s="57"/>
      <c r="D468" s="58" t="s">
        <v>208</v>
      </c>
      <c r="E468" s="59" t="s">
        <v>776</v>
      </c>
      <c r="G468" s="60">
        <v>0</v>
      </c>
      <c r="M468" s="61"/>
    </row>
    <row r="469" spans="1:76" ht="14.5" x14ac:dyDescent="0.35">
      <c r="A469" s="57"/>
      <c r="D469" s="58" t="s">
        <v>812</v>
      </c>
      <c r="E469" s="59" t="s">
        <v>813</v>
      </c>
      <c r="G469" s="60">
        <v>10.56</v>
      </c>
      <c r="M469" s="61"/>
    </row>
    <row r="470" spans="1:76" ht="14.5" x14ac:dyDescent="0.35">
      <c r="A470" s="57"/>
      <c r="D470" s="58" t="s">
        <v>814</v>
      </c>
      <c r="E470" s="59" t="s">
        <v>815</v>
      </c>
      <c r="G470" s="60">
        <v>0.96</v>
      </c>
      <c r="M470" s="61"/>
    </row>
    <row r="471" spans="1:76" ht="14.5" x14ac:dyDescent="0.35">
      <c r="A471" s="57"/>
      <c r="D471" s="58" t="s">
        <v>823</v>
      </c>
      <c r="E471" s="59" t="s">
        <v>824</v>
      </c>
      <c r="G471" s="60">
        <v>3.06</v>
      </c>
      <c r="M471" s="61"/>
    </row>
    <row r="472" spans="1:76" ht="14.5" x14ac:dyDescent="0.35">
      <c r="A472" s="57"/>
      <c r="D472" s="58" t="s">
        <v>818</v>
      </c>
      <c r="E472" s="59" t="s">
        <v>819</v>
      </c>
      <c r="G472" s="60">
        <v>0.69</v>
      </c>
      <c r="M472" s="61"/>
    </row>
    <row r="473" spans="1:76" ht="14.5" x14ac:dyDescent="0.35">
      <c r="A473" s="1" t="s">
        <v>828</v>
      </c>
      <c r="B473" s="2" t="s">
        <v>103</v>
      </c>
      <c r="C473" s="2" t="s">
        <v>829</v>
      </c>
      <c r="D473" s="155" t="s">
        <v>830</v>
      </c>
      <c r="E473" s="153"/>
      <c r="F473" s="2" t="s">
        <v>110</v>
      </c>
      <c r="G473" s="54">
        <f>'Stavební rozpočet'!G364</f>
        <v>15.27</v>
      </c>
      <c r="H473" s="94">
        <f>'Stavební rozpočet'!H364</f>
        <v>0</v>
      </c>
      <c r="I473" s="54">
        <f>G473*H473</f>
        <v>0</v>
      </c>
      <c r="J473" s="54">
        <f>'Stavební rozpočet'!J364</f>
        <v>0</v>
      </c>
      <c r="K473" s="54">
        <f>'Stavební rozpočet'!K364</f>
        <v>0</v>
      </c>
      <c r="L473" s="54">
        <f>G473*J473</f>
        <v>0</v>
      </c>
      <c r="M473" s="55" t="s">
        <v>111</v>
      </c>
      <c r="Z473" s="54">
        <f>IF(AQ473="5",BJ473,0)</f>
        <v>0</v>
      </c>
      <c r="AB473" s="54">
        <f>IF(AQ473="1",BH473,0)</f>
        <v>0</v>
      </c>
      <c r="AC473" s="54">
        <f>IF(AQ473="1",BI473,0)</f>
        <v>0</v>
      </c>
      <c r="AD473" s="54">
        <f>IF(AQ473="7",BH473,0)</f>
        <v>0</v>
      </c>
      <c r="AE473" s="54">
        <f>IF(AQ473="7",BI473,0)</f>
        <v>0</v>
      </c>
      <c r="AF473" s="54">
        <f>IF(AQ473="2",BH473,0)</f>
        <v>0</v>
      </c>
      <c r="AG473" s="54">
        <f>IF(AQ473="2",BI473,0)</f>
        <v>0</v>
      </c>
      <c r="AH473" s="54">
        <f>IF(AQ473="0",BJ473,0)</f>
        <v>0</v>
      </c>
      <c r="AI473" s="34" t="s">
        <v>103</v>
      </c>
      <c r="AJ473" s="54">
        <f>IF(AN473=0,I473,0)</f>
        <v>0</v>
      </c>
      <c r="AK473" s="54">
        <f>IF(AN473=12,I473,0)</f>
        <v>0</v>
      </c>
      <c r="AL473" s="54">
        <f>IF(AN473=21,I473,0)</f>
        <v>0</v>
      </c>
      <c r="AN473" s="54">
        <v>21</v>
      </c>
      <c r="AO473" s="54">
        <f>H473*0</f>
        <v>0</v>
      </c>
      <c r="AP473" s="54">
        <f>H473*(1-0)</f>
        <v>0</v>
      </c>
      <c r="AQ473" s="56" t="s">
        <v>168</v>
      </c>
      <c r="AV473" s="54">
        <f>AW473+AX473</f>
        <v>0</v>
      </c>
      <c r="AW473" s="54">
        <f>G473*AO473</f>
        <v>0</v>
      </c>
      <c r="AX473" s="54">
        <f>G473*AP473</f>
        <v>0</v>
      </c>
      <c r="AY473" s="56" t="s">
        <v>774</v>
      </c>
      <c r="AZ473" s="56" t="s">
        <v>775</v>
      </c>
      <c r="BA473" s="34" t="s">
        <v>114</v>
      </c>
      <c r="BC473" s="54">
        <f>AW473+AX473</f>
        <v>0</v>
      </c>
      <c r="BD473" s="54">
        <f>H473/(100-BE473)*100</f>
        <v>0</v>
      </c>
      <c r="BE473" s="54">
        <v>0</v>
      </c>
      <c r="BF473" s="54">
        <f>L473</f>
        <v>0</v>
      </c>
      <c r="BH473" s="54">
        <f>G473*AO473</f>
        <v>0</v>
      </c>
      <c r="BI473" s="54">
        <f>G473*AP473</f>
        <v>0</v>
      </c>
      <c r="BJ473" s="54">
        <f>G473*H473</f>
        <v>0</v>
      </c>
      <c r="BK473" s="54"/>
      <c r="BL473" s="54">
        <v>735</v>
      </c>
      <c r="BW473" s="54">
        <v>21</v>
      </c>
      <c r="BX473" s="3" t="s">
        <v>830</v>
      </c>
    </row>
    <row r="474" spans="1:76" ht="14.5" x14ac:dyDescent="0.35">
      <c r="A474" s="57"/>
      <c r="D474" s="58" t="s">
        <v>831</v>
      </c>
      <c r="E474" s="59" t="s">
        <v>10</v>
      </c>
      <c r="G474" s="60">
        <v>15.27</v>
      </c>
      <c r="M474" s="61"/>
    </row>
    <row r="475" spans="1:76" ht="14.5" x14ac:dyDescent="0.35">
      <c r="A475" s="1" t="s">
        <v>832</v>
      </c>
      <c r="B475" s="2" t="s">
        <v>103</v>
      </c>
      <c r="C475" s="2" t="s">
        <v>833</v>
      </c>
      <c r="D475" s="155" t="s">
        <v>834</v>
      </c>
      <c r="E475" s="153"/>
      <c r="F475" s="2" t="s">
        <v>110</v>
      </c>
      <c r="G475" s="54">
        <f>'Stavební rozpočet'!G366</f>
        <v>15.27</v>
      </c>
      <c r="H475" s="94">
        <f>'Stavební rozpočet'!H366</f>
        <v>0</v>
      </c>
      <c r="I475" s="54">
        <f>G475*H475</f>
        <v>0</v>
      </c>
      <c r="J475" s="54">
        <f>'Stavební rozpočet'!J366</f>
        <v>0.16</v>
      </c>
      <c r="K475" s="54">
        <f>'Stavební rozpočet'!K366</f>
        <v>0</v>
      </c>
      <c r="L475" s="54">
        <f>G475*J475</f>
        <v>2.4432</v>
      </c>
      <c r="M475" s="55" t="s">
        <v>111</v>
      </c>
      <c r="Z475" s="54">
        <f>IF(AQ475="5",BJ475,0)</f>
        <v>0</v>
      </c>
      <c r="AB475" s="54">
        <f>IF(AQ475="1",BH475,0)</f>
        <v>0</v>
      </c>
      <c r="AC475" s="54">
        <f>IF(AQ475="1",BI475,0)</f>
        <v>0</v>
      </c>
      <c r="AD475" s="54">
        <f>IF(AQ475="7",BH475,0)</f>
        <v>0</v>
      </c>
      <c r="AE475" s="54">
        <f>IF(AQ475="7",BI475,0)</f>
        <v>0</v>
      </c>
      <c r="AF475" s="54">
        <f>IF(AQ475="2",BH475,0)</f>
        <v>0</v>
      </c>
      <c r="AG475" s="54">
        <f>IF(AQ475="2",BI475,0)</f>
        <v>0</v>
      </c>
      <c r="AH475" s="54">
        <f>IF(AQ475="0",BJ475,0)</f>
        <v>0</v>
      </c>
      <c r="AI475" s="34" t="s">
        <v>103</v>
      </c>
      <c r="AJ475" s="54">
        <f>IF(AN475=0,I475,0)</f>
        <v>0</v>
      </c>
      <c r="AK475" s="54">
        <f>IF(AN475=12,I475,0)</f>
        <v>0</v>
      </c>
      <c r="AL475" s="54">
        <f>IF(AN475=21,I475,0)</f>
        <v>0</v>
      </c>
      <c r="AN475" s="54">
        <v>21</v>
      </c>
      <c r="AO475" s="54">
        <f>H475*0</f>
        <v>0</v>
      </c>
      <c r="AP475" s="54">
        <f>H475*(1-0)</f>
        <v>0</v>
      </c>
      <c r="AQ475" s="56" t="s">
        <v>168</v>
      </c>
      <c r="AV475" s="54">
        <f>AW475+AX475</f>
        <v>0</v>
      </c>
      <c r="AW475" s="54">
        <f>G475*AO475</f>
        <v>0</v>
      </c>
      <c r="AX475" s="54">
        <f>G475*AP475</f>
        <v>0</v>
      </c>
      <c r="AY475" s="56" t="s">
        <v>774</v>
      </c>
      <c r="AZ475" s="56" t="s">
        <v>775</v>
      </c>
      <c r="BA475" s="34" t="s">
        <v>114</v>
      </c>
      <c r="BC475" s="54">
        <f>AW475+AX475</f>
        <v>0</v>
      </c>
      <c r="BD475" s="54">
        <f>H475/(100-BE475)*100</f>
        <v>0</v>
      </c>
      <c r="BE475" s="54">
        <v>0</v>
      </c>
      <c r="BF475" s="54">
        <f>L475</f>
        <v>2.4432</v>
      </c>
      <c r="BH475" s="54">
        <f>G475*AO475</f>
        <v>0</v>
      </c>
      <c r="BI475" s="54">
        <f>G475*AP475</f>
        <v>0</v>
      </c>
      <c r="BJ475" s="54">
        <f>G475*H475</f>
        <v>0</v>
      </c>
      <c r="BK475" s="54"/>
      <c r="BL475" s="54">
        <v>735</v>
      </c>
      <c r="BW475" s="54">
        <v>21</v>
      </c>
      <c r="BX475" s="3" t="s">
        <v>834</v>
      </c>
    </row>
    <row r="476" spans="1:76" ht="14.5" x14ac:dyDescent="0.35">
      <c r="A476" s="57"/>
      <c r="D476" s="58" t="s">
        <v>831</v>
      </c>
      <c r="E476" s="59" t="s">
        <v>10</v>
      </c>
      <c r="G476" s="60">
        <v>15.27</v>
      </c>
      <c r="M476" s="61"/>
    </row>
    <row r="477" spans="1:76" ht="14.5" x14ac:dyDescent="0.35">
      <c r="A477" s="1" t="s">
        <v>835</v>
      </c>
      <c r="B477" s="2" t="s">
        <v>103</v>
      </c>
      <c r="C477" s="2" t="s">
        <v>836</v>
      </c>
      <c r="D477" s="155" t="s">
        <v>837</v>
      </c>
      <c r="E477" s="153"/>
      <c r="F477" s="2" t="s">
        <v>196</v>
      </c>
      <c r="G477" s="54">
        <f>'Stavební rozpočet'!G368</f>
        <v>15</v>
      </c>
      <c r="H477" s="94">
        <f>'Stavební rozpočet'!H368</f>
        <v>0</v>
      </c>
      <c r="I477" s="54">
        <f>G477*H477</f>
        <v>0</v>
      </c>
      <c r="J477" s="54">
        <f>'Stavební rozpočet'!J368</f>
        <v>7.6000000000000004E-4</v>
      </c>
      <c r="K477" s="54">
        <f>'Stavební rozpočet'!K368</f>
        <v>7.5000000000000002E-4</v>
      </c>
      <c r="L477" s="54">
        <f>G477*J477</f>
        <v>1.14E-2</v>
      </c>
      <c r="M477" s="55" t="s">
        <v>616</v>
      </c>
      <c r="Z477" s="54">
        <f>IF(AQ477="5",BJ477,0)</f>
        <v>0</v>
      </c>
      <c r="AB477" s="54">
        <f>IF(AQ477="1",BH477,0)</f>
        <v>0</v>
      </c>
      <c r="AC477" s="54">
        <f>IF(AQ477="1",BI477,0)</f>
        <v>0</v>
      </c>
      <c r="AD477" s="54">
        <f>IF(AQ477="7",BH477,0)</f>
        <v>0</v>
      </c>
      <c r="AE477" s="54">
        <f>IF(AQ477="7",BI477,0)</f>
        <v>0</v>
      </c>
      <c r="AF477" s="54">
        <f>IF(AQ477="2",BH477,0)</f>
        <v>0</v>
      </c>
      <c r="AG477" s="54">
        <f>IF(AQ477="2",BI477,0)</f>
        <v>0</v>
      </c>
      <c r="AH477" s="54">
        <f>IF(AQ477="0",BJ477,0)</f>
        <v>0</v>
      </c>
      <c r="AI477" s="34" t="s">
        <v>103</v>
      </c>
      <c r="AJ477" s="54">
        <f>IF(AN477=0,I477,0)</f>
        <v>0</v>
      </c>
      <c r="AK477" s="54">
        <f>IF(AN477=12,I477,0)</f>
        <v>0</v>
      </c>
      <c r="AL477" s="54">
        <f>IF(AN477=21,I477,0)</f>
        <v>0</v>
      </c>
      <c r="AN477" s="54">
        <v>21</v>
      </c>
      <c r="AO477" s="54">
        <f>H477*0.06978022</f>
        <v>0</v>
      </c>
      <c r="AP477" s="54">
        <f>H477*(1-0.06978022)</f>
        <v>0</v>
      </c>
      <c r="AQ477" s="56" t="s">
        <v>168</v>
      </c>
      <c r="AV477" s="54">
        <f>AW477+AX477</f>
        <v>0</v>
      </c>
      <c r="AW477" s="54">
        <f>G477*AO477</f>
        <v>0</v>
      </c>
      <c r="AX477" s="54">
        <f>G477*AP477</f>
        <v>0</v>
      </c>
      <c r="AY477" s="56" t="s">
        <v>774</v>
      </c>
      <c r="AZ477" s="56" t="s">
        <v>775</v>
      </c>
      <c r="BA477" s="34" t="s">
        <v>114</v>
      </c>
      <c r="BC477" s="54">
        <f>AW477+AX477</f>
        <v>0</v>
      </c>
      <c r="BD477" s="54">
        <f>H477/(100-BE477)*100</f>
        <v>0</v>
      </c>
      <c r="BE477" s="54">
        <v>0</v>
      </c>
      <c r="BF477" s="54">
        <f>L477</f>
        <v>1.14E-2</v>
      </c>
      <c r="BH477" s="54">
        <f>G477*AO477</f>
        <v>0</v>
      </c>
      <c r="BI477" s="54">
        <f>G477*AP477</f>
        <v>0</v>
      </c>
      <c r="BJ477" s="54">
        <f>G477*H477</f>
        <v>0</v>
      </c>
      <c r="BK477" s="54"/>
      <c r="BL477" s="54">
        <v>735</v>
      </c>
      <c r="BW477" s="54">
        <v>21</v>
      </c>
      <c r="BX477" s="3" t="s">
        <v>837</v>
      </c>
    </row>
    <row r="478" spans="1:76" ht="14.5" x14ac:dyDescent="0.35">
      <c r="A478" s="57"/>
      <c r="D478" s="58" t="s">
        <v>838</v>
      </c>
      <c r="E478" s="59" t="s">
        <v>839</v>
      </c>
      <c r="G478" s="60">
        <v>15</v>
      </c>
      <c r="M478" s="61"/>
    </row>
    <row r="479" spans="1:76" ht="14.5" x14ac:dyDescent="0.35">
      <c r="A479" s="1" t="s">
        <v>840</v>
      </c>
      <c r="B479" s="2" t="s">
        <v>103</v>
      </c>
      <c r="C479" s="2" t="s">
        <v>841</v>
      </c>
      <c r="D479" s="155" t="s">
        <v>842</v>
      </c>
      <c r="E479" s="153"/>
      <c r="F479" s="2" t="s">
        <v>110</v>
      </c>
      <c r="G479" s="54">
        <f>'Stavební rozpočet'!G370</f>
        <v>15.45</v>
      </c>
      <c r="H479" s="94">
        <f>'Stavební rozpočet'!H370</f>
        <v>0</v>
      </c>
      <c r="I479" s="54">
        <f>G479*H479</f>
        <v>0</v>
      </c>
      <c r="J479" s="54">
        <f>'Stavební rozpočet'!J370</f>
        <v>0</v>
      </c>
      <c r="K479" s="54">
        <f>'Stavební rozpočet'!K370</f>
        <v>0</v>
      </c>
      <c r="L479" s="54">
        <f>G479*J479</f>
        <v>0</v>
      </c>
      <c r="M479" s="55" t="s">
        <v>111</v>
      </c>
      <c r="Z479" s="54">
        <f>IF(AQ479="5",BJ479,0)</f>
        <v>0</v>
      </c>
      <c r="AB479" s="54">
        <f>IF(AQ479="1",BH479,0)</f>
        <v>0</v>
      </c>
      <c r="AC479" s="54">
        <f>IF(AQ479="1",BI479,0)</f>
        <v>0</v>
      </c>
      <c r="AD479" s="54">
        <f>IF(AQ479="7",BH479,0)</f>
        <v>0</v>
      </c>
      <c r="AE479" s="54">
        <f>IF(AQ479="7",BI479,0)</f>
        <v>0</v>
      </c>
      <c r="AF479" s="54">
        <f>IF(AQ479="2",BH479,0)</f>
        <v>0</v>
      </c>
      <c r="AG479" s="54">
        <f>IF(AQ479="2",BI479,0)</f>
        <v>0</v>
      </c>
      <c r="AH479" s="54">
        <f>IF(AQ479="0",BJ479,0)</f>
        <v>0</v>
      </c>
      <c r="AI479" s="34" t="s">
        <v>103</v>
      </c>
      <c r="AJ479" s="54">
        <f>IF(AN479=0,I479,0)</f>
        <v>0</v>
      </c>
      <c r="AK479" s="54">
        <f>IF(AN479=12,I479,0)</f>
        <v>0</v>
      </c>
      <c r="AL479" s="54">
        <f>IF(AN479=21,I479,0)</f>
        <v>0</v>
      </c>
      <c r="AN479" s="54">
        <v>21</v>
      </c>
      <c r="AO479" s="54">
        <f>H479*0</f>
        <v>0</v>
      </c>
      <c r="AP479" s="54">
        <f>H479*(1-0)</f>
        <v>0</v>
      </c>
      <c r="AQ479" s="56" t="s">
        <v>168</v>
      </c>
      <c r="AV479" s="54">
        <f>AW479+AX479</f>
        <v>0</v>
      </c>
      <c r="AW479" s="54">
        <f>G479*AO479</f>
        <v>0</v>
      </c>
      <c r="AX479" s="54">
        <f>G479*AP479</f>
        <v>0</v>
      </c>
      <c r="AY479" s="56" t="s">
        <v>774</v>
      </c>
      <c r="AZ479" s="56" t="s">
        <v>775</v>
      </c>
      <c r="BA479" s="34" t="s">
        <v>114</v>
      </c>
      <c r="BC479" s="54">
        <f>AW479+AX479</f>
        <v>0</v>
      </c>
      <c r="BD479" s="54">
        <f>H479/(100-BE479)*100</f>
        <v>0</v>
      </c>
      <c r="BE479" s="54">
        <v>0</v>
      </c>
      <c r="BF479" s="54">
        <f>L479</f>
        <v>0</v>
      </c>
      <c r="BH479" s="54">
        <f>G479*AO479</f>
        <v>0</v>
      </c>
      <c r="BI479" s="54">
        <f>G479*AP479</f>
        <v>0</v>
      </c>
      <c r="BJ479" s="54">
        <f>G479*H479</f>
        <v>0</v>
      </c>
      <c r="BK479" s="54"/>
      <c r="BL479" s="54">
        <v>735</v>
      </c>
      <c r="BW479" s="54">
        <v>21</v>
      </c>
      <c r="BX479" s="3" t="s">
        <v>842</v>
      </c>
    </row>
    <row r="480" spans="1:76" ht="14.5" x14ac:dyDescent="0.35">
      <c r="A480" s="57"/>
      <c r="D480" s="58" t="s">
        <v>843</v>
      </c>
      <c r="E480" s="59" t="s">
        <v>10</v>
      </c>
      <c r="G480" s="60">
        <v>15.45</v>
      </c>
      <c r="M480" s="61"/>
    </row>
    <row r="481" spans="1:76" ht="14.5" x14ac:dyDescent="0.35">
      <c r="A481" s="1" t="s">
        <v>844</v>
      </c>
      <c r="B481" s="2" t="s">
        <v>103</v>
      </c>
      <c r="C481" s="2" t="s">
        <v>845</v>
      </c>
      <c r="D481" s="155" t="s">
        <v>846</v>
      </c>
      <c r="E481" s="153"/>
      <c r="F481" s="2" t="s">
        <v>412</v>
      </c>
      <c r="G481" s="54">
        <f>'Stavební rozpočet'!G372</f>
        <v>7.06</v>
      </c>
      <c r="H481" s="94">
        <f>'Stavební rozpočet'!H372</f>
        <v>0</v>
      </c>
      <c r="I481" s="54">
        <f>G481*H481</f>
        <v>0</v>
      </c>
      <c r="J481" s="54">
        <f>'Stavební rozpočet'!J372</f>
        <v>0</v>
      </c>
      <c r="K481" s="54">
        <f>'Stavební rozpočet'!K372</f>
        <v>0</v>
      </c>
      <c r="L481" s="54">
        <f>G481*J481</f>
        <v>0</v>
      </c>
      <c r="M481" s="55" t="s">
        <v>111</v>
      </c>
      <c r="Z481" s="54">
        <f>IF(AQ481="5",BJ481,0)</f>
        <v>0</v>
      </c>
      <c r="AB481" s="54">
        <f>IF(AQ481="1",BH481,0)</f>
        <v>0</v>
      </c>
      <c r="AC481" s="54">
        <f>IF(AQ481="1",BI481,0)</f>
        <v>0</v>
      </c>
      <c r="AD481" s="54">
        <f>IF(AQ481="7",BH481,0)</f>
        <v>0</v>
      </c>
      <c r="AE481" s="54">
        <f>IF(AQ481="7",BI481,0)</f>
        <v>0</v>
      </c>
      <c r="AF481" s="54">
        <f>IF(AQ481="2",BH481,0)</f>
        <v>0</v>
      </c>
      <c r="AG481" s="54">
        <f>IF(AQ481="2",BI481,0)</f>
        <v>0</v>
      </c>
      <c r="AH481" s="54">
        <f>IF(AQ481="0",BJ481,0)</f>
        <v>0</v>
      </c>
      <c r="AI481" s="34" t="s">
        <v>103</v>
      </c>
      <c r="AJ481" s="54">
        <f>IF(AN481=0,I481,0)</f>
        <v>0</v>
      </c>
      <c r="AK481" s="54">
        <f>IF(AN481=12,I481,0)</f>
        <v>0</v>
      </c>
      <c r="AL481" s="54">
        <f>IF(AN481=21,I481,0)</f>
        <v>0</v>
      </c>
      <c r="AN481" s="54">
        <v>21</v>
      </c>
      <c r="AO481" s="54">
        <f>H481*0</f>
        <v>0</v>
      </c>
      <c r="AP481" s="54">
        <f>H481*(1-0)</f>
        <v>0</v>
      </c>
      <c r="AQ481" s="56" t="s">
        <v>150</v>
      </c>
      <c r="AV481" s="54">
        <f>AW481+AX481</f>
        <v>0</v>
      </c>
      <c r="AW481" s="54">
        <f>G481*AO481</f>
        <v>0</v>
      </c>
      <c r="AX481" s="54">
        <f>G481*AP481</f>
        <v>0</v>
      </c>
      <c r="AY481" s="56" t="s">
        <v>774</v>
      </c>
      <c r="AZ481" s="56" t="s">
        <v>775</v>
      </c>
      <c r="BA481" s="34" t="s">
        <v>114</v>
      </c>
      <c r="BC481" s="54">
        <f>AW481+AX481</f>
        <v>0</v>
      </c>
      <c r="BD481" s="54">
        <f>H481/(100-BE481)*100</f>
        <v>0</v>
      </c>
      <c r="BE481" s="54">
        <v>0</v>
      </c>
      <c r="BF481" s="54">
        <f>L481</f>
        <v>0</v>
      </c>
      <c r="BH481" s="54">
        <f>G481*AO481</f>
        <v>0</v>
      </c>
      <c r="BI481" s="54">
        <f>G481*AP481</f>
        <v>0</v>
      </c>
      <c r="BJ481" s="54">
        <f>G481*H481</f>
        <v>0</v>
      </c>
      <c r="BK481" s="54"/>
      <c r="BL481" s="54">
        <v>735</v>
      </c>
      <c r="BW481" s="54">
        <v>21</v>
      </c>
      <c r="BX481" s="3" t="s">
        <v>846</v>
      </c>
    </row>
    <row r="482" spans="1:76" ht="14.5" x14ac:dyDescent="0.35">
      <c r="A482" s="1" t="s">
        <v>847</v>
      </c>
      <c r="B482" s="2" t="s">
        <v>103</v>
      </c>
      <c r="C482" s="2" t="s">
        <v>845</v>
      </c>
      <c r="D482" s="155" t="s">
        <v>848</v>
      </c>
      <c r="E482" s="153"/>
      <c r="F482" s="2" t="s">
        <v>412</v>
      </c>
      <c r="G482" s="54">
        <f>'Stavební rozpočet'!G373</f>
        <v>7.06</v>
      </c>
      <c r="H482" s="94">
        <f>'Stavební rozpočet'!H373</f>
        <v>0</v>
      </c>
      <c r="I482" s="54">
        <f>G482*H482</f>
        <v>0</v>
      </c>
      <c r="J482" s="54">
        <f>'Stavební rozpočet'!J373</f>
        <v>0</v>
      </c>
      <c r="K482" s="54">
        <f>'Stavební rozpočet'!K373</f>
        <v>0</v>
      </c>
      <c r="L482" s="54">
        <f>G482*J482</f>
        <v>0</v>
      </c>
      <c r="M482" s="55" t="s">
        <v>111</v>
      </c>
      <c r="Z482" s="54">
        <f>IF(AQ482="5",BJ482,0)</f>
        <v>0</v>
      </c>
      <c r="AB482" s="54">
        <f>IF(AQ482="1",BH482,0)</f>
        <v>0</v>
      </c>
      <c r="AC482" s="54">
        <f>IF(AQ482="1",BI482,0)</f>
        <v>0</v>
      </c>
      <c r="AD482" s="54">
        <f>IF(AQ482="7",BH482,0)</f>
        <v>0</v>
      </c>
      <c r="AE482" s="54">
        <f>IF(AQ482="7",BI482,0)</f>
        <v>0</v>
      </c>
      <c r="AF482" s="54">
        <f>IF(AQ482="2",BH482,0)</f>
        <v>0</v>
      </c>
      <c r="AG482" s="54">
        <f>IF(AQ482="2",BI482,0)</f>
        <v>0</v>
      </c>
      <c r="AH482" s="54">
        <f>IF(AQ482="0",BJ482,0)</f>
        <v>0</v>
      </c>
      <c r="AI482" s="34" t="s">
        <v>103</v>
      </c>
      <c r="AJ482" s="54">
        <f>IF(AN482=0,I482,0)</f>
        <v>0</v>
      </c>
      <c r="AK482" s="54">
        <f>IF(AN482=12,I482,0)</f>
        <v>0</v>
      </c>
      <c r="AL482" s="54">
        <f>IF(AN482=21,I482,0)</f>
        <v>0</v>
      </c>
      <c r="AN482" s="54">
        <v>21</v>
      </c>
      <c r="AO482" s="54">
        <f>H482*0</f>
        <v>0</v>
      </c>
      <c r="AP482" s="54">
        <f>H482*(1-0)</f>
        <v>0</v>
      </c>
      <c r="AQ482" s="56" t="s">
        <v>150</v>
      </c>
      <c r="AV482" s="54">
        <f>AW482+AX482</f>
        <v>0</v>
      </c>
      <c r="AW482" s="54">
        <f>G482*AO482</f>
        <v>0</v>
      </c>
      <c r="AX482" s="54">
        <f>G482*AP482</f>
        <v>0</v>
      </c>
      <c r="AY482" s="56" t="s">
        <v>774</v>
      </c>
      <c r="AZ482" s="56" t="s">
        <v>775</v>
      </c>
      <c r="BA482" s="34" t="s">
        <v>114</v>
      </c>
      <c r="BC482" s="54">
        <f>AW482+AX482</f>
        <v>0</v>
      </c>
      <c r="BD482" s="54">
        <f>H482/(100-BE482)*100</f>
        <v>0</v>
      </c>
      <c r="BE482" s="54">
        <v>0</v>
      </c>
      <c r="BF482" s="54">
        <f>L482</f>
        <v>0</v>
      </c>
      <c r="BH482" s="54">
        <f>G482*AO482</f>
        <v>0</v>
      </c>
      <c r="BI482" s="54">
        <f>G482*AP482</f>
        <v>0</v>
      </c>
      <c r="BJ482" s="54">
        <f>G482*H482</f>
        <v>0</v>
      </c>
      <c r="BK482" s="54"/>
      <c r="BL482" s="54">
        <v>735</v>
      </c>
      <c r="BW482" s="54">
        <v>21</v>
      </c>
      <c r="BX482" s="3" t="s">
        <v>848</v>
      </c>
    </row>
    <row r="483" spans="1:76" ht="14.5" x14ac:dyDescent="0.35">
      <c r="A483" s="50" t="s">
        <v>10</v>
      </c>
      <c r="B483" s="51" t="s">
        <v>103</v>
      </c>
      <c r="C483" s="51" t="s">
        <v>849</v>
      </c>
      <c r="D483" s="206" t="s">
        <v>850</v>
      </c>
      <c r="E483" s="207"/>
      <c r="F483" s="52" t="s">
        <v>84</v>
      </c>
      <c r="G483" s="52" t="s">
        <v>84</v>
      </c>
      <c r="H483" s="52" t="s">
        <v>84</v>
      </c>
      <c r="I483" s="27">
        <f>SUM(I484:I487)</f>
        <v>0</v>
      </c>
      <c r="J483" s="34" t="s">
        <v>10</v>
      </c>
      <c r="K483" s="34" t="s">
        <v>10</v>
      </c>
      <c r="L483" s="27">
        <f>SUM(L484:L487)</f>
        <v>4.8700000000000002E-3</v>
      </c>
      <c r="M483" s="53" t="s">
        <v>10</v>
      </c>
      <c r="AI483" s="34" t="s">
        <v>103</v>
      </c>
      <c r="AS483" s="27">
        <f>SUM(AJ484:AJ487)</f>
        <v>0</v>
      </c>
      <c r="AT483" s="27">
        <f>SUM(AK484:AK487)</f>
        <v>0</v>
      </c>
      <c r="AU483" s="27">
        <f>SUM(AL484:AL487)</f>
        <v>0</v>
      </c>
    </row>
    <row r="484" spans="1:76" ht="14.5" x14ac:dyDescent="0.35">
      <c r="A484" s="1" t="s">
        <v>851</v>
      </c>
      <c r="B484" s="2" t="s">
        <v>103</v>
      </c>
      <c r="C484" s="2" t="s">
        <v>852</v>
      </c>
      <c r="D484" s="155" t="s">
        <v>853</v>
      </c>
      <c r="E484" s="153"/>
      <c r="F484" s="2" t="s">
        <v>196</v>
      </c>
      <c r="G484" s="54">
        <f>'Stavební rozpočet'!G375</f>
        <v>1</v>
      </c>
      <c r="H484" s="94">
        <f>'Stavební rozpočet'!H375</f>
        <v>0</v>
      </c>
      <c r="I484" s="54">
        <f>G484*H484</f>
        <v>0</v>
      </c>
      <c r="J484" s="54">
        <f>'Stavební rozpočet'!J375</f>
        <v>4.8700000000000002E-3</v>
      </c>
      <c r="K484" s="54">
        <f>'Stavební rozpočet'!K375</f>
        <v>0</v>
      </c>
      <c r="L484" s="54">
        <f>G484*J484</f>
        <v>4.8700000000000002E-3</v>
      </c>
      <c r="M484" s="55" t="s">
        <v>10</v>
      </c>
      <c r="Z484" s="54">
        <f>IF(AQ484="5",BJ484,0)</f>
        <v>0</v>
      </c>
      <c r="AB484" s="54">
        <f>IF(AQ484="1",BH484,0)</f>
        <v>0</v>
      </c>
      <c r="AC484" s="54">
        <f>IF(AQ484="1",BI484,0)</f>
        <v>0</v>
      </c>
      <c r="AD484" s="54">
        <f>IF(AQ484="7",BH484,0)</f>
        <v>0</v>
      </c>
      <c r="AE484" s="54">
        <f>IF(AQ484="7",BI484,0)</f>
        <v>0</v>
      </c>
      <c r="AF484" s="54">
        <f>IF(AQ484="2",BH484,0)</f>
        <v>0</v>
      </c>
      <c r="AG484" s="54">
        <f>IF(AQ484="2",BI484,0)</f>
        <v>0</v>
      </c>
      <c r="AH484" s="54">
        <f>IF(AQ484="0",BJ484,0)</f>
        <v>0</v>
      </c>
      <c r="AI484" s="34" t="s">
        <v>103</v>
      </c>
      <c r="AJ484" s="54">
        <f>IF(AN484=0,I484,0)</f>
        <v>0</v>
      </c>
      <c r="AK484" s="54">
        <f>IF(AN484=12,I484,0)</f>
        <v>0</v>
      </c>
      <c r="AL484" s="54">
        <f>IF(AN484=21,I484,0)</f>
        <v>0</v>
      </c>
      <c r="AN484" s="54">
        <v>21</v>
      </c>
      <c r="AO484" s="54">
        <f>H484*0.791254342</f>
        <v>0</v>
      </c>
      <c r="AP484" s="54">
        <f>H484*(1-0.791254342)</f>
        <v>0</v>
      </c>
      <c r="AQ484" s="56" t="s">
        <v>168</v>
      </c>
      <c r="AV484" s="54">
        <f>AW484+AX484</f>
        <v>0</v>
      </c>
      <c r="AW484" s="54">
        <f>G484*AO484</f>
        <v>0</v>
      </c>
      <c r="AX484" s="54">
        <f>G484*AP484</f>
        <v>0</v>
      </c>
      <c r="AY484" s="56" t="s">
        <v>854</v>
      </c>
      <c r="AZ484" s="56" t="s">
        <v>855</v>
      </c>
      <c r="BA484" s="34" t="s">
        <v>114</v>
      </c>
      <c r="BC484" s="54">
        <f>AW484+AX484</f>
        <v>0</v>
      </c>
      <c r="BD484" s="54">
        <f>H484/(100-BE484)*100</f>
        <v>0</v>
      </c>
      <c r="BE484" s="54">
        <v>0</v>
      </c>
      <c r="BF484" s="54">
        <f>L484</f>
        <v>4.8700000000000002E-3</v>
      </c>
      <c r="BH484" s="54">
        <f>G484*AO484</f>
        <v>0</v>
      </c>
      <c r="BI484" s="54">
        <f>G484*AP484</f>
        <v>0</v>
      </c>
      <c r="BJ484" s="54">
        <f>G484*H484</f>
        <v>0</v>
      </c>
      <c r="BK484" s="54"/>
      <c r="BL484" s="54">
        <v>7631</v>
      </c>
      <c r="BW484" s="54">
        <v>21</v>
      </c>
      <c r="BX484" s="3" t="s">
        <v>853</v>
      </c>
    </row>
    <row r="485" spans="1:76" ht="40.5" customHeight="1" x14ac:dyDescent="0.35">
      <c r="A485" s="57"/>
      <c r="C485" s="62" t="s">
        <v>122</v>
      </c>
      <c r="D485" s="214" t="s">
        <v>856</v>
      </c>
      <c r="E485" s="215"/>
      <c r="F485" s="215"/>
      <c r="G485" s="215"/>
      <c r="H485" s="215"/>
      <c r="I485" s="215"/>
      <c r="J485" s="215"/>
      <c r="K485" s="215"/>
      <c r="L485" s="215"/>
      <c r="M485" s="216"/>
    </row>
    <row r="486" spans="1:76" ht="14.5" x14ac:dyDescent="0.35">
      <c r="A486" s="57"/>
      <c r="D486" s="58" t="s">
        <v>629</v>
      </c>
      <c r="E486" s="59" t="s">
        <v>857</v>
      </c>
      <c r="G486" s="60">
        <v>1</v>
      </c>
      <c r="M486" s="61"/>
    </row>
    <row r="487" spans="1:76" ht="14.5" x14ac:dyDescent="0.35">
      <c r="A487" s="1" t="s">
        <v>858</v>
      </c>
      <c r="B487" s="2" t="s">
        <v>103</v>
      </c>
      <c r="C487" s="2" t="s">
        <v>859</v>
      </c>
      <c r="D487" s="155" t="s">
        <v>860</v>
      </c>
      <c r="E487" s="153"/>
      <c r="F487" s="2" t="s">
        <v>412</v>
      </c>
      <c r="G487" s="54">
        <f>'Stavební rozpočet'!G377</f>
        <v>5.0000000000000001E-3</v>
      </c>
      <c r="H487" s="94">
        <f>'Stavební rozpočet'!H377</f>
        <v>0</v>
      </c>
      <c r="I487" s="54">
        <f>G487*H487</f>
        <v>0</v>
      </c>
      <c r="J487" s="54">
        <f>'Stavební rozpočet'!J377</f>
        <v>0</v>
      </c>
      <c r="K487" s="54">
        <f>'Stavební rozpočet'!K377</f>
        <v>0</v>
      </c>
      <c r="L487" s="54">
        <f>G487*J487</f>
        <v>0</v>
      </c>
      <c r="M487" s="55" t="s">
        <v>111</v>
      </c>
      <c r="Z487" s="54">
        <f>IF(AQ487="5",BJ487,0)</f>
        <v>0</v>
      </c>
      <c r="AB487" s="54">
        <f>IF(AQ487="1",BH487,0)</f>
        <v>0</v>
      </c>
      <c r="AC487" s="54">
        <f>IF(AQ487="1",BI487,0)</f>
        <v>0</v>
      </c>
      <c r="AD487" s="54">
        <f>IF(AQ487="7",BH487,0)</f>
        <v>0</v>
      </c>
      <c r="AE487" s="54">
        <f>IF(AQ487="7",BI487,0)</f>
        <v>0</v>
      </c>
      <c r="AF487" s="54">
        <f>IF(AQ487="2",BH487,0)</f>
        <v>0</v>
      </c>
      <c r="AG487" s="54">
        <f>IF(AQ487="2",BI487,0)</f>
        <v>0</v>
      </c>
      <c r="AH487" s="54">
        <f>IF(AQ487="0",BJ487,0)</f>
        <v>0</v>
      </c>
      <c r="AI487" s="34" t="s">
        <v>103</v>
      </c>
      <c r="AJ487" s="54">
        <f>IF(AN487=0,I487,0)</f>
        <v>0</v>
      </c>
      <c r="AK487" s="54">
        <f>IF(AN487=12,I487,0)</f>
        <v>0</v>
      </c>
      <c r="AL487" s="54">
        <f>IF(AN487=21,I487,0)</f>
        <v>0</v>
      </c>
      <c r="AN487" s="54">
        <v>21</v>
      </c>
      <c r="AO487" s="54">
        <f>H487*0</f>
        <v>0</v>
      </c>
      <c r="AP487" s="54">
        <f>H487*(1-0)</f>
        <v>0</v>
      </c>
      <c r="AQ487" s="56" t="s">
        <v>150</v>
      </c>
      <c r="AV487" s="54">
        <f>AW487+AX487</f>
        <v>0</v>
      </c>
      <c r="AW487" s="54">
        <f>G487*AO487</f>
        <v>0</v>
      </c>
      <c r="AX487" s="54">
        <f>G487*AP487</f>
        <v>0</v>
      </c>
      <c r="AY487" s="56" t="s">
        <v>854</v>
      </c>
      <c r="AZ487" s="56" t="s">
        <v>855</v>
      </c>
      <c r="BA487" s="34" t="s">
        <v>114</v>
      </c>
      <c r="BC487" s="54">
        <f>AW487+AX487</f>
        <v>0</v>
      </c>
      <c r="BD487" s="54">
        <f>H487/(100-BE487)*100</f>
        <v>0</v>
      </c>
      <c r="BE487" s="54">
        <v>0</v>
      </c>
      <c r="BF487" s="54">
        <f>L487</f>
        <v>0</v>
      </c>
      <c r="BH487" s="54">
        <f>G487*AO487</f>
        <v>0</v>
      </c>
      <c r="BI487" s="54">
        <f>G487*AP487</f>
        <v>0</v>
      </c>
      <c r="BJ487" s="54">
        <f>G487*H487</f>
        <v>0</v>
      </c>
      <c r="BK487" s="54"/>
      <c r="BL487" s="54">
        <v>7631</v>
      </c>
      <c r="BW487" s="54">
        <v>21</v>
      </c>
      <c r="BX487" s="3" t="s">
        <v>860</v>
      </c>
    </row>
    <row r="488" spans="1:76" ht="14.5" x14ac:dyDescent="0.35">
      <c r="A488" s="50" t="s">
        <v>10</v>
      </c>
      <c r="B488" s="51" t="s">
        <v>103</v>
      </c>
      <c r="C488" s="51" t="s">
        <v>861</v>
      </c>
      <c r="D488" s="206" t="s">
        <v>862</v>
      </c>
      <c r="E488" s="207"/>
      <c r="F488" s="52" t="s">
        <v>84</v>
      </c>
      <c r="G488" s="52" t="s">
        <v>84</v>
      </c>
      <c r="H488" s="52" t="s">
        <v>84</v>
      </c>
      <c r="I488" s="27">
        <f>SUM(I489:I551)</f>
        <v>0</v>
      </c>
      <c r="J488" s="34" t="s">
        <v>10</v>
      </c>
      <c r="K488" s="34" t="s">
        <v>10</v>
      </c>
      <c r="L488" s="27">
        <f>SUM(L489:L551)</f>
        <v>2.6328108600000002</v>
      </c>
      <c r="M488" s="53" t="s">
        <v>10</v>
      </c>
      <c r="AI488" s="34" t="s">
        <v>103</v>
      </c>
      <c r="AS488" s="27">
        <f>SUM(AJ489:AJ551)</f>
        <v>0</v>
      </c>
      <c r="AT488" s="27">
        <f>SUM(AK489:AK551)</f>
        <v>0</v>
      </c>
      <c r="AU488" s="27">
        <f>SUM(AL489:AL551)</f>
        <v>0</v>
      </c>
    </row>
    <row r="489" spans="1:76" ht="14.5" x14ac:dyDescent="0.35">
      <c r="A489" s="1" t="s">
        <v>863</v>
      </c>
      <c r="B489" s="2" t="s">
        <v>103</v>
      </c>
      <c r="C489" s="2" t="s">
        <v>864</v>
      </c>
      <c r="D489" s="155" t="s">
        <v>865</v>
      </c>
      <c r="E489" s="153"/>
      <c r="F489" s="2" t="s">
        <v>110</v>
      </c>
      <c r="G489" s="54">
        <f>'Stavební rozpočet'!G379</f>
        <v>23.49</v>
      </c>
      <c r="H489" s="94">
        <f>'Stavební rozpočet'!H379</f>
        <v>0</v>
      </c>
      <c r="I489" s="54">
        <f>G489*H489</f>
        <v>0</v>
      </c>
      <c r="J489" s="54">
        <f>'Stavební rozpočet'!J379</f>
        <v>2.4649999999999998E-2</v>
      </c>
      <c r="K489" s="54">
        <f>'Stavební rozpočet'!K379</f>
        <v>2.4649999999999998E-2</v>
      </c>
      <c r="L489" s="54">
        <f>G489*J489</f>
        <v>0.57902849999999995</v>
      </c>
      <c r="M489" s="55" t="s">
        <v>111</v>
      </c>
      <c r="Z489" s="54">
        <f>IF(AQ489="5",BJ489,0)</f>
        <v>0</v>
      </c>
      <c r="AB489" s="54">
        <f>IF(AQ489="1",BH489,0)</f>
        <v>0</v>
      </c>
      <c r="AC489" s="54">
        <f>IF(AQ489="1",BI489,0)</f>
        <v>0</v>
      </c>
      <c r="AD489" s="54">
        <f>IF(AQ489="7",BH489,0)</f>
        <v>0</v>
      </c>
      <c r="AE489" s="54">
        <f>IF(AQ489="7",BI489,0)</f>
        <v>0</v>
      </c>
      <c r="AF489" s="54">
        <f>IF(AQ489="2",BH489,0)</f>
        <v>0</v>
      </c>
      <c r="AG489" s="54">
        <f>IF(AQ489="2",BI489,0)</f>
        <v>0</v>
      </c>
      <c r="AH489" s="54">
        <f>IF(AQ489="0",BJ489,0)</f>
        <v>0</v>
      </c>
      <c r="AI489" s="34" t="s">
        <v>103</v>
      </c>
      <c r="AJ489" s="54">
        <f>IF(AN489=0,I489,0)</f>
        <v>0</v>
      </c>
      <c r="AK489" s="54">
        <f>IF(AN489=12,I489,0)</f>
        <v>0</v>
      </c>
      <c r="AL489" s="54">
        <f>IF(AN489=21,I489,0)</f>
        <v>0</v>
      </c>
      <c r="AN489" s="54">
        <v>21</v>
      </c>
      <c r="AO489" s="54">
        <f>H489*0</f>
        <v>0</v>
      </c>
      <c r="AP489" s="54">
        <f>H489*(1-0)</f>
        <v>0</v>
      </c>
      <c r="AQ489" s="56" t="s">
        <v>168</v>
      </c>
      <c r="AV489" s="54">
        <f>AW489+AX489</f>
        <v>0</v>
      </c>
      <c r="AW489" s="54">
        <f>G489*AO489</f>
        <v>0</v>
      </c>
      <c r="AX489" s="54">
        <f>G489*AP489</f>
        <v>0</v>
      </c>
      <c r="AY489" s="56" t="s">
        <v>866</v>
      </c>
      <c r="AZ489" s="56" t="s">
        <v>855</v>
      </c>
      <c r="BA489" s="34" t="s">
        <v>114</v>
      </c>
      <c r="BC489" s="54">
        <f>AW489+AX489</f>
        <v>0</v>
      </c>
      <c r="BD489" s="54">
        <f>H489/(100-BE489)*100</f>
        <v>0</v>
      </c>
      <c r="BE489" s="54">
        <v>0</v>
      </c>
      <c r="BF489" s="54">
        <f>L489</f>
        <v>0.57902849999999995</v>
      </c>
      <c r="BH489" s="54">
        <f>G489*AO489</f>
        <v>0</v>
      </c>
      <c r="BI489" s="54">
        <f>G489*AP489</f>
        <v>0</v>
      </c>
      <c r="BJ489" s="54">
        <f>G489*H489</f>
        <v>0</v>
      </c>
      <c r="BK489" s="54"/>
      <c r="BL489" s="54">
        <v>766</v>
      </c>
      <c r="BW489" s="54">
        <v>21</v>
      </c>
      <c r="BX489" s="3" t="s">
        <v>865</v>
      </c>
    </row>
    <row r="490" spans="1:76" ht="14.5" x14ac:dyDescent="0.35">
      <c r="A490" s="57"/>
      <c r="D490" s="58" t="s">
        <v>208</v>
      </c>
      <c r="E490" s="59" t="s">
        <v>867</v>
      </c>
      <c r="G490" s="60">
        <v>0</v>
      </c>
      <c r="M490" s="61"/>
    </row>
    <row r="491" spans="1:76" ht="26" x14ac:dyDescent="0.35">
      <c r="A491" s="57"/>
      <c r="C491" s="62" t="s">
        <v>156</v>
      </c>
      <c r="D491" s="211" t="s">
        <v>868</v>
      </c>
      <c r="E491" s="212"/>
      <c r="F491" s="212"/>
      <c r="G491" s="212"/>
      <c r="H491" s="212"/>
      <c r="I491" s="212"/>
      <c r="J491" s="212"/>
      <c r="K491" s="212"/>
      <c r="L491" s="212"/>
      <c r="M491" s="213"/>
      <c r="BX491" s="63" t="s">
        <v>868</v>
      </c>
    </row>
    <row r="492" spans="1:76" ht="14.5" x14ac:dyDescent="0.35">
      <c r="A492" s="57"/>
      <c r="D492" s="58" t="s">
        <v>869</v>
      </c>
      <c r="E492" s="59" t="s">
        <v>870</v>
      </c>
      <c r="G492" s="60">
        <v>23.49</v>
      </c>
      <c r="M492" s="61"/>
    </row>
    <row r="493" spans="1:76" ht="26" x14ac:dyDescent="0.35">
      <c r="A493" s="57"/>
      <c r="C493" s="62" t="s">
        <v>156</v>
      </c>
      <c r="D493" s="211" t="s">
        <v>868</v>
      </c>
      <c r="E493" s="212"/>
      <c r="F493" s="212"/>
      <c r="G493" s="212"/>
      <c r="H493" s="212"/>
      <c r="I493" s="212"/>
      <c r="J493" s="212"/>
      <c r="K493" s="212"/>
      <c r="L493" s="212"/>
      <c r="M493" s="213"/>
      <c r="BX493" s="63" t="s">
        <v>868</v>
      </c>
    </row>
    <row r="494" spans="1:76" ht="14.5" x14ac:dyDescent="0.35">
      <c r="A494" s="1" t="s">
        <v>871</v>
      </c>
      <c r="B494" s="2" t="s">
        <v>103</v>
      </c>
      <c r="C494" s="2" t="s">
        <v>872</v>
      </c>
      <c r="D494" s="155" t="s">
        <v>873</v>
      </c>
      <c r="E494" s="153"/>
      <c r="F494" s="2" t="s">
        <v>110</v>
      </c>
      <c r="G494" s="54">
        <f>'Stavební rozpočet'!G382</f>
        <v>25.83</v>
      </c>
      <c r="H494" s="94">
        <f>'Stavební rozpočet'!H382</f>
        <v>0</v>
      </c>
      <c r="I494" s="54">
        <f>G494*H494</f>
        <v>0</v>
      </c>
      <c r="J494" s="54">
        <f>'Stavební rozpočet'!J382</f>
        <v>1.7000000000000001E-4</v>
      </c>
      <c r="K494" s="54">
        <f>'Stavební rozpočet'!K382</f>
        <v>0</v>
      </c>
      <c r="L494" s="54">
        <f>G494*J494</f>
        <v>4.3911000000000002E-3</v>
      </c>
      <c r="M494" s="55" t="s">
        <v>111</v>
      </c>
      <c r="Z494" s="54">
        <f>IF(AQ494="5",BJ494,0)</f>
        <v>0</v>
      </c>
      <c r="AB494" s="54">
        <f>IF(AQ494="1",BH494,0)</f>
        <v>0</v>
      </c>
      <c r="AC494" s="54">
        <f>IF(AQ494="1",BI494,0)</f>
        <v>0</v>
      </c>
      <c r="AD494" s="54">
        <f>IF(AQ494="7",BH494,0)</f>
        <v>0</v>
      </c>
      <c r="AE494" s="54">
        <f>IF(AQ494="7",BI494,0)</f>
        <v>0</v>
      </c>
      <c r="AF494" s="54">
        <f>IF(AQ494="2",BH494,0)</f>
        <v>0</v>
      </c>
      <c r="AG494" s="54">
        <f>IF(AQ494="2",BI494,0)</f>
        <v>0</v>
      </c>
      <c r="AH494" s="54">
        <f>IF(AQ494="0",BJ494,0)</f>
        <v>0</v>
      </c>
      <c r="AI494" s="34" t="s">
        <v>103</v>
      </c>
      <c r="AJ494" s="54">
        <f>IF(AN494=0,I494,0)</f>
        <v>0</v>
      </c>
      <c r="AK494" s="54">
        <f>IF(AN494=12,I494,0)</f>
        <v>0</v>
      </c>
      <c r="AL494" s="54">
        <f>IF(AN494=21,I494,0)</f>
        <v>0</v>
      </c>
      <c r="AN494" s="54">
        <v>21</v>
      </c>
      <c r="AO494" s="54">
        <f>H494*0.016914894</f>
        <v>0</v>
      </c>
      <c r="AP494" s="54">
        <f>H494*(1-0.016914894)</f>
        <v>0</v>
      </c>
      <c r="AQ494" s="56" t="s">
        <v>168</v>
      </c>
      <c r="AV494" s="54">
        <f>AW494+AX494</f>
        <v>0</v>
      </c>
      <c r="AW494" s="54">
        <f>G494*AO494</f>
        <v>0</v>
      </c>
      <c r="AX494" s="54">
        <f>G494*AP494</f>
        <v>0</v>
      </c>
      <c r="AY494" s="56" t="s">
        <v>866</v>
      </c>
      <c r="AZ494" s="56" t="s">
        <v>855</v>
      </c>
      <c r="BA494" s="34" t="s">
        <v>114</v>
      </c>
      <c r="BC494" s="54">
        <f>AW494+AX494</f>
        <v>0</v>
      </c>
      <c r="BD494" s="54">
        <f>H494/(100-BE494)*100</f>
        <v>0</v>
      </c>
      <c r="BE494" s="54">
        <v>0</v>
      </c>
      <c r="BF494" s="54">
        <f>L494</f>
        <v>4.3911000000000002E-3</v>
      </c>
      <c r="BH494" s="54">
        <f>G494*AO494</f>
        <v>0</v>
      </c>
      <c r="BI494" s="54">
        <f>G494*AP494</f>
        <v>0</v>
      </c>
      <c r="BJ494" s="54">
        <f>G494*H494</f>
        <v>0</v>
      </c>
      <c r="BK494" s="54"/>
      <c r="BL494" s="54">
        <v>766</v>
      </c>
      <c r="BW494" s="54">
        <v>21</v>
      </c>
      <c r="BX494" s="3" t="s">
        <v>873</v>
      </c>
    </row>
    <row r="495" spans="1:76" ht="13.5" customHeight="1" x14ac:dyDescent="0.35">
      <c r="A495" s="57"/>
      <c r="C495" s="62" t="s">
        <v>122</v>
      </c>
      <c r="D495" s="214" t="s">
        <v>874</v>
      </c>
      <c r="E495" s="215"/>
      <c r="F495" s="215"/>
      <c r="G495" s="215"/>
      <c r="H495" s="215"/>
      <c r="I495" s="215"/>
      <c r="J495" s="215"/>
      <c r="K495" s="215"/>
      <c r="L495" s="215"/>
      <c r="M495" s="216"/>
    </row>
    <row r="496" spans="1:76" ht="14.5" x14ac:dyDescent="0.35">
      <c r="A496" s="57"/>
      <c r="D496" s="58" t="s">
        <v>208</v>
      </c>
      <c r="E496" s="59" t="s">
        <v>875</v>
      </c>
      <c r="G496" s="60">
        <v>0</v>
      </c>
      <c r="M496" s="61"/>
    </row>
    <row r="497" spans="1:76" ht="14.5" x14ac:dyDescent="0.35">
      <c r="A497" s="57"/>
      <c r="D497" s="58" t="s">
        <v>876</v>
      </c>
      <c r="E497" s="59" t="s">
        <v>877</v>
      </c>
      <c r="G497" s="60">
        <v>26.37</v>
      </c>
      <c r="M497" s="61"/>
    </row>
    <row r="498" spans="1:76" ht="14.5" x14ac:dyDescent="0.35">
      <c r="A498" s="57"/>
      <c r="D498" s="58" t="s">
        <v>878</v>
      </c>
      <c r="E498" s="59" t="s">
        <v>879</v>
      </c>
      <c r="G498" s="60">
        <v>-0.54</v>
      </c>
      <c r="M498" s="61"/>
    </row>
    <row r="499" spans="1:76" ht="14.5" x14ac:dyDescent="0.35">
      <c r="A499" s="64" t="s">
        <v>880</v>
      </c>
      <c r="B499" s="65" t="s">
        <v>103</v>
      </c>
      <c r="C499" s="65" t="s">
        <v>881</v>
      </c>
      <c r="D499" s="217" t="s">
        <v>882</v>
      </c>
      <c r="E499" s="218"/>
      <c r="F499" s="65" t="s">
        <v>481</v>
      </c>
      <c r="G499" s="67">
        <f>'Stavební rozpočet'!G386</f>
        <v>6</v>
      </c>
      <c r="H499" s="95">
        <f>'Stavební rozpočet'!H386</f>
        <v>0</v>
      </c>
      <c r="I499" s="67">
        <f>G499*H499</f>
        <v>0</v>
      </c>
      <c r="J499" s="67">
        <f>'Stavební rozpočet'!J386</f>
        <v>7.2999999999999995E-2</v>
      </c>
      <c r="K499" s="67">
        <f>'Stavební rozpočet'!K386</f>
        <v>0</v>
      </c>
      <c r="L499" s="67">
        <f>G499*J499</f>
        <v>0.43799999999999994</v>
      </c>
      <c r="M499" s="68" t="s">
        <v>616</v>
      </c>
      <c r="Z499" s="54">
        <f>IF(AQ499="5",BJ499,0)</f>
        <v>0</v>
      </c>
      <c r="AB499" s="54">
        <f>IF(AQ499="1",BH499,0)</f>
        <v>0</v>
      </c>
      <c r="AC499" s="54">
        <f>IF(AQ499="1",BI499,0)</f>
        <v>0</v>
      </c>
      <c r="AD499" s="54">
        <f>IF(AQ499="7",BH499,0)</f>
        <v>0</v>
      </c>
      <c r="AE499" s="54">
        <f>IF(AQ499="7",BI499,0)</f>
        <v>0</v>
      </c>
      <c r="AF499" s="54">
        <f>IF(AQ499="2",BH499,0)</f>
        <v>0</v>
      </c>
      <c r="AG499" s="54">
        <f>IF(AQ499="2",BI499,0)</f>
        <v>0</v>
      </c>
      <c r="AH499" s="54">
        <f>IF(AQ499="0",BJ499,0)</f>
        <v>0</v>
      </c>
      <c r="AI499" s="34" t="s">
        <v>103</v>
      </c>
      <c r="AJ499" s="67">
        <f>IF(AN499=0,I499,0)</f>
        <v>0</v>
      </c>
      <c r="AK499" s="67">
        <f>IF(AN499=12,I499,0)</f>
        <v>0</v>
      </c>
      <c r="AL499" s="67">
        <f>IF(AN499=21,I499,0)</f>
        <v>0</v>
      </c>
      <c r="AN499" s="54">
        <v>21</v>
      </c>
      <c r="AO499" s="54">
        <f>H499*1</f>
        <v>0</v>
      </c>
      <c r="AP499" s="54">
        <f>H499*(1-1)</f>
        <v>0</v>
      </c>
      <c r="AQ499" s="69" t="s">
        <v>168</v>
      </c>
      <c r="AV499" s="54">
        <f>AW499+AX499</f>
        <v>0</v>
      </c>
      <c r="AW499" s="54">
        <f>G499*AO499</f>
        <v>0</v>
      </c>
      <c r="AX499" s="54">
        <f>G499*AP499</f>
        <v>0</v>
      </c>
      <c r="AY499" s="56" t="s">
        <v>866</v>
      </c>
      <c r="AZ499" s="56" t="s">
        <v>855</v>
      </c>
      <c r="BA499" s="34" t="s">
        <v>114</v>
      </c>
      <c r="BC499" s="54">
        <f>AW499+AX499</f>
        <v>0</v>
      </c>
      <c r="BD499" s="54">
        <f>H499/(100-BE499)*100</f>
        <v>0</v>
      </c>
      <c r="BE499" s="54">
        <v>0</v>
      </c>
      <c r="BF499" s="54">
        <f>L499</f>
        <v>0.43799999999999994</v>
      </c>
      <c r="BH499" s="67">
        <f>G499*AO499</f>
        <v>0</v>
      </c>
      <c r="BI499" s="67">
        <f>G499*AP499</f>
        <v>0</v>
      </c>
      <c r="BJ499" s="67">
        <f>G499*H499</f>
        <v>0</v>
      </c>
      <c r="BK499" s="67"/>
      <c r="BL499" s="54">
        <v>766</v>
      </c>
      <c r="BW499" s="54">
        <v>21</v>
      </c>
      <c r="BX499" s="66" t="s">
        <v>882</v>
      </c>
    </row>
    <row r="500" spans="1:76" ht="14.5" x14ac:dyDescent="0.35">
      <c r="A500" s="57"/>
      <c r="D500" s="58" t="s">
        <v>883</v>
      </c>
      <c r="E500" s="59" t="s">
        <v>884</v>
      </c>
      <c r="G500" s="60">
        <v>5</v>
      </c>
      <c r="M500" s="61"/>
    </row>
    <row r="501" spans="1:76" ht="14.5" x14ac:dyDescent="0.35">
      <c r="A501" s="57"/>
      <c r="D501" s="58" t="s">
        <v>885</v>
      </c>
      <c r="E501" s="59" t="s">
        <v>886</v>
      </c>
      <c r="G501" s="60">
        <v>0.75</v>
      </c>
      <c r="M501" s="61"/>
    </row>
    <row r="502" spans="1:76" ht="14.5" x14ac:dyDescent="0.35">
      <c r="A502" s="57"/>
      <c r="D502" s="58" t="s">
        <v>887</v>
      </c>
      <c r="E502" s="59" t="s">
        <v>888</v>
      </c>
      <c r="G502" s="60">
        <v>0.25</v>
      </c>
      <c r="M502" s="61"/>
    </row>
    <row r="503" spans="1:76" ht="27" customHeight="1" x14ac:dyDescent="0.35">
      <c r="A503" s="57"/>
      <c r="C503" s="72" t="s">
        <v>55</v>
      </c>
      <c r="D503" s="214" t="s">
        <v>889</v>
      </c>
      <c r="E503" s="215"/>
      <c r="F503" s="215"/>
      <c r="G503" s="215"/>
      <c r="H503" s="215"/>
      <c r="I503" s="215"/>
      <c r="J503" s="215"/>
      <c r="K503" s="215"/>
      <c r="L503" s="215"/>
      <c r="M503" s="216"/>
    </row>
    <row r="504" spans="1:76" ht="14.5" x14ac:dyDescent="0.35">
      <c r="A504" s="1" t="s">
        <v>890</v>
      </c>
      <c r="B504" s="2" t="s">
        <v>103</v>
      </c>
      <c r="C504" s="2" t="s">
        <v>891</v>
      </c>
      <c r="D504" s="155" t="s">
        <v>892</v>
      </c>
      <c r="E504" s="153"/>
      <c r="F504" s="2" t="s">
        <v>110</v>
      </c>
      <c r="G504" s="54">
        <f>'Stavební rozpočet'!G390</f>
        <v>13.494</v>
      </c>
      <c r="H504" s="94">
        <f>'Stavební rozpočet'!H390</f>
        <v>0</v>
      </c>
      <c r="I504" s="54">
        <f>G504*H504</f>
        <v>0</v>
      </c>
      <c r="J504" s="54">
        <f>'Stavební rozpočet'!J390</f>
        <v>2.4649999999999998E-2</v>
      </c>
      <c r="K504" s="54">
        <f>'Stavební rozpočet'!K390</f>
        <v>2.4649999999999998E-2</v>
      </c>
      <c r="L504" s="54">
        <f>G504*J504</f>
        <v>0.33262709999999995</v>
      </c>
      <c r="M504" s="55" t="s">
        <v>111</v>
      </c>
      <c r="Z504" s="54">
        <f>IF(AQ504="5",BJ504,0)</f>
        <v>0</v>
      </c>
      <c r="AB504" s="54">
        <f>IF(AQ504="1",BH504,0)</f>
        <v>0</v>
      </c>
      <c r="AC504" s="54">
        <f>IF(AQ504="1",BI504,0)</f>
        <v>0</v>
      </c>
      <c r="AD504" s="54">
        <f>IF(AQ504="7",BH504,0)</f>
        <v>0</v>
      </c>
      <c r="AE504" s="54">
        <f>IF(AQ504="7",BI504,0)</f>
        <v>0</v>
      </c>
      <c r="AF504" s="54">
        <f>IF(AQ504="2",BH504,0)</f>
        <v>0</v>
      </c>
      <c r="AG504" s="54">
        <f>IF(AQ504="2",BI504,0)</f>
        <v>0</v>
      </c>
      <c r="AH504" s="54">
        <f>IF(AQ504="0",BJ504,0)</f>
        <v>0</v>
      </c>
      <c r="AI504" s="34" t="s">
        <v>103</v>
      </c>
      <c r="AJ504" s="54">
        <f>IF(AN504=0,I504,0)</f>
        <v>0</v>
      </c>
      <c r="AK504" s="54">
        <f>IF(AN504=12,I504,0)</f>
        <v>0</v>
      </c>
      <c r="AL504" s="54">
        <f>IF(AN504=21,I504,0)</f>
        <v>0</v>
      </c>
      <c r="AN504" s="54">
        <v>21</v>
      </c>
      <c r="AO504" s="54">
        <f>H504*0</f>
        <v>0</v>
      </c>
      <c r="AP504" s="54">
        <f>H504*(1-0)</f>
        <v>0</v>
      </c>
      <c r="AQ504" s="56" t="s">
        <v>168</v>
      </c>
      <c r="AV504" s="54">
        <f>AW504+AX504</f>
        <v>0</v>
      </c>
      <c r="AW504" s="54">
        <f>G504*AO504</f>
        <v>0</v>
      </c>
      <c r="AX504" s="54">
        <f>G504*AP504</f>
        <v>0</v>
      </c>
      <c r="AY504" s="56" t="s">
        <v>866</v>
      </c>
      <c r="AZ504" s="56" t="s">
        <v>855</v>
      </c>
      <c r="BA504" s="34" t="s">
        <v>114</v>
      </c>
      <c r="BC504" s="54">
        <f>AW504+AX504</f>
        <v>0</v>
      </c>
      <c r="BD504" s="54">
        <f>H504/(100-BE504)*100</f>
        <v>0</v>
      </c>
      <c r="BE504" s="54">
        <v>0</v>
      </c>
      <c r="BF504" s="54">
        <f>L504</f>
        <v>0.33262709999999995</v>
      </c>
      <c r="BH504" s="54">
        <f>G504*AO504</f>
        <v>0</v>
      </c>
      <c r="BI504" s="54">
        <f>G504*AP504</f>
        <v>0</v>
      </c>
      <c r="BJ504" s="54">
        <f>G504*H504</f>
        <v>0</v>
      </c>
      <c r="BK504" s="54"/>
      <c r="BL504" s="54">
        <v>766</v>
      </c>
      <c r="BW504" s="54">
        <v>21</v>
      </c>
      <c r="BX504" s="3" t="s">
        <v>892</v>
      </c>
    </row>
    <row r="505" spans="1:76" ht="14.5" x14ac:dyDescent="0.35">
      <c r="A505" s="57"/>
      <c r="D505" s="58" t="s">
        <v>893</v>
      </c>
      <c r="E505" s="59" t="s">
        <v>894</v>
      </c>
      <c r="G505" s="60">
        <v>12.456</v>
      </c>
      <c r="M505" s="61"/>
    </row>
    <row r="506" spans="1:76" ht="14.5" x14ac:dyDescent="0.35">
      <c r="A506" s="57"/>
      <c r="D506" s="58" t="s">
        <v>895</v>
      </c>
      <c r="E506" s="59" t="s">
        <v>896</v>
      </c>
      <c r="G506" s="60">
        <v>1.038</v>
      </c>
      <c r="M506" s="61"/>
    </row>
    <row r="507" spans="1:76" ht="14.5" x14ac:dyDescent="0.35">
      <c r="A507" s="1" t="s">
        <v>897</v>
      </c>
      <c r="B507" s="2" t="s">
        <v>103</v>
      </c>
      <c r="C507" s="2" t="s">
        <v>898</v>
      </c>
      <c r="D507" s="155" t="s">
        <v>899</v>
      </c>
      <c r="E507" s="153"/>
      <c r="F507" s="2" t="s">
        <v>196</v>
      </c>
      <c r="G507" s="54">
        <f>'Stavební rozpočet'!G393</f>
        <v>24</v>
      </c>
      <c r="H507" s="94">
        <f>'Stavební rozpočet'!H393</f>
        <v>0</v>
      </c>
      <c r="I507" s="54">
        <f>G507*H507</f>
        <v>0</v>
      </c>
      <c r="J507" s="54">
        <f>'Stavební rozpočet'!J393</f>
        <v>1.41E-3</v>
      </c>
      <c r="K507" s="54">
        <f>'Stavební rozpočet'!K393</f>
        <v>0</v>
      </c>
      <c r="L507" s="54">
        <f>G507*J507</f>
        <v>3.3840000000000002E-2</v>
      </c>
      <c r="M507" s="55" t="s">
        <v>111</v>
      </c>
      <c r="Z507" s="54">
        <f>IF(AQ507="5",BJ507,0)</f>
        <v>0</v>
      </c>
      <c r="AB507" s="54">
        <f>IF(AQ507="1",BH507,0)</f>
        <v>0</v>
      </c>
      <c r="AC507" s="54">
        <f>IF(AQ507="1",BI507,0)</f>
        <v>0</v>
      </c>
      <c r="AD507" s="54">
        <f>IF(AQ507="7",BH507,0)</f>
        <v>0</v>
      </c>
      <c r="AE507" s="54">
        <f>IF(AQ507="7",BI507,0)</f>
        <v>0</v>
      </c>
      <c r="AF507" s="54">
        <f>IF(AQ507="2",BH507,0)</f>
        <v>0</v>
      </c>
      <c r="AG507" s="54">
        <f>IF(AQ507="2",BI507,0)</f>
        <v>0</v>
      </c>
      <c r="AH507" s="54">
        <f>IF(AQ507="0",BJ507,0)</f>
        <v>0</v>
      </c>
      <c r="AI507" s="34" t="s">
        <v>103</v>
      </c>
      <c r="AJ507" s="54">
        <f>IF(AN507=0,I507,0)</f>
        <v>0</v>
      </c>
      <c r="AK507" s="54">
        <f>IF(AN507=12,I507,0)</f>
        <v>0</v>
      </c>
      <c r="AL507" s="54">
        <f>IF(AN507=21,I507,0)</f>
        <v>0</v>
      </c>
      <c r="AN507" s="54">
        <v>21</v>
      </c>
      <c r="AO507" s="54">
        <f>H507*0.191961954</f>
        <v>0</v>
      </c>
      <c r="AP507" s="54">
        <f>H507*(1-0.191961954)</f>
        <v>0</v>
      </c>
      <c r="AQ507" s="56" t="s">
        <v>168</v>
      </c>
      <c r="AV507" s="54">
        <f>AW507+AX507</f>
        <v>0</v>
      </c>
      <c r="AW507" s="54">
        <f>G507*AO507</f>
        <v>0</v>
      </c>
      <c r="AX507" s="54">
        <f>G507*AP507</f>
        <v>0</v>
      </c>
      <c r="AY507" s="56" t="s">
        <v>866</v>
      </c>
      <c r="AZ507" s="56" t="s">
        <v>855</v>
      </c>
      <c r="BA507" s="34" t="s">
        <v>114</v>
      </c>
      <c r="BC507" s="54">
        <f>AW507+AX507</f>
        <v>0</v>
      </c>
      <c r="BD507" s="54">
        <f>H507/(100-BE507)*100</f>
        <v>0</v>
      </c>
      <c r="BE507" s="54">
        <v>0</v>
      </c>
      <c r="BF507" s="54">
        <f>L507</f>
        <v>3.3840000000000002E-2</v>
      </c>
      <c r="BH507" s="54">
        <f>G507*AO507</f>
        <v>0</v>
      </c>
      <c r="BI507" s="54">
        <f>G507*AP507</f>
        <v>0</v>
      </c>
      <c r="BJ507" s="54">
        <f>G507*H507</f>
        <v>0</v>
      </c>
      <c r="BK507" s="54"/>
      <c r="BL507" s="54">
        <v>766</v>
      </c>
      <c r="BW507" s="54">
        <v>21</v>
      </c>
      <c r="BX507" s="3" t="s">
        <v>899</v>
      </c>
    </row>
    <row r="508" spans="1:76" ht="13.5" customHeight="1" x14ac:dyDescent="0.35">
      <c r="A508" s="57"/>
      <c r="C508" s="62" t="s">
        <v>122</v>
      </c>
      <c r="D508" s="214" t="s">
        <v>900</v>
      </c>
      <c r="E508" s="215"/>
      <c r="F508" s="215"/>
      <c r="G508" s="215"/>
      <c r="H508" s="215"/>
      <c r="I508" s="215"/>
      <c r="J508" s="215"/>
      <c r="K508" s="215"/>
      <c r="L508" s="215"/>
      <c r="M508" s="216"/>
    </row>
    <row r="509" spans="1:76" ht="14.5" x14ac:dyDescent="0.35">
      <c r="A509" s="57"/>
      <c r="D509" s="58" t="s">
        <v>406</v>
      </c>
      <c r="E509" s="59" t="s">
        <v>901</v>
      </c>
      <c r="G509" s="60">
        <v>24</v>
      </c>
      <c r="M509" s="61"/>
    </row>
    <row r="510" spans="1:76" ht="14.5" x14ac:dyDescent="0.35">
      <c r="A510" s="57"/>
      <c r="C510" s="62" t="s">
        <v>156</v>
      </c>
      <c r="D510" s="211" t="s">
        <v>902</v>
      </c>
      <c r="E510" s="212"/>
      <c r="F510" s="212"/>
      <c r="G510" s="212"/>
      <c r="H510" s="212"/>
      <c r="I510" s="212"/>
      <c r="J510" s="212"/>
      <c r="K510" s="212"/>
      <c r="L510" s="212"/>
      <c r="M510" s="213"/>
      <c r="BX510" s="63" t="s">
        <v>902</v>
      </c>
    </row>
    <row r="511" spans="1:76" ht="25" x14ac:dyDescent="0.35">
      <c r="A511" s="64" t="s">
        <v>903</v>
      </c>
      <c r="B511" s="65" t="s">
        <v>103</v>
      </c>
      <c r="C511" s="65" t="s">
        <v>904</v>
      </c>
      <c r="D511" s="217" t="s">
        <v>905</v>
      </c>
      <c r="E511" s="218"/>
      <c r="F511" s="65" t="s">
        <v>196</v>
      </c>
      <c r="G511" s="67">
        <f>'Stavební rozpočet'!G395</f>
        <v>24</v>
      </c>
      <c r="H511" s="95">
        <f>'Stavební rozpočet'!H395</f>
        <v>0</v>
      </c>
      <c r="I511" s="67">
        <f>G511*H511</f>
        <v>0</v>
      </c>
      <c r="J511" s="67">
        <f>'Stavební rozpočet'!J395</f>
        <v>1.7000000000000001E-2</v>
      </c>
      <c r="K511" s="67">
        <f>'Stavební rozpočet'!K395</f>
        <v>0</v>
      </c>
      <c r="L511" s="67">
        <f>G511*J511</f>
        <v>0.40800000000000003</v>
      </c>
      <c r="M511" s="68" t="s">
        <v>616</v>
      </c>
      <c r="Z511" s="54">
        <f>IF(AQ511="5",BJ511,0)</f>
        <v>0</v>
      </c>
      <c r="AB511" s="54">
        <f>IF(AQ511="1",BH511,0)</f>
        <v>0</v>
      </c>
      <c r="AC511" s="54">
        <f>IF(AQ511="1",BI511,0)</f>
        <v>0</v>
      </c>
      <c r="AD511" s="54">
        <f>IF(AQ511="7",BH511,0)</f>
        <v>0</v>
      </c>
      <c r="AE511" s="54">
        <f>IF(AQ511="7",BI511,0)</f>
        <v>0</v>
      </c>
      <c r="AF511" s="54">
        <f>IF(AQ511="2",BH511,0)</f>
        <v>0</v>
      </c>
      <c r="AG511" s="54">
        <f>IF(AQ511="2",BI511,0)</f>
        <v>0</v>
      </c>
      <c r="AH511" s="54">
        <f>IF(AQ511="0",BJ511,0)</f>
        <v>0</v>
      </c>
      <c r="AI511" s="34" t="s">
        <v>103</v>
      </c>
      <c r="AJ511" s="67">
        <f>IF(AN511=0,I511,0)</f>
        <v>0</v>
      </c>
      <c r="AK511" s="67">
        <f>IF(AN511=12,I511,0)</f>
        <v>0</v>
      </c>
      <c r="AL511" s="67">
        <f>IF(AN511=21,I511,0)</f>
        <v>0</v>
      </c>
      <c r="AN511" s="54">
        <v>21</v>
      </c>
      <c r="AO511" s="54">
        <f>H511*1</f>
        <v>0</v>
      </c>
      <c r="AP511" s="54">
        <f>H511*(1-1)</f>
        <v>0</v>
      </c>
      <c r="AQ511" s="69" t="s">
        <v>168</v>
      </c>
      <c r="AV511" s="54">
        <f>AW511+AX511</f>
        <v>0</v>
      </c>
      <c r="AW511" s="54">
        <f>G511*AO511</f>
        <v>0</v>
      </c>
      <c r="AX511" s="54">
        <f>G511*AP511</f>
        <v>0</v>
      </c>
      <c r="AY511" s="56" t="s">
        <v>866</v>
      </c>
      <c r="AZ511" s="56" t="s">
        <v>855</v>
      </c>
      <c r="BA511" s="34" t="s">
        <v>114</v>
      </c>
      <c r="BC511" s="54">
        <f>AW511+AX511</f>
        <v>0</v>
      </c>
      <c r="BD511" s="54">
        <f>H511/(100-BE511)*100</f>
        <v>0</v>
      </c>
      <c r="BE511" s="54">
        <v>0</v>
      </c>
      <c r="BF511" s="54">
        <f>L511</f>
        <v>0.40800000000000003</v>
      </c>
      <c r="BH511" s="67">
        <f>G511*AO511</f>
        <v>0</v>
      </c>
      <c r="BI511" s="67">
        <f>G511*AP511</f>
        <v>0</v>
      </c>
      <c r="BJ511" s="67">
        <f>G511*H511</f>
        <v>0</v>
      </c>
      <c r="BK511" s="67"/>
      <c r="BL511" s="54">
        <v>766</v>
      </c>
      <c r="BW511" s="54">
        <v>21</v>
      </c>
      <c r="BX511" s="66" t="s">
        <v>905</v>
      </c>
    </row>
    <row r="512" spans="1:76" ht="14.5" x14ac:dyDescent="0.35">
      <c r="A512" s="57"/>
      <c r="D512" s="58" t="s">
        <v>406</v>
      </c>
      <c r="E512" s="59" t="s">
        <v>906</v>
      </c>
      <c r="G512" s="60">
        <v>24</v>
      </c>
      <c r="M512" s="61"/>
    </row>
    <row r="513" spans="1:76" ht="27" customHeight="1" x14ac:dyDescent="0.35">
      <c r="A513" s="57"/>
      <c r="C513" s="72" t="s">
        <v>55</v>
      </c>
      <c r="D513" s="214" t="s">
        <v>907</v>
      </c>
      <c r="E513" s="215"/>
      <c r="F513" s="215"/>
      <c r="G513" s="215"/>
      <c r="H513" s="215"/>
      <c r="I513" s="215"/>
      <c r="J513" s="215"/>
      <c r="K513" s="215"/>
      <c r="L513" s="215"/>
      <c r="M513" s="216"/>
    </row>
    <row r="514" spans="1:76" ht="13.5" customHeight="1" x14ac:dyDescent="0.35">
      <c r="A514" s="57"/>
      <c r="C514" s="71" t="s">
        <v>589</v>
      </c>
      <c r="D514" s="219" t="s">
        <v>908</v>
      </c>
      <c r="E514" s="220"/>
      <c r="F514" s="220"/>
      <c r="G514" s="220"/>
      <c r="H514" s="220"/>
      <c r="I514" s="220"/>
      <c r="J514" s="220"/>
      <c r="K514" s="220"/>
      <c r="L514" s="220"/>
      <c r="M514" s="221"/>
    </row>
    <row r="515" spans="1:76" ht="14.5" x14ac:dyDescent="0.35">
      <c r="A515" s="1" t="s">
        <v>909</v>
      </c>
      <c r="B515" s="2" t="s">
        <v>103</v>
      </c>
      <c r="C515" s="2" t="s">
        <v>910</v>
      </c>
      <c r="D515" s="155" t="s">
        <v>911</v>
      </c>
      <c r="E515" s="153"/>
      <c r="F515" s="2" t="s">
        <v>196</v>
      </c>
      <c r="G515" s="54">
        <f>'Stavební rozpočet'!G397</f>
        <v>24</v>
      </c>
      <c r="H515" s="94">
        <f>'Stavební rozpočet'!H397</f>
        <v>0</v>
      </c>
      <c r="I515" s="54">
        <f>G515*H515</f>
        <v>0</v>
      </c>
      <c r="J515" s="54">
        <f>'Stavební rozpočet'!J397</f>
        <v>1.6100000000000001E-3</v>
      </c>
      <c r="K515" s="54">
        <f>'Stavební rozpočet'!K397</f>
        <v>0</v>
      </c>
      <c r="L515" s="54">
        <f>G515*J515</f>
        <v>3.8640000000000001E-2</v>
      </c>
      <c r="M515" s="55" t="s">
        <v>111</v>
      </c>
      <c r="Z515" s="54">
        <f>IF(AQ515="5",BJ515,0)</f>
        <v>0</v>
      </c>
      <c r="AB515" s="54">
        <f>IF(AQ515="1",BH515,0)</f>
        <v>0</v>
      </c>
      <c r="AC515" s="54">
        <f>IF(AQ515="1",BI515,0)</f>
        <v>0</v>
      </c>
      <c r="AD515" s="54">
        <f>IF(AQ515="7",BH515,0)</f>
        <v>0</v>
      </c>
      <c r="AE515" s="54">
        <f>IF(AQ515="7",BI515,0)</f>
        <v>0</v>
      </c>
      <c r="AF515" s="54">
        <f>IF(AQ515="2",BH515,0)</f>
        <v>0</v>
      </c>
      <c r="AG515" s="54">
        <f>IF(AQ515="2",BI515,0)</f>
        <v>0</v>
      </c>
      <c r="AH515" s="54">
        <f>IF(AQ515="0",BJ515,0)</f>
        <v>0</v>
      </c>
      <c r="AI515" s="34" t="s">
        <v>103</v>
      </c>
      <c r="AJ515" s="54">
        <f>IF(AN515=0,I515,0)</f>
        <v>0</v>
      </c>
      <c r="AK515" s="54">
        <f>IF(AN515=12,I515,0)</f>
        <v>0</v>
      </c>
      <c r="AL515" s="54">
        <f>IF(AN515=21,I515,0)</f>
        <v>0</v>
      </c>
      <c r="AN515" s="54">
        <v>21</v>
      </c>
      <c r="AO515" s="54">
        <f>H515*0.213097754</f>
        <v>0</v>
      </c>
      <c r="AP515" s="54">
        <f>H515*(1-0.213097754)</f>
        <v>0</v>
      </c>
      <c r="AQ515" s="56" t="s">
        <v>168</v>
      </c>
      <c r="AV515" s="54">
        <f>AW515+AX515</f>
        <v>0</v>
      </c>
      <c r="AW515" s="54">
        <f>G515*AO515</f>
        <v>0</v>
      </c>
      <c r="AX515" s="54">
        <f>G515*AP515</f>
        <v>0</v>
      </c>
      <c r="AY515" s="56" t="s">
        <v>866</v>
      </c>
      <c r="AZ515" s="56" t="s">
        <v>855</v>
      </c>
      <c r="BA515" s="34" t="s">
        <v>114</v>
      </c>
      <c r="BC515" s="54">
        <f>AW515+AX515</f>
        <v>0</v>
      </c>
      <c r="BD515" s="54">
        <f>H515/(100-BE515)*100</f>
        <v>0</v>
      </c>
      <c r="BE515" s="54">
        <v>0</v>
      </c>
      <c r="BF515" s="54">
        <f>L515</f>
        <v>3.8640000000000001E-2</v>
      </c>
      <c r="BH515" s="54">
        <f>G515*AO515</f>
        <v>0</v>
      </c>
      <c r="BI515" s="54">
        <f>G515*AP515</f>
        <v>0</v>
      </c>
      <c r="BJ515" s="54">
        <f>G515*H515</f>
        <v>0</v>
      </c>
      <c r="BK515" s="54"/>
      <c r="BL515" s="54">
        <v>766</v>
      </c>
      <c r="BW515" s="54">
        <v>21</v>
      </c>
      <c r="BX515" s="3" t="s">
        <v>911</v>
      </c>
    </row>
    <row r="516" spans="1:76" ht="13.5" customHeight="1" x14ac:dyDescent="0.35">
      <c r="A516" s="57"/>
      <c r="C516" s="62" t="s">
        <v>122</v>
      </c>
      <c r="D516" s="214" t="s">
        <v>912</v>
      </c>
      <c r="E516" s="215"/>
      <c r="F516" s="215"/>
      <c r="G516" s="215"/>
      <c r="H516" s="215"/>
      <c r="I516" s="215"/>
      <c r="J516" s="215"/>
      <c r="K516" s="215"/>
      <c r="L516" s="215"/>
      <c r="M516" s="216"/>
    </row>
    <row r="517" spans="1:76" ht="14.5" x14ac:dyDescent="0.35">
      <c r="A517" s="57"/>
      <c r="D517" s="58" t="s">
        <v>406</v>
      </c>
      <c r="E517" s="59" t="s">
        <v>913</v>
      </c>
      <c r="G517" s="60">
        <v>24</v>
      </c>
      <c r="M517" s="61"/>
    </row>
    <row r="518" spans="1:76" ht="14.5" x14ac:dyDescent="0.35">
      <c r="A518" s="57"/>
      <c r="C518" s="62" t="s">
        <v>156</v>
      </c>
      <c r="D518" s="211" t="s">
        <v>902</v>
      </c>
      <c r="E518" s="212"/>
      <c r="F518" s="212"/>
      <c r="G518" s="212"/>
      <c r="H518" s="212"/>
      <c r="I518" s="212"/>
      <c r="J518" s="212"/>
      <c r="K518" s="212"/>
      <c r="L518" s="212"/>
      <c r="M518" s="213"/>
      <c r="BX518" s="63" t="s">
        <v>902</v>
      </c>
    </row>
    <row r="519" spans="1:76" ht="25" x14ac:dyDescent="0.35">
      <c r="A519" s="64" t="s">
        <v>914</v>
      </c>
      <c r="B519" s="65" t="s">
        <v>103</v>
      </c>
      <c r="C519" s="65" t="s">
        <v>915</v>
      </c>
      <c r="D519" s="217" t="s">
        <v>916</v>
      </c>
      <c r="E519" s="218"/>
      <c r="F519" s="65" t="s">
        <v>196</v>
      </c>
      <c r="G519" s="67">
        <f>'Stavební rozpočet'!G399</f>
        <v>24</v>
      </c>
      <c r="H519" s="95">
        <f>'Stavební rozpočet'!H399</f>
        <v>0</v>
      </c>
      <c r="I519" s="67">
        <f>G519*H519</f>
        <v>0</v>
      </c>
      <c r="J519" s="67">
        <f>'Stavební rozpočet'!J399</f>
        <v>2.5000000000000001E-2</v>
      </c>
      <c r="K519" s="67">
        <f>'Stavební rozpočet'!K399</f>
        <v>0</v>
      </c>
      <c r="L519" s="67">
        <f>G519*J519</f>
        <v>0.60000000000000009</v>
      </c>
      <c r="M519" s="68" t="s">
        <v>10</v>
      </c>
      <c r="Z519" s="54">
        <f>IF(AQ519="5",BJ519,0)</f>
        <v>0</v>
      </c>
      <c r="AB519" s="54">
        <f>IF(AQ519="1",BH519,0)</f>
        <v>0</v>
      </c>
      <c r="AC519" s="54">
        <f>IF(AQ519="1",BI519,0)</f>
        <v>0</v>
      </c>
      <c r="AD519" s="54">
        <f>IF(AQ519="7",BH519,0)</f>
        <v>0</v>
      </c>
      <c r="AE519" s="54">
        <f>IF(AQ519="7",BI519,0)</f>
        <v>0</v>
      </c>
      <c r="AF519" s="54">
        <f>IF(AQ519="2",BH519,0)</f>
        <v>0</v>
      </c>
      <c r="AG519" s="54">
        <f>IF(AQ519="2",BI519,0)</f>
        <v>0</v>
      </c>
      <c r="AH519" s="54">
        <f>IF(AQ519="0",BJ519,0)</f>
        <v>0</v>
      </c>
      <c r="AI519" s="34" t="s">
        <v>103</v>
      </c>
      <c r="AJ519" s="67">
        <f>IF(AN519=0,I519,0)</f>
        <v>0</v>
      </c>
      <c r="AK519" s="67">
        <f>IF(AN519=12,I519,0)</f>
        <v>0</v>
      </c>
      <c r="AL519" s="67">
        <f>IF(AN519=21,I519,0)</f>
        <v>0</v>
      </c>
      <c r="AN519" s="54">
        <v>21</v>
      </c>
      <c r="AO519" s="54">
        <f>H519*1</f>
        <v>0</v>
      </c>
      <c r="AP519" s="54">
        <f>H519*(1-1)</f>
        <v>0</v>
      </c>
      <c r="AQ519" s="69" t="s">
        <v>168</v>
      </c>
      <c r="AV519" s="54">
        <f>AW519+AX519</f>
        <v>0</v>
      </c>
      <c r="AW519" s="54">
        <f>G519*AO519</f>
        <v>0</v>
      </c>
      <c r="AX519" s="54">
        <f>G519*AP519</f>
        <v>0</v>
      </c>
      <c r="AY519" s="56" t="s">
        <v>866</v>
      </c>
      <c r="AZ519" s="56" t="s">
        <v>855</v>
      </c>
      <c r="BA519" s="34" t="s">
        <v>114</v>
      </c>
      <c r="BC519" s="54">
        <f>AW519+AX519</f>
        <v>0</v>
      </c>
      <c r="BD519" s="54">
        <f>H519/(100-BE519)*100</f>
        <v>0</v>
      </c>
      <c r="BE519" s="54">
        <v>0</v>
      </c>
      <c r="BF519" s="54">
        <f>L519</f>
        <v>0.60000000000000009</v>
      </c>
      <c r="BH519" s="67">
        <f>G519*AO519</f>
        <v>0</v>
      </c>
      <c r="BI519" s="67">
        <f>G519*AP519</f>
        <v>0</v>
      </c>
      <c r="BJ519" s="67">
        <f>G519*H519</f>
        <v>0</v>
      </c>
      <c r="BK519" s="67"/>
      <c r="BL519" s="54">
        <v>766</v>
      </c>
      <c r="BW519" s="54">
        <v>21</v>
      </c>
      <c r="BX519" s="66" t="s">
        <v>916</v>
      </c>
    </row>
    <row r="520" spans="1:76" ht="14.5" x14ac:dyDescent="0.35">
      <c r="A520" s="57"/>
      <c r="D520" s="58" t="s">
        <v>406</v>
      </c>
      <c r="E520" s="59" t="s">
        <v>917</v>
      </c>
      <c r="G520" s="60">
        <v>24</v>
      </c>
      <c r="M520" s="61"/>
    </row>
    <row r="521" spans="1:76" ht="40.5" customHeight="1" x14ac:dyDescent="0.35">
      <c r="A521" s="57"/>
      <c r="C521" s="72" t="s">
        <v>55</v>
      </c>
      <c r="D521" s="214" t="s">
        <v>918</v>
      </c>
      <c r="E521" s="215"/>
      <c r="F521" s="215"/>
      <c r="G521" s="215"/>
      <c r="H521" s="215"/>
      <c r="I521" s="215"/>
      <c r="J521" s="215"/>
      <c r="K521" s="215"/>
      <c r="L521" s="215"/>
      <c r="M521" s="216"/>
    </row>
    <row r="522" spans="1:76" ht="13.5" customHeight="1" x14ac:dyDescent="0.35">
      <c r="A522" s="57"/>
      <c r="C522" s="71" t="s">
        <v>589</v>
      </c>
      <c r="D522" s="219" t="s">
        <v>908</v>
      </c>
      <c r="E522" s="220"/>
      <c r="F522" s="220"/>
      <c r="G522" s="220"/>
      <c r="H522" s="220"/>
      <c r="I522" s="220"/>
      <c r="J522" s="220"/>
      <c r="K522" s="220"/>
      <c r="L522" s="220"/>
      <c r="M522" s="221"/>
    </row>
    <row r="523" spans="1:76" ht="14.5" x14ac:dyDescent="0.35">
      <c r="A523" s="1" t="s">
        <v>919</v>
      </c>
      <c r="B523" s="2" t="s">
        <v>103</v>
      </c>
      <c r="C523" s="2" t="s">
        <v>920</v>
      </c>
      <c r="D523" s="155" t="s">
        <v>921</v>
      </c>
      <c r="E523" s="153"/>
      <c r="F523" s="2" t="s">
        <v>196</v>
      </c>
      <c r="G523" s="54">
        <f>'Stavební rozpočet'!G401</f>
        <v>29</v>
      </c>
      <c r="H523" s="94">
        <f>'Stavební rozpočet'!H401</f>
        <v>0</v>
      </c>
      <c r="I523" s="54">
        <f>G523*H523</f>
        <v>0</v>
      </c>
      <c r="J523" s="54">
        <f>'Stavební rozpočet'!J401</f>
        <v>0</v>
      </c>
      <c r="K523" s="54">
        <f>'Stavební rozpočet'!K401</f>
        <v>0</v>
      </c>
      <c r="L523" s="54">
        <f>G523*J523</f>
        <v>0</v>
      </c>
      <c r="M523" s="55" t="s">
        <v>111</v>
      </c>
      <c r="Z523" s="54">
        <f>IF(AQ523="5",BJ523,0)</f>
        <v>0</v>
      </c>
      <c r="AB523" s="54">
        <f>IF(AQ523="1",BH523,0)</f>
        <v>0</v>
      </c>
      <c r="AC523" s="54">
        <f>IF(AQ523="1",BI523,0)</f>
        <v>0</v>
      </c>
      <c r="AD523" s="54">
        <f>IF(AQ523="7",BH523,0)</f>
        <v>0</v>
      </c>
      <c r="AE523" s="54">
        <f>IF(AQ523="7",BI523,0)</f>
        <v>0</v>
      </c>
      <c r="AF523" s="54">
        <f>IF(AQ523="2",BH523,0)</f>
        <v>0</v>
      </c>
      <c r="AG523" s="54">
        <f>IF(AQ523="2",BI523,0)</f>
        <v>0</v>
      </c>
      <c r="AH523" s="54">
        <f>IF(AQ523="0",BJ523,0)</f>
        <v>0</v>
      </c>
      <c r="AI523" s="34" t="s">
        <v>103</v>
      </c>
      <c r="AJ523" s="54">
        <f>IF(AN523=0,I523,0)</f>
        <v>0</v>
      </c>
      <c r="AK523" s="54">
        <f>IF(AN523=12,I523,0)</f>
        <v>0</v>
      </c>
      <c r="AL523" s="54">
        <f>IF(AN523=21,I523,0)</f>
        <v>0</v>
      </c>
      <c r="AN523" s="54">
        <v>21</v>
      </c>
      <c r="AO523" s="54">
        <f>H523*0</f>
        <v>0</v>
      </c>
      <c r="AP523" s="54">
        <f>H523*(1-0)</f>
        <v>0</v>
      </c>
      <c r="AQ523" s="56" t="s">
        <v>168</v>
      </c>
      <c r="AV523" s="54">
        <f>AW523+AX523</f>
        <v>0</v>
      </c>
      <c r="AW523" s="54">
        <f>G523*AO523</f>
        <v>0</v>
      </c>
      <c r="AX523" s="54">
        <f>G523*AP523</f>
        <v>0</v>
      </c>
      <c r="AY523" s="56" t="s">
        <v>866</v>
      </c>
      <c r="AZ523" s="56" t="s">
        <v>855</v>
      </c>
      <c r="BA523" s="34" t="s">
        <v>114</v>
      </c>
      <c r="BC523" s="54">
        <f>AW523+AX523</f>
        <v>0</v>
      </c>
      <c r="BD523" s="54">
        <f>H523/(100-BE523)*100</f>
        <v>0</v>
      </c>
      <c r="BE523" s="54">
        <v>0</v>
      </c>
      <c r="BF523" s="54">
        <f>L523</f>
        <v>0</v>
      </c>
      <c r="BH523" s="54">
        <f>G523*AO523</f>
        <v>0</v>
      </c>
      <c r="BI523" s="54">
        <f>G523*AP523</f>
        <v>0</v>
      </c>
      <c r="BJ523" s="54">
        <f>G523*H523</f>
        <v>0</v>
      </c>
      <c r="BK523" s="54"/>
      <c r="BL523" s="54">
        <v>766</v>
      </c>
      <c r="BW523" s="54">
        <v>21</v>
      </c>
      <c r="BX523" s="3" t="s">
        <v>921</v>
      </c>
    </row>
    <row r="524" spans="1:76" ht="14.5" x14ac:dyDescent="0.35">
      <c r="A524" s="57"/>
      <c r="D524" s="58" t="s">
        <v>922</v>
      </c>
      <c r="E524" s="59" t="s">
        <v>923</v>
      </c>
      <c r="G524" s="60">
        <v>29</v>
      </c>
      <c r="M524" s="61"/>
    </row>
    <row r="525" spans="1:76" ht="14.5" x14ac:dyDescent="0.35">
      <c r="A525" s="1" t="s">
        <v>924</v>
      </c>
      <c r="B525" s="2" t="s">
        <v>103</v>
      </c>
      <c r="C525" s="2" t="s">
        <v>925</v>
      </c>
      <c r="D525" s="155" t="s">
        <v>926</v>
      </c>
      <c r="E525" s="153"/>
      <c r="F525" s="2" t="s">
        <v>196</v>
      </c>
      <c r="G525" s="54">
        <f>'Stavební rozpočet'!G403</f>
        <v>29</v>
      </c>
      <c r="H525" s="94">
        <f>'Stavební rozpočet'!H403</f>
        <v>0</v>
      </c>
      <c r="I525" s="54">
        <f>G525*H525</f>
        <v>0</v>
      </c>
      <c r="J525" s="54">
        <f>'Stavební rozpočet'!J403</f>
        <v>1.8E-3</v>
      </c>
      <c r="K525" s="54">
        <f>'Stavební rozpočet'!K403</f>
        <v>1.8E-3</v>
      </c>
      <c r="L525" s="54">
        <f>G525*J525</f>
        <v>5.2199999999999996E-2</v>
      </c>
      <c r="M525" s="55" t="s">
        <v>111</v>
      </c>
      <c r="Z525" s="54">
        <f>IF(AQ525="5",BJ525,0)</f>
        <v>0</v>
      </c>
      <c r="AB525" s="54">
        <f>IF(AQ525="1",BH525,0)</f>
        <v>0</v>
      </c>
      <c r="AC525" s="54">
        <f>IF(AQ525="1",BI525,0)</f>
        <v>0</v>
      </c>
      <c r="AD525" s="54">
        <f>IF(AQ525="7",BH525,0)</f>
        <v>0</v>
      </c>
      <c r="AE525" s="54">
        <f>IF(AQ525="7",BI525,0)</f>
        <v>0</v>
      </c>
      <c r="AF525" s="54">
        <f>IF(AQ525="2",BH525,0)</f>
        <v>0</v>
      </c>
      <c r="AG525" s="54">
        <f>IF(AQ525="2",BI525,0)</f>
        <v>0</v>
      </c>
      <c r="AH525" s="54">
        <f>IF(AQ525="0",BJ525,0)</f>
        <v>0</v>
      </c>
      <c r="AI525" s="34" t="s">
        <v>103</v>
      </c>
      <c r="AJ525" s="54">
        <f>IF(AN525=0,I525,0)</f>
        <v>0</v>
      </c>
      <c r="AK525" s="54">
        <f>IF(AN525=12,I525,0)</f>
        <v>0</v>
      </c>
      <c r="AL525" s="54">
        <f>IF(AN525=21,I525,0)</f>
        <v>0</v>
      </c>
      <c r="AN525" s="54">
        <v>21</v>
      </c>
      <c r="AO525" s="54">
        <f>H525*0</f>
        <v>0</v>
      </c>
      <c r="AP525" s="54">
        <f>H525*(1-0)</f>
        <v>0</v>
      </c>
      <c r="AQ525" s="56" t="s">
        <v>168</v>
      </c>
      <c r="AV525" s="54">
        <f>AW525+AX525</f>
        <v>0</v>
      </c>
      <c r="AW525" s="54">
        <f>G525*AO525</f>
        <v>0</v>
      </c>
      <c r="AX525" s="54">
        <f>G525*AP525</f>
        <v>0</v>
      </c>
      <c r="AY525" s="56" t="s">
        <v>866</v>
      </c>
      <c r="AZ525" s="56" t="s">
        <v>855</v>
      </c>
      <c r="BA525" s="34" t="s">
        <v>114</v>
      </c>
      <c r="BC525" s="54">
        <f>AW525+AX525</f>
        <v>0</v>
      </c>
      <c r="BD525" s="54">
        <f>H525/(100-BE525)*100</f>
        <v>0</v>
      </c>
      <c r="BE525" s="54">
        <v>0</v>
      </c>
      <c r="BF525" s="54">
        <f>L525</f>
        <v>5.2199999999999996E-2</v>
      </c>
      <c r="BH525" s="54">
        <f>G525*AO525</f>
        <v>0</v>
      </c>
      <c r="BI525" s="54">
        <f>G525*AP525</f>
        <v>0</v>
      </c>
      <c r="BJ525" s="54">
        <f>G525*H525</f>
        <v>0</v>
      </c>
      <c r="BK525" s="54"/>
      <c r="BL525" s="54">
        <v>766</v>
      </c>
      <c r="BW525" s="54">
        <v>21</v>
      </c>
      <c r="BX525" s="3" t="s">
        <v>926</v>
      </c>
    </row>
    <row r="526" spans="1:76" ht="13.5" customHeight="1" x14ac:dyDescent="0.35">
      <c r="A526" s="57"/>
      <c r="C526" s="62" t="s">
        <v>122</v>
      </c>
      <c r="D526" s="214" t="s">
        <v>927</v>
      </c>
      <c r="E526" s="215"/>
      <c r="F526" s="215"/>
      <c r="G526" s="215"/>
      <c r="H526" s="215"/>
      <c r="I526" s="215"/>
      <c r="J526" s="215"/>
      <c r="K526" s="215"/>
      <c r="L526" s="215"/>
      <c r="M526" s="216"/>
    </row>
    <row r="527" spans="1:76" ht="14.5" x14ac:dyDescent="0.35">
      <c r="A527" s="57"/>
      <c r="D527" s="58" t="s">
        <v>922</v>
      </c>
      <c r="E527" s="59" t="s">
        <v>928</v>
      </c>
      <c r="G527" s="60">
        <v>29</v>
      </c>
      <c r="M527" s="61"/>
    </row>
    <row r="528" spans="1:76" ht="14.5" x14ac:dyDescent="0.35">
      <c r="A528" s="1" t="s">
        <v>929</v>
      </c>
      <c r="B528" s="2" t="s">
        <v>103</v>
      </c>
      <c r="C528" s="2" t="s">
        <v>930</v>
      </c>
      <c r="D528" s="155" t="s">
        <v>931</v>
      </c>
      <c r="E528" s="153"/>
      <c r="F528" s="2" t="s">
        <v>196</v>
      </c>
      <c r="G528" s="54">
        <f>'Stavební rozpočet'!G405</f>
        <v>48</v>
      </c>
      <c r="H528" s="94">
        <f>'Stavební rozpočet'!H405</f>
        <v>0</v>
      </c>
      <c r="I528" s="54">
        <f>G528*H528</f>
        <v>0</v>
      </c>
      <c r="J528" s="54">
        <f>'Stavební rozpočet'!J405</f>
        <v>0</v>
      </c>
      <c r="K528" s="54">
        <f>'Stavební rozpočet'!K405</f>
        <v>0</v>
      </c>
      <c r="L528" s="54">
        <f>G528*J528</f>
        <v>0</v>
      </c>
      <c r="M528" s="55" t="s">
        <v>111</v>
      </c>
      <c r="Z528" s="54">
        <f>IF(AQ528="5",BJ528,0)</f>
        <v>0</v>
      </c>
      <c r="AB528" s="54">
        <f>IF(AQ528="1",BH528,0)</f>
        <v>0</v>
      </c>
      <c r="AC528" s="54">
        <f>IF(AQ528="1",BI528,0)</f>
        <v>0</v>
      </c>
      <c r="AD528" s="54">
        <f>IF(AQ528="7",BH528,0)</f>
        <v>0</v>
      </c>
      <c r="AE528" s="54">
        <f>IF(AQ528="7",BI528,0)</f>
        <v>0</v>
      </c>
      <c r="AF528" s="54">
        <f>IF(AQ528="2",BH528,0)</f>
        <v>0</v>
      </c>
      <c r="AG528" s="54">
        <f>IF(AQ528="2",BI528,0)</f>
        <v>0</v>
      </c>
      <c r="AH528" s="54">
        <f>IF(AQ528="0",BJ528,0)</f>
        <v>0</v>
      </c>
      <c r="AI528" s="34" t="s">
        <v>103</v>
      </c>
      <c r="AJ528" s="54">
        <f>IF(AN528=0,I528,0)</f>
        <v>0</v>
      </c>
      <c r="AK528" s="54">
        <f>IF(AN528=12,I528,0)</f>
        <v>0</v>
      </c>
      <c r="AL528" s="54">
        <f>IF(AN528=21,I528,0)</f>
        <v>0</v>
      </c>
      <c r="AN528" s="54">
        <v>21</v>
      </c>
      <c r="AO528" s="54">
        <f>H528*0</f>
        <v>0</v>
      </c>
      <c r="AP528" s="54">
        <f>H528*(1-0)</f>
        <v>0</v>
      </c>
      <c r="AQ528" s="56" t="s">
        <v>168</v>
      </c>
      <c r="AV528" s="54">
        <f>AW528+AX528</f>
        <v>0</v>
      </c>
      <c r="AW528" s="54">
        <f>G528*AO528</f>
        <v>0</v>
      </c>
      <c r="AX528" s="54">
        <f>G528*AP528</f>
        <v>0</v>
      </c>
      <c r="AY528" s="56" t="s">
        <v>866</v>
      </c>
      <c r="AZ528" s="56" t="s">
        <v>855</v>
      </c>
      <c r="BA528" s="34" t="s">
        <v>114</v>
      </c>
      <c r="BC528" s="54">
        <f>AW528+AX528</f>
        <v>0</v>
      </c>
      <c r="BD528" s="54">
        <f>H528/(100-BE528)*100</f>
        <v>0</v>
      </c>
      <c r="BE528" s="54">
        <v>0</v>
      </c>
      <c r="BF528" s="54">
        <f>L528</f>
        <v>0</v>
      </c>
      <c r="BH528" s="54">
        <f>G528*AO528</f>
        <v>0</v>
      </c>
      <c r="BI528" s="54">
        <f>G528*AP528</f>
        <v>0</v>
      </c>
      <c r="BJ528" s="54">
        <f>G528*H528</f>
        <v>0</v>
      </c>
      <c r="BK528" s="54"/>
      <c r="BL528" s="54">
        <v>766</v>
      </c>
      <c r="BW528" s="54">
        <v>21</v>
      </c>
      <c r="BX528" s="3" t="s">
        <v>931</v>
      </c>
    </row>
    <row r="529" spans="1:76" ht="13.5" customHeight="1" x14ac:dyDescent="0.35">
      <c r="A529" s="57"/>
      <c r="C529" s="62" t="s">
        <v>122</v>
      </c>
      <c r="D529" s="214" t="s">
        <v>932</v>
      </c>
      <c r="E529" s="215"/>
      <c r="F529" s="215"/>
      <c r="G529" s="215"/>
      <c r="H529" s="215"/>
      <c r="I529" s="215"/>
      <c r="J529" s="215"/>
      <c r="K529" s="215"/>
      <c r="L529" s="215"/>
      <c r="M529" s="216"/>
    </row>
    <row r="530" spans="1:76" ht="14.5" x14ac:dyDescent="0.35">
      <c r="A530" s="57"/>
      <c r="D530" s="58" t="s">
        <v>483</v>
      </c>
      <c r="E530" s="59" t="s">
        <v>933</v>
      </c>
      <c r="G530" s="60">
        <v>48</v>
      </c>
      <c r="M530" s="61"/>
    </row>
    <row r="531" spans="1:76" ht="14.5" x14ac:dyDescent="0.35">
      <c r="A531" s="1" t="s">
        <v>934</v>
      </c>
      <c r="B531" s="2" t="s">
        <v>103</v>
      </c>
      <c r="C531" s="2" t="s">
        <v>935</v>
      </c>
      <c r="D531" s="155" t="s">
        <v>936</v>
      </c>
      <c r="E531" s="153"/>
      <c r="F531" s="2" t="s">
        <v>196</v>
      </c>
      <c r="G531" s="54">
        <f>'Stavební rozpočet'!G407</f>
        <v>29</v>
      </c>
      <c r="H531" s="94">
        <f>'Stavební rozpočet'!H407</f>
        <v>0</v>
      </c>
      <c r="I531" s="54">
        <f>G531*H531</f>
        <v>0</v>
      </c>
      <c r="J531" s="54">
        <f>'Stavební rozpočet'!J407</f>
        <v>1.0000000000000001E-5</v>
      </c>
      <c r="K531" s="54">
        <f>'Stavební rozpočet'!K407</f>
        <v>0</v>
      </c>
      <c r="L531" s="54">
        <f>G531*J531</f>
        <v>2.9E-4</v>
      </c>
      <c r="M531" s="55" t="s">
        <v>111</v>
      </c>
      <c r="Z531" s="54">
        <f>IF(AQ531="5",BJ531,0)</f>
        <v>0</v>
      </c>
      <c r="AB531" s="54">
        <f>IF(AQ531="1",BH531,0)</f>
        <v>0</v>
      </c>
      <c r="AC531" s="54">
        <f>IF(AQ531="1",BI531,0)</f>
        <v>0</v>
      </c>
      <c r="AD531" s="54">
        <f>IF(AQ531="7",BH531,0)</f>
        <v>0</v>
      </c>
      <c r="AE531" s="54">
        <f>IF(AQ531="7",BI531,0)</f>
        <v>0</v>
      </c>
      <c r="AF531" s="54">
        <f>IF(AQ531="2",BH531,0)</f>
        <v>0</v>
      </c>
      <c r="AG531" s="54">
        <f>IF(AQ531="2",BI531,0)</f>
        <v>0</v>
      </c>
      <c r="AH531" s="54">
        <f>IF(AQ531="0",BJ531,0)</f>
        <v>0</v>
      </c>
      <c r="AI531" s="34" t="s">
        <v>103</v>
      </c>
      <c r="AJ531" s="54">
        <f>IF(AN531=0,I531,0)</f>
        <v>0</v>
      </c>
      <c r="AK531" s="54">
        <f>IF(AN531=12,I531,0)</f>
        <v>0</v>
      </c>
      <c r="AL531" s="54">
        <f>IF(AN531=21,I531,0)</f>
        <v>0</v>
      </c>
      <c r="AN531" s="54">
        <v>21</v>
      </c>
      <c r="AO531" s="54">
        <f>H531*0.248514851</f>
        <v>0</v>
      </c>
      <c r="AP531" s="54">
        <f>H531*(1-0.248514851)</f>
        <v>0</v>
      </c>
      <c r="AQ531" s="56" t="s">
        <v>168</v>
      </c>
      <c r="AV531" s="54">
        <f>AW531+AX531</f>
        <v>0</v>
      </c>
      <c r="AW531" s="54">
        <f>G531*AO531</f>
        <v>0</v>
      </c>
      <c r="AX531" s="54">
        <f>G531*AP531</f>
        <v>0</v>
      </c>
      <c r="AY531" s="56" t="s">
        <v>866</v>
      </c>
      <c r="AZ531" s="56" t="s">
        <v>855</v>
      </c>
      <c r="BA531" s="34" t="s">
        <v>114</v>
      </c>
      <c r="BC531" s="54">
        <f>AW531+AX531</f>
        <v>0</v>
      </c>
      <c r="BD531" s="54">
        <f>H531/(100-BE531)*100</f>
        <v>0</v>
      </c>
      <c r="BE531" s="54">
        <v>0</v>
      </c>
      <c r="BF531" s="54">
        <f>L531</f>
        <v>2.9E-4</v>
      </c>
      <c r="BH531" s="54">
        <f>G531*AO531</f>
        <v>0</v>
      </c>
      <c r="BI531" s="54">
        <f>G531*AP531</f>
        <v>0</v>
      </c>
      <c r="BJ531" s="54">
        <f>G531*H531</f>
        <v>0</v>
      </c>
      <c r="BK531" s="54"/>
      <c r="BL531" s="54">
        <v>766</v>
      </c>
      <c r="BW531" s="54">
        <v>21</v>
      </c>
      <c r="BX531" s="3" t="s">
        <v>936</v>
      </c>
    </row>
    <row r="532" spans="1:76" ht="27" customHeight="1" x14ac:dyDescent="0.35">
      <c r="A532" s="57"/>
      <c r="C532" s="62" t="s">
        <v>122</v>
      </c>
      <c r="D532" s="214" t="s">
        <v>937</v>
      </c>
      <c r="E532" s="215"/>
      <c r="F532" s="215"/>
      <c r="G532" s="215"/>
      <c r="H532" s="215"/>
      <c r="I532" s="215"/>
      <c r="J532" s="215"/>
      <c r="K532" s="215"/>
      <c r="L532" s="215"/>
      <c r="M532" s="216"/>
    </row>
    <row r="533" spans="1:76" ht="14.5" x14ac:dyDescent="0.35">
      <c r="A533" s="57"/>
      <c r="D533" s="58" t="s">
        <v>922</v>
      </c>
      <c r="E533" s="59" t="s">
        <v>938</v>
      </c>
      <c r="G533" s="60">
        <v>29</v>
      </c>
      <c r="M533" s="61"/>
    </row>
    <row r="534" spans="1:76" ht="14.5" x14ac:dyDescent="0.35">
      <c r="A534" s="1" t="s">
        <v>939</v>
      </c>
      <c r="B534" s="2" t="s">
        <v>103</v>
      </c>
      <c r="C534" s="2" t="s">
        <v>940</v>
      </c>
      <c r="D534" s="155" t="s">
        <v>941</v>
      </c>
      <c r="E534" s="153"/>
      <c r="F534" s="2" t="s">
        <v>196</v>
      </c>
      <c r="G534" s="54">
        <f>'Stavební rozpočet'!G409</f>
        <v>29</v>
      </c>
      <c r="H534" s="94">
        <f>'Stavební rozpočet'!H409</f>
        <v>0</v>
      </c>
      <c r="I534" s="54">
        <f>G534*H534</f>
        <v>0</v>
      </c>
      <c r="J534" s="54">
        <f>'Stavební rozpočet'!J409</f>
        <v>4.0000000000000001E-3</v>
      </c>
      <c r="K534" s="54">
        <f>'Stavební rozpočet'!K409</f>
        <v>4.0000000000000001E-3</v>
      </c>
      <c r="L534" s="54">
        <f>G534*J534</f>
        <v>0.11600000000000001</v>
      </c>
      <c r="M534" s="55" t="s">
        <v>111</v>
      </c>
      <c r="Z534" s="54">
        <f>IF(AQ534="5",BJ534,0)</f>
        <v>0</v>
      </c>
      <c r="AB534" s="54">
        <f>IF(AQ534="1",BH534,0)</f>
        <v>0</v>
      </c>
      <c r="AC534" s="54">
        <f>IF(AQ534="1",BI534,0)</f>
        <v>0</v>
      </c>
      <c r="AD534" s="54">
        <f>IF(AQ534="7",BH534,0)</f>
        <v>0</v>
      </c>
      <c r="AE534" s="54">
        <f>IF(AQ534="7",BI534,0)</f>
        <v>0</v>
      </c>
      <c r="AF534" s="54">
        <f>IF(AQ534="2",BH534,0)</f>
        <v>0</v>
      </c>
      <c r="AG534" s="54">
        <f>IF(AQ534="2",BI534,0)</f>
        <v>0</v>
      </c>
      <c r="AH534" s="54">
        <f>IF(AQ534="0",BJ534,0)</f>
        <v>0</v>
      </c>
      <c r="AI534" s="34" t="s">
        <v>103</v>
      </c>
      <c r="AJ534" s="54">
        <f>IF(AN534=0,I534,0)</f>
        <v>0</v>
      </c>
      <c r="AK534" s="54">
        <f>IF(AN534=12,I534,0)</f>
        <v>0</v>
      </c>
      <c r="AL534" s="54">
        <f>IF(AN534=21,I534,0)</f>
        <v>0</v>
      </c>
      <c r="AN534" s="54">
        <v>21</v>
      </c>
      <c r="AO534" s="54">
        <f>H534*0</f>
        <v>0</v>
      </c>
      <c r="AP534" s="54">
        <f>H534*(1-0)</f>
        <v>0</v>
      </c>
      <c r="AQ534" s="56" t="s">
        <v>168</v>
      </c>
      <c r="AV534" s="54">
        <f>AW534+AX534</f>
        <v>0</v>
      </c>
      <c r="AW534" s="54">
        <f>G534*AO534</f>
        <v>0</v>
      </c>
      <c r="AX534" s="54">
        <f>G534*AP534</f>
        <v>0</v>
      </c>
      <c r="AY534" s="56" t="s">
        <v>866</v>
      </c>
      <c r="AZ534" s="56" t="s">
        <v>855</v>
      </c>
      <c r="BA534" s="34" t="s">
        <v>114</v>
      </c>
      <c r="BC534" s="54">
        <f>AW534+AX534</f>
        <v>0</v>
      </c>
      <c r="BD534" s="54">
        <f>H534/(100-BE534)*100</f>
        <v>0</v>
      </c>
      <c r="BE534" s="54">
        <v>0</v>
      </c>
      <c r="BF534" s="54">
        <f>L534</f>
        <v>0.11600000000000001</v>
      </c>
      <c r="BH534" s="54">
        <f>G534*AO534</f>
        <v>0</v>
      </c>
      <c r="BI534" s="54">
        <f>G534*AP534</f>
        <v>0</v>
      </c>
      <c r="BJ534" s="54">
        <f>G534*H534</f>
        <v>0</v>
      </c>
      <c r="BK534" s="54"/>
      <c r="BL534" s="54">
        <v>766</v>
      </c>
      <c r="BW534" s="54">
        <v>21</v>
      </c>
      <c r="BX534" s="3" t="s">
        <v>941</v>
      </c>
    </row>
    <row r="535" spans="1:76" ht="13.5" customHeight="1" x14ac:dyDescent="0.35">
      <c r="A535" s="57"/>
      <c r="C535" s="62" t="s">
        <v>122</v>
      </c>
      <c r="D535" s="214" t="s">
        <v>942</v>
      </c>
      <c r="E535" s="215"/>
      <c r="F535" s="215"/>
      <c r="G535" s="215"/>
      <c r="H535" s="215"/>
      <c r="I535" s="215"/>
      <c r="J535" s="215"/>
      <c r="K535" s="215"/>
      <c r="L535" s="215"/>
      <c r="M535" s="216"/>
    </row>
    <row r="536" spans="1:76" ht="14.5" x14ac:dyDescent="0.35">
      <c r="A536" s="57"/>
      <c r="D536" s="58" t="s">
        <v>922</v>
      </c>
      <c r="E536" s="59" t="s">
        <v>943</v>
      </c>
      <c r="G536" s="60">
        <v>29</v>
      </c>
      <c r="M536" s="61"/>
    </row>
    <row r="537" spans="1:76" ht="14.5" x14ac:dyDescent="0.35">
      <c r="A537" s="1" t="s">
        <v>944</v>
      </c>
      <c r="B537" s="2" t="s">
        <v>103</v>
      </c>
      <c r="C537" s="2" t="s">
        <v>945</v>
      </c>
      <c r="D537" s="155" t="s">
        <v>946</v>
      </c>
      <c r="E537" s="153"/>
      <c r="F537" s="2" t="s">
        <v>196</v>
      </c>
      <c r="G537" s="54">
        <f>'Stavební rozpočet'!G411</f>
        <v>29</v>
      </c>
      <c r="H537" s="94">
        <f>'Stavební rozpočet'!H411</f>
        <v>0</v>
      </c>
      <c r="I537" s="54">
        <f>G537*H537</f>
        <v>0</v>
      </c>
      <c r="J537" s="54">
        <f>'Stavební rozpočet'!J411</f>
        <v>1.0000000000000001E-5</v>
      </c>
      <c r="K537" s="54">
        <f>'Stavební rozpočet'!K411</f>
        <v>0</v>
      </c>
      <c r="L537" s="54">
        <f>G537*J537</f>
        <v>2.9E-4</v>
      </c>
      <c r="M537" s="55" t="s">
        <v>111</v>
      </c>
      <c r="Z537" s="54">
        <f>IF(AQ537="5",BJ537,0)</f>
        <v>0</v>
      </c>
      <c r="AB537" s="54">
        <f>IF(AQ537="1",BH537,0)</f>
        <v>0</v>
      </c>
      <c r="AC537" s="54">
        <f>IF(AQ537="1",BI537,0)</f>
        <v>0</v>
      </c>
      <c r="AD537" s="54">
        <f>IF(AQ537="7",BH537,0)</f>
        <v>0</v>
      </c>
      <c r="AE537" s="54">
        <f>IF(AQ537="7",BI537,0)</f>
        <v>0</v>
      </c>
      <c r="AF537" s="54">
        <f>IF(AQ537="2",BH537,0)</f>
        <v>0</v>
      </c>
      <c r="AG537" s="54">
        <f>IF(AQ537="2",BI537,0)</f>
        <v>0</v>
      </c>
      <c r="AH537" s="54">
        <f>IF(AQ537="0",BJ537,0)</f>
        <v>0</v>
      </c>
      <c r="AI537" s="34" t="s">
        <v>103</v>
      </c>
      <c r="AJ537" s="54">
        <f>IF(AN537=0,I537,0)</f>
        <v>0</v>
      </c>
      <c r="AK537" s="54">
        <f>IF(AN537=12,I537,0)</f>
        <v>0</v>
      </c>
      <c r="AL537" s="54">
        <f>IF(AN537=21,I537,0)</f>
        <v>0</v>
      </c>
      <c r="AN537" s="54">
        <v>21</v>
      </c>
      <c r="AO537" s="54">
        <f>H537*0.010339623</f>
        <v>0</v>
      </c>
      <c r="AP537" s="54">
        <f>H537*(1-0.010339623)</f>
        <v>0</v>
      </c>
      <c r="AQ537" s="56" t="s">
        <v>168</v>
      </c>
      <c r="AV537" s="54">
        <f>AW537+AX537</f>
        <v>0</v>
      </c>
      <c r="AW537" s="54">
        <f>G537*AO537</f>
        <v>0</v>
      </c>
      <c r="AX537" s="54">
        <f>G537*AP537</f>
        <v>0</v>
      </c>
      <c r="AY537" s="56" t="s">
        <v>866</v>
      </c>
      <c r="AZ537" s="56" t="s">
        <v>855</v>
      </c>
      <c r="BA537" s="34" t="s">
        <v>114</v>
      </c>
      <c r="BC537" s="54">
        <f>AW537+AX537</f>
        <v>0</v>
      </c>
      <c r="BD537" s="54">
        <f>H537/(100-BE537)*100</f>
        <v>0</v>
      </c>
      <c r="BE537" s="54">
        <v>0</v>
      </c>
      <c r="BF537" s="54">
        <f>L537</f>
        <v>2.9E-4</v>
      </c>
      <c r="BH537" s="54">
        <f>G537*AO537</f>
        <v>0</v>
      </c>
      <c r="BI537" s="54">
        <f>G537*AP537</f>
        <v>0</v>
      </c>
      <c r="BJ537" s="54">
        <f>G537*H537</f>
        <v>0</v>
      </c>
      <c r="BK537" s="54"/>
      <c r="BL537" s="54">
        <v>766</v>
      </c>
      <c r="BW537" s="54">
        <v>21</v>
      </c>
      <c r="BX537" s="3" t="s">
        <v>946</v>
      </c>
    </row>
    <row r="538" spans="1:76" ht="13.5" customHeight="1" x14ac:dyDescent="0.35">
      <c r="A538" s="57"/>
      <c r="C538" s="62" t="s">
        <v>122</v>
      </c>
      <c r="D538" s="214" t="s">
        <v>947</v>
      </c>
      <c r="E538" s="215"/>
      <c r="F538" s="215"/>
      <c r="G538" s="215"/>
      <c r="H538" s="215"/>
      <c r="I538" s="215"/>
      <c r="J538" s="215"/>
      <c r="K538" s="215"/>
      <c r="L538" s="215"/>
      <c r="M538" s="216"/>
    </row>
    <row r="539" spans="1:76" ht="14.5" x14ac:dyDescent="0.35">
      <c r="A539" s="57"/>
      <c r="D539" s="58" t="s">
        <v>922</v>
      </c>
      <c r="E539" s="59" t="s">
        <v>10</v>
      </c>
      <c r="G539" s="60">
        <v>29</v>
      </c>
      <c r="M539" s="61"/>
    </row>
    <row r="540" spans="1:76" ht="14.5" x14ac:dyDescent="0.35">
      <c r="A540" s="1" t="s">
        <v>948</v>
      </c>
      <c r="B540" s="2" t="s">
        <v>103</v>
      </c>
      <c r="C540" s="2" t="s">
        <v>949</v>
      </c>
      <c r="D540" s="155" t="s">
        <v>950</v>
      </c>
      <c r="E540" s="153"/>
      <c r="F540" s="2" t="s">
        <v>481</v>
      </c>
      <c r="G540" s="54">
        <f>'Stavební rozpočet'!G413</f>
        <v>29</v>
      </c>
      <c r="H540" s="94">
        <f>'Stavební rozpočet'!H413</f>
        <v>0</v>
      </c>
      <c r="I540" s="54">
        <f>G540*H540</f>
        <v>0</v>
      </c>
      <c r="J540" s="54">
        <f>'Stavební rozpočet'!J413</f>
        <v>0</v>
      </c>
      <c r="K540" s="54">
        <f>'Stavební rozpočet'!K413</f>
        <v>0</v>
      </c>
      <c r="L540" s="54">
        <f>G540*J540</f>
        <v>0</v>
      </c>
      <c r="M540" s="55" t="s">
        <v>10</v>
      </c>
      <c r="Z540" s="54">
        <f>IF(AQ540="5",BJ540,0)</f>
        <v>0</v>
      </c>
      <c r="AB540" s="54">
        <f>IF(AQ540="1",BH540,0)</f>
        <v>0</v>
      </c>
      <c r="AC540" s="54">
        <f>IF(AQ540="1",BI540,0)</f>
        <v>0</v>
      </c>
      <c r="AD540" s="54">
        <f>IF(AQ540="7",BH540,0)</f>
        <v>0</v>
      </c>
      <c r="AE540" s="54">
        <f>IF(AQ540="7",BI540,0)</f>
        <v>0</v>
      </c>
      <c r="AF540" s="54">
        <f>IF(AQ540="2",BH540,0)</f>
        <v>0</v>
      </c>
      <c r="AG540" s="54">
        <f>IF(AQ540="2",BI540,0)</f>
        <v>0</v>
      </c>
      <c r="AH540" s="54">
        <f>IF(AQ540="0",BJ540,0)</f>
        <v>0</v>
      </c>
      <c r="AI540" s="34" t="s">
        <v>103</v>
      </c>
      <c r="AJ540" s="54">
        <f>IF(AN540=0,I540,0)</f>
        <v>0</v>
      </c>
      <c r="AK540" s="54">
        <f>IF(AN540=12,I540,0)</f>
        <v>0</v>
      </c>
      <c r="AL540" s="54">
        <f>IF(AN540=21,I540,0)</f>
        <v>0</v>
      </c>
      <c r="AN540" s="54">
        <v>21</v>
      </c>
      <c r="AO540" s="54">
        <f>H540*0</f>
        <v>0</v>
      </c>
      <c r="AP540" s="54">
        <f>H540*(1-0)</f>
        <v>0</v>
      </c>
      <c r="AQ540" s="56" t="s">
        <v>168</v>
      </c>
      <c r="AV540" s="54">
        <f>AW540+AX540</f>
        <v>0</v>
      </c>
      <c r="AW540" s="54">
        <f>G540*AO540</f>
        <v>0</v>
      </c>
      <c r="AX540" s="54">
        <f>G540*AP540</f>
        <v>0</v>
      </c>
      <c r="AY540" s="56" t="s">
        <v>866</v>
      </c>
      <c r="AZ540" s="56" t="s">
        <v>855</v>
      </c>
      <c r="BA540" s="34" t="s">
        <v>114</v>
      </c>
      <c r="BC540" s="54">
        <f>AW540+AX540</f>
        <v>0</v>
      </c>
      <c r="BD540" s="54">
        <f>H540/(100-BE540)*100</f>
        <v>0</v>
      </c>
      <c r="BE540" s="54">
        <v>0</v>
      </c>
      <c r="BF540" s="54">
        <f>L540</f>
        <v>0</v>
      </c>
      <c r="BH540" s="54">
        <f>G540*AO540</f>
        <v>0</v>
      </c>
      <c r="BI540" s="54">
        <f>G540*AP540</f>
        <v>0</v>
      </c>
      <c r="BJ540" s="54">
        <f>G540*H540</f>
        <v>0</v>
      </c>
      <c r="BK540" s="54"/>
      <c r="BL540" s="54">
        <v>766</v>
      </c>
      <c r="BW540" s="54">
        <v>21</v>
      </c>
      <c r="BX540" s="3" t="s">
        <v>950</v>
      </c>
    </row>
    <row r="541" spans="1:76" ht="54" customHeight="1" x14ac:dyDescent="0.35">
      <c r="A541" s="57"/>
      <c r="C541" s="62" t="s">
        <v>122</v>
      </c>
      <c r="D541" s="214" t="s">
        <v>951</v>
      </c>
      <c r="E541" s="215"/>
      <c r="F541" s="215"/>
      <c r="G541" s="215"/>
      <c r="H541" s="215"/>
      <c r="I541" s="215"/>
      <c r="J541" s="215"/>
      <c r="K541" s="215"/>
      <c r="L541" s="215"/>
      <c r="M541" s="216"/>
    </row>
    <row r="542" spans="1:76" ht="14.5" x14ac:dyDescent="0.35">
      <c r="A542" s="57"/>
      <c r="D542" s="58" t="s">
        <v>922</v>
      </c>
      <c r="E542" s="59" t="s">
        <v>952</v>
      </c>
      <c r="G542" s="60">
        <v>29</v>
      </c>
      <c r="M542" s="61"/>
    </row>
    <row r="543" spans="1:76" ht="14.5" x14ac:dyDescent="0.35">
      <c r="A543" s="1" t="s">
        <v>953</v>
      </c>
      <c r="B543" s="2" t="s">
        <v>103</v>
      </c>
      <c r="C543" s="2" t="s">
        <v>954</v>
      </c>
      <c r="D543" s="155" t="s">
        <v>955</v>
      </c>
      <c r="E543" s="153"/>
      <c r="F543" s="2" t="s">
        <v>153</v>
      </c>
      <c r="G543" s="54">
        <f>'Stavební rozpočet'!G415</f>
        <v>149.625</v>
      </c>
      <c r="H543" s="94">
        <f>'Stavební rozpočet'!H415</f>
        <v>0</v>
      </c>
      <c r="I543" s="54">
        <f>G543*H543</f>
        <v>0</v>
      </c>
      <c r="J543" s="54">
        <f>'Stavební rozpočet'!J415</f>
        <v>1.6000000000000001E-4</v>
      </c>
      <c r="K543" s="54">
        <f>'Stavební rozpočet'!K415</f>
        <v>0</v>
      </c>
      <c r="L543" s="54">
        <f>G543*J543</f>
        <v>2.3940000000000003E-2</v>
      </c>
      <c r="M543" s="55" t="s">
        <v>111</v>
      </c>
      <c r="Z543" s="54">
        <f>IF(AQ543="5",BJ543,0)</f>
        <v>0</v>
      </c>
      <c r="AB543" s="54">
        <f>IF(AQ543="1",BH543,0)</f>
        <v>0</v>
      </c>
      <c r="AC543" s="54">
        <f>IF(AQ543="1",BI543,0)</f>
        <v>0</v>
      </c>
      <c r="AD543" s="54">
        <f>IF(AQ543="7",BH543,0)</f>
        <v>0</v>
      </c>
      <c r="AE543" s="54">
        <f>IF(AQ543="7",BI543,0)</f>
        <v>0</v>
      </c>
      <c r="AF543" s="54">
        <f>IF(AQ543="2",BH543,0)</f>
        <v>0</v>
      </c>
      <c r="AG543" s="54">
        <f>IF(AQ543="2",BI543,0)</f>
        <v>0</v>
      </c>
      <c r="AH543" s="54">
        <f>IF(AQ543="0",BJ543,0)</f>
        <v>0</v>
      </c>
      <c r="AI543" s="34" t="s">
        <v>103</v>
      </c>
      <c r="AJ543" s="54">
        <f>IF(AN543=0,I543,0)</f>
        <v>0</v>
      </c>
      <c r="AK543" s="54">
        <f>IF(AN543=12,I543,0)</f>
        <v>0</v>
      </c>
      <c r="AL543" s="54">
        <f>IF(AN543=21,I543,0)</f>
        <v>0</v>
      </c>
      <c r="AN543" s="54">
        <v>21</v>
      </c>
      <c r="AO543" s="54">
        <f>H543*0.015402295</f>
        <v>0</v>
      </c>
      <c r="AP543" s="54">
        <f>H543*(1-0.015402295)</f>
        <v>0</v>
      </c>
      <c r="AQ543" s="56" t="s">
        <v>168</v>
      </c>
      <c r="AV543" s="54">
        <f>AW543+AX543</f>
        <v>0</v>
      </c>
      <c r="AW543" s="54">
        <f>G543*AO543</f>
        <v>0</v>
      </c>
      <c r="AX543" s="54">
        <f>G543*AP543</f>
        <v>0</v>
      </c>
      <c r="AY543" s="56" t="s">
        <v>866</v>
      </c>
      <c r="AZ543" s="56" t="s">
        <v>855</v>
      </c>
      <c r="BA543" s="34" t="s">
        <v>114</v>
      </c>
      <c r="BC543" s="54">
        <f>AW543+AX543</f>
        <v>0</v>
      </c>
      <c r="BD543" s="54">
        <f>H543/(100-BE543)*100</f>
        <v>0</v>
      </c>
      <c r="BE543" s="54">
        <v>0</v>
      </c>
      <c r="BF543" s="54">
        <f>L543</f>
        <v>2.3940000000000003E-2</v>
      </c>
      <c r="BH543" s="54">
        <f>G543*AO543</f>
        <v>0</v>
      </c>
      <c r="BI543" s="54">
        <f>G543*AP543</f>
        <v>0</v>
      </c>
      <c r="BJ543" s="54">
        <f>G543*H543</f>
        <v>0</v>
      </c>
      <c r="BK543" s="54"/>
      <c r="BL543" s="54">
        <v>766</v>
      </c>
      <c r="BW543" s="54">
        <v>21</v>
      </c>
      <c r="BX543" s="3" t="s">
        <v>955</v>
      </c>
    </row>
    <row r="544" spans="1:76" ht="13.5" customHeight="1" x14ac:dyDescent="0.35">
      <c r="A544" s="57"/>
      <c r="C544" s="62" t="s">
        <v>122</v>
      </c>
      <c r="D544" s="214" t="s">
        <v>956</v>
      </c>
      <c r="E544" s="215"/>
      <c r="F544" s="215"/>
      <c r="G544" s="215"/>
      <c r="H544" s="215"/>
      <c r="I544" s="215"/>
      <c r="J544" s="215"/>
      <c r="K544" s="215"/>
      <c r="L544" s="215"/>
      <c r="M544" s="216"/>
    </row>
    <row r="545" spans="1:76" ht="14.5" x14ac:dyDescent="0.35">
      <c r="A545" s="57"/>
      <c r="D545" s="58" t="s">
        <v>957</v>
      </c>
      <c r="E545" s="59" t="s">
        <v>10</v>
      </c>
      <c r="G545" s="60">
        <v>119.7</v>
      </c>
      <c r="M545" s="61"/>
    </row>
    <row r="546" spans="1:76" ht="14.5" x14ac:dyDescent="0.35">
      <c r="A546" s="57"/>
      <c r="D546" s="58" t="s">
        <v>958</v>
      </c>
      <c r="E546" s="59" t="s">
        <v>10</v>
      </c>
      <c r="G546" s="60">
        <v>24.15</v>
      </c>
      <c r="M546" s="61"/>
    </row>
    <row r="547" spans="1:76" ht="14.5" x14ac:dyDescent="0.35">
      <c r="A547" s="57"/>
      <c r="D547" s="58" t="s">
        <v>959</v>
      </c>
      <c r="E547" s="59" t="s">
        <v>10</v>
      </c>
      <c r="G547" s="60">
        <v>5.7750000000000004</v>
      </c>
      <c r="M547" s="61"/>
    </row>
    <row r="548" spans="1:76" ht="14.5" x14ac:dyDescent="0.35">
      <c r="A548" s="1" t="s">
        <v>960</v>
      </c>
      <c r="B548" s="2" t="s">
        <v>103</v>
      </c>
      <c r="C548" s="2" t="s">
        <v>961</v>
      </c>
      <c r="D548" s="155" t="s">
        <v>962</v>
      </c>
      <c r="E548" s="153"/>
      <c r="F548" s="2" t="s">
        <v>153</v>
      </c>
      <c r="G548" s="54">
        <f>'Stavební rozpočet'!G419</f>
        <v>34.776000000000003</v>
      </c>
      <c r="H548" s="94">
        <f>'Stavební rozpočet'!H419</f>
        <v>0</v>
      </c>
      <c r="I548" s="54">
        <f>G548*H548</f>
        <v>0</v>
      </c>
      <c r="J548" s="54">
        <f>'Stavební rozpočet'!J419</f>
        <v>1.6000000000000001E-4</v>
      </c>
      <c r="K548" s="54">
        <f>'Stavební rozpočet'!K419</f>
        <v>0</v>
      </c>
      <c r="L548" s="54">
        <f>G548*J548</f>
        <v>5.5641600000000012E-3</v>
      </c>
      <c r="M548" s="55" t="s">
        <v>616</v>
      </c>
      <c r="Z548" s="54">
        <f>IF(AQ548="5",BJ548,0)</f>
        <v>0</v>
      </c>
      <c r="AB548" s="54">
        <f>IF(AQ548="1",BH548,0)</f>
        <v>0</v>
      </c>
      <c r="AC548" s="54">
        <f>IF(AQ548="1",BI548,0)</f>
        <v>0</v>
      </c>
      <c r="AD548" s="54">
        <f>IF(AQ548="7",BH548,0)</f>
        <v>0</v>
      </c>
      <c r="AE548" s="54">
        <f>IF(AQ548="7",BI548,0)</f>
        <v>0</v>
      </c>
      <c r="AF548" s="54">
        <f>IF(AQ548="2",BH548,0)</f>
        <v>0</v>
      </c>
      <c r="AG548" s="54">
        <f>IF(AQ548="2",BI548,0)</f>
        <v>0</v>
      </c>
      <c r="AH548" s="54">
        <f>IF(AQ548="0",BJ548,0)</f>
        <v>0</v>
      </c>
      <c r="AI548" s="34" t="s">
        <v>103</v>
      </c>
      <c r="AJ548" s="54">
        <f>IF(AN548=0,I548,0)</f>
        <v>0</v>
      </c>
      <c r="AK548" s="54">
        <f>IF(AN548=12,I548,0)</f>
        <v>0</v>
      </c>
      <c r="AL548" s="54">
        <f>IF(AN548=21,I548,0)</f>
        <v>0</v>
      </c>
      <c r="AN548" s="54">
        <v>21</v>
      </c>
      <c r="AO548" s="54">
        <f>H548*0.015402287</f>
        <v>0</v>
      </c>
      <c r="AP548" s="54">
        <f>H548*(1-0.015402287)</f>
        <v>0</v>
      </c>
      <c r="AQ548" s="56" t="s">
        <v>168</v>
      </c>
      <c r="AV548" s="54">
        <f>AW548+AX548</f>
        <v>0</v>
      </c>
      <c r="AW548" s="54">
        <f>G548*AO548</f>
        <v>0</v>
      </c>
      <c r="AX548" s="54">
        <f>G548*AP548</f>
        <v>0</v>
      </c>
      <c r="AY548" s="56" t="s">
        <v>866</v>
      </c>
      <c r="AZ548" s="56" t="s">
        <v>855</v>
      </c>
      <c r="BA548" s="34" t="s">
        <v>114</v>
      </c>
      <c r="BC548" s="54">
        <f>AW548+AX548</f>
        <v>0</v>
      </c>
      <c r="BD548" s="54">
        <f>H548/(100-BE548)*100</f>
        <v>0</v>
      </c>
      <c r="BE548" s="54">
        <v>0</v>
      </c>
      <c r="BF548" s="54">
        <f>L548</f>
        <v>5.5641600000000012E-3</v>
      </c>
      <c r="BH548" s="54">
        <f>G548*AO548</f>
        <v>0</v>
      </c>
      <c r="BI548" s="54">
        <f>G548*AP548</f>
        <v>0</v>
      </c>
      <c r="BJ548" s="54">
        <f>G548*H548</f>
        <v>0</v>
      </c>
      <c r="BK548" s="54"/>
      <c r="BL548" s="54">
        <v>766</v>
      </c>
      <c r="BW548" s="54">
        <v>21</v>
      </c>
      <c r="BX548" s="3" t="s">
        <v>962</v>
      </c>
    </row>
    <row r="549" spans="1:76" ht="14.5" x14ac:dyDescent="0.35">
      <c r="A549" s="57"/>
      <c r="D549" s="58" t="s">
        <v>963</v>
      </c>
      <c r="E549" s="59" t="s">
        <v>10</v>
      </c>
      <c r="G549" s="60">
        <v>34.776000000000003</v>
      </c>
      <c r="M549" s="61"/>
    </row>
    <row r="550" spans="1:76" ht="14.5" x14ac:dyDescent="0.35">
      <c r="A550" s="1" t="s">
        <v>964</v>
      </c>
      <c r="B550" s="2" t="s">
        <v>103</v>
      </c>
      <c r="C550" s="2" t="s">
        <v>965</v>
      </c>
      <c r="D550" s="155" t="s">
        <v>966</v>
      </c>
      <c r="E550" s="153"/>
      <c r="F550" s="2" t="s">
        <v>412</v>
      </c>
      <c r="G550" s="54">
        <f>'Stavební rozpočet'!G421</f>
        <v>2.633</v>
      </c>
      <c r="H550" s="94">
        <f>'Stavební rozpočet'!H421</f>
        <v>0</v>
      </c>
      <c r="I550" s="54">
        <f>G550*H550</f>
        <v>0</v>
      </c>
      <c r="J550" s="54">
        <f>'Stavební rozpočet'!J421</f>
        <v>0</v>
      </c>
      <c r="K550" s="54">
        <f>'Stavební rozpočet'!K421</f>
        <v>0</v>
      </c>
      <c r="L550" s="54">
        <f>G550*J550</f>
        <v>0</v>
      </c>
      <c r="M550" s="55" t="s">
        <v>111</v>
      </c>
      <c r="Z550" s="54">
        <f>IF(AQ550="5",BJ550,0)</f>
        <v>0</v>
      </c>
      <c r="AB550" s="54">
        <f>IF(AQ550="1",BH550,0)</f>
        <v>0</v>
      </c>
      <c r="AC550" s="54">
        <f>IF(AQ550="1",BI550,0)</f>
        <v>0</v>
      </c>
      <c r="AD550" s="54">
        <f>IF(AQ550="7",BH550,0)</f>
        <v>0</v>
      </c>
      <c r="AE550" s="54">
        <f>IF(AQ550="7",BI550,0)</f>
        <v>0</v>
      </c>
      <c r="AF550" s="54">
        <f>IF(AQ550="2",BH550,0)</f>
        <v>0</v>
      </c>
      <c r="AG550" s="54">
        <f>IF(AQ550="2",BI550,0)</f>
        <v>0</v>
      </c>
      <c r="AH550" s="54">
        <f>IF(AQ550="0",BJ550,0)</f>
        <v>0</v>
      </c>
      <c r="AI550" s="34" t="s">
        <v>103</v>
      </c>
      <c r="AJ550" s="54">
        <f>IF(AN550=0,I550,0)</f>
        <v>0</v>
      </c>
      <c r="AK550" s="54">
        <f>IF(AN550=12,I550,0)</f>
        <v>0</v>
      </c>
      <c r="AL550" s="54">
        <f>IF(AN550=21,I550,0)</f>
        <v>0</v>
      </c>
      <c r="AN550" s="54">
        <v>21</v>
      </c>
      <c r="AO550" s="54">
        <f>H550*0</f>
        <v>0</v>
      </c>
      <c r="AP550" s="54">
        <f>H550*(1-0)</f>
        <v>0</v>
      </c>
      <c r="AQ550" s="56" t="s">
        <v>150</v>
      </c>
      <c r="AV550" s="54">
        <f>AW550+AX550</f>
        <v>0</v>
      </c>
      <c r="AW550" s="54">
        <f>G550*AO550</f>
        <v>0</v>
      </c>
      <c r="AX550" s="54">
        <f>G550*AP550</f>
        <v>0</v>
      </c>
      <c r="AY550" s="56" t="s">
        <v>866</v>
      </c>
      <c r="AZ550" s="56" t="s">
        <v>855</v>
      </c>
      <c r="BA550" s="34" t="s">
        <v>114</v>
      </c>
      <c r="BC550" s="54">
        <f>AW550+AX550</f>
        <v>0</v>
      </c>
      <c r="BD550" s="54">
        <f>H550/(100-BE550)*100</f>
        <v>0</v>
      </c>
      <c r="BE550" s="54">
        <v>0</v>
      </c>
      <c r="BF550" s="54">
        <f>L550</f>
        <v>0</v>
      </c>
      <c r="BH550" s="54">
        <f>G550*AO550</f>
        <v>0</v>
      </c>
      <c r="BI550" s="54">
        <f>G550*AP550</f>
        <v>0</v>
      </c>
      <c r="BJ550" s="54">
        <f>G550*H550</f>
        <v>0</v>
      </c>
      <c r="BK550" s="54"/>
      <c r="BL550" s="54">
        <v>766</v>
      </c>
      <c r="BW550" s="54">
        <v>21</v>
      </c>
      <c r="BX550" s="3" t="s">
        <v>966</v>
      </c>
    </row>
    <row r="551" spans="1:76" ht="25" x14ac:dyDescent="0.35">
      <c r="A551" s="1" t="s">
        <v>967</v>
      </c>
      <c r="B551" s="2" t="s">
        <v>103</v>
      </c>
      <c r="C551" s="2" t="s">
        <v>968</v>
      </c>
      <c r="D551" s="155" t="s">
        <v>969</v>
      </c>
      <c r="E551" s="153"/>
      <c r="F551" s="2" t="s">
        <v>581</v>
      </c>
      <c r="G551" s="54">
        <f>'Stavební rozpočet'!G422</f>
        <v>1</v>
      </c>
      <c r="H551" s="94">
        <f>'Stavební rozpočet'!H422</f>
        <v>0</v>
      </c>
      <c r="I551" s="54">
        <f>G551*H551</f>
        <v>0</v>
      </c>
      <c r="J551" s="54">
        <f>'Stavební rozpočet'!J422</f>
        <v>0</v>
      </c>
      <c r="K551" s="54">
        <f>'Stavební rozpočet'!K422</f>
        <v>0</v>
      </c>
      <c r="L551" s="54">
        <f>G551*J551</f>
        <v>0</v>
      </c>
      <c r="M551" s="55" t="s">
        <v>616</v>
      </c>
      <c r="Z551" s="54">
        <f>IF(AQ551="5",BJ551,0)</f>
        <v>0</v>
      </c>
      <c r="AB551" s="54">
        <f>IF(AQ551="1",BH551,0)</f>
        <v>0</v>
      </c>
      <c r="AC551" s="54">
        <f>IF(AQ551="1",BI551,0)</f>
        <v>0</v>
      </c>
      <c r="AD551" s="54">
        <f>IF(AQ551="7",BH551,0)</f>
        <v>0</v>
      </c>
      <c r="AE551" s="54">
        <f>IF(AQ551="7",BI551,0)</f>
        <v>0</v>
      </c>
      <c r="AF551" s="54">
        <f>IF(AQ551="2",BH551,0)</f>
        <v>0</v>
      </c>
      <c r="AG551" s="54">
        <f>IF(AQ551="2",BI551,0)</f>
        <v>0</v>
      </c>
      <c r="AH551" s="54">
        <f>IF(AQ551="0",BJ551,0)</f>
        <v>0</v>
      </c>
      <c r="AI551" s="34" t="s">
        <v>103</v>
      </c>
      <c r="AJ551" s="54">
        <f>IF(AN551=0,I551,0)</f>
        <v>0</v>
      </c>
      <c r="AK551" s="54">
        <f>IF(AN551=12,I551,0)</f>
        <v>0</v>
      </c>
      <c r="AL551" s="54">
        <f>IF(AN551=21,I551,0)</f>
        <v>0</v>
      </c>
      <c r="AN551" s="54">
        <v>21</v>
      </c>
      <c r="AO551" s="54">
        <f>H551*0</f>
        <v>0</v>
      </c>
      <c r="AP551" s="54">
        <f>H551*(1-0)</f>
        <v>0</v>
      </c>
      <c r="AQ551" s="56" t="s">
        <v>150</v>
      </c>
      <c r="AV551" s="54">
        <f>AW551+AX551</f>
        <v>0</v>
      </c>
      <c r="AW551" s="54">
        <f>G551*AO551</f>
        <v>0</v>
      </c>
      <c r="AX551" s="54">
        <f>G551*AP551</f>
        <v>0</v>
      </c>
      <c r="AY551" s="56" t="s">
        <v>866</v>
      </c>
      <c r="AZ551" s="56" t="s">
        <v>855</v>
      </c>
      <c r="BA551" s="34" t="s">
        <v>114</v>
      </c>
      <c r="BC551" s="54">
        <f>AW551+AX551</f>
        <v>0</v>
      </c>
      <c r="BD551" s="54">
        <f>H551/(100-BE551)*100</f>
        <v>0</v>
      </c>
      <c r="BE551" s="54">
        <v>0</v>
      </c>
      <c r="BF551" s="54">
        <f>L551</f>
        <v>0</v>
      </c>
      <c r="BH551" s="54">
        <f>G551*AO551</f>
        <v>0</v>
      </c>
      <c r="BI551" s="54">
        <f>G551*AP551</f>
        <v>0</v>
      </c>
      <c r="BJ551" s="54">
        <f>G551*H551</f>
        <v>0</v>
      </c>
      <c r="BK551" s="54"/>
      <c r="BL551" s="54">
        <v>766</v>
      </c>
      <c r="BW551" s="54">
        <v>21</v>
      </c>
      <c r="BX551" s="3" t="s">
        <v>969</v>
      </c>
    </row>
    <row r="552" spans="1:76" ht="27" customHeight="1" x14ac:dyDescent="0.35">
      <c r="A552" s="57"/>
      <c r="C552" s="62" t="s">
        <v>122</v>
      </c>
      <c r="D552" s="214" t="s">
        <v>970</v>
      </c>
      <c r="E552" s="215"/>
      <c r="F552" s="215"/>
      <c r="G552" s="215"/>
      <c r="H552" s="215"/>
      <c r="I552" s="215"/>
      <c r="J552" s="215"/>
      <c r="K552" s="215"/>
      <c r="L552" s="215"/>
      <c r="M552" s="216"/>
    </row>
    <row r="553" spans="1:76" ht="14.5" x14ac:dyDescent="0.35">
      <c r="A553" s="57"/>
      <c r="D553" s="58" t="s">
        <v>107</v>
      </c>
      <c r="E553" s="59" t="s">
        <v>971</v>
      </c>
      <c r="G553" s="60">
        <v>1</v>
      </c>
      <c r="M553" s="61"/>
    </row>
    <row r="554" spans="1:76" ht="14.5" x14ac:dyDescent="0.35">
      <c r="A554" s="50" t="s">
        <v>10</v>
      </c>
      <c r="B554" s="51" t="s">
        <v>103</v>
      </c>
      <c r="C554" s="51" t="s">
        <v>972</v>
      </c>
      <c r="D554" s="206" t="s">
        <v>973</v>
      </c>
      <c r="E554" s="207"/>
      <c r="F554" s="52" t="s">
        <v>84</v>
      </c>
      <c r="G554" s="52" t="s">
        <v>84</v>
      </c>
      <c r="H554" s="52" t="s">
        <v>84</v>
      </c>
      <c r="I554" s="27">
        <f>SUM(I555:I555)</f>
        <v>0</v>
      </c>
      <c r="J554" s="34" t="s">
        <v>10</v>
      </c>
      <c r="K554" s="34" t="s">
        <v>10</v>
      </c>
      <c r="L554" s="27">
        <f>SUM(L555:L555)</f>
        <v>2.4379999999999999E-2</v>
      </c>
      <c r="M554" s="53" t="s">
        <v>10</v>
      </c>
      <c r="AI554" s="34" t="s">
        <v>103</v>
      </c>
      <c r="AS554" s="27">
        <f>SUM(AJ555:AJ555)</f>
        <v>0</v>
      </c>
      <c r="AT554" s="27">
        <f>SUM(AK555:AK555)</f>
        <v>0</v>
      </c>
      <c r="AU554" s="27">
        <f>SUM(AL555:AL555)</f>
        <v>0</v>
      </c>
    </row>
    <row r="555" spans="1:76" ht="14.5" x14ac:dyDescent="0.35">
      <c r="A555" s="1" t="s">
        <v>974</v>
      </c>
      <c r="B555" s="2" t="s">
        <v>103</v>
      </c>
      <c r="C555" s="2" t="s">
        <v>975</v>
      </c>
      <c r="D555" s="155" t="s">
        <v>976</v>
      </c>
      <c r="E555" s="153"/>
      <c r="F555" s="2" t="s">
        <v>977</v>
      </c>
      <c r="G555" s="54">
        <f>'Stavební rozpočet'!G425</f>
        <v>23</v>
      </c>
      <c r="H555" s="94">
        <f>'Stavební rozpočet'!H425</f>
        <v>0</v>
      </c>
      <c r="I555" s="54">
        <f>G555*H555</f>
        <v>0</v>
      </c>
      <c r="J555" s="54">
        <f>'Stavební rozpočet'!J425</f>
        <v>1.06E-3</v>
      </c>
      <c r="K555" s="54">
        <f>'Stavební rozpočet'!K425</f>
        <v>1E-3</v>
      </c>
      <c r="L555" s="54">
        <f>G555*J555</f>
        <v>2.4379999999999999E-2</v>
      </c>
      <c r="M555" s="55" t="s">
        <v>111</v>
      </c>
      <c r="Z555" s="54">
        <f>IF(AQ555="5",BJ555,0)</f>
        <v>0</v>
      </c>
      <c r="AB555" s="54">
        <f>IF(AQ555="1",BH555,0)</f>
        <v>0</v>
      </c>
      <c r="AC555" s="54">
        <f>IF(AQ555="1",BI555,0)</f>
        <v>0</v>
      </c>
      <c r="AD555" s="54">
        <f>IF(AQ555="7",BH555,0)</f>
        <v>0</v>
      </c>
      <c r="AE555" s="54">
        <f>IF(AQ555="7",BI555,0)</f>
        <v>0</v>
      </c>
      <c r="AF555" s="54">
        <f>IF(AQ555="2",BH555,0)</f>
        <v>0</v>
      </c>
      <c r="AG555" s="54">
        <f>IF(AQ555="2",BI555,0)</f>
        <v>0</v>
      </c>
      <c r="AH555" s="54">
        <f>IF(AQ555="0",BJ555,0)</f>
        <v>0</v>
      </c>
      <c r="AI555" s="34" t="s">
        <v>103</v>
      </c>
      <c r="AJ555" s="54">
        <f>IF(AN555=0,I555,0)</f>
        <v>0</v>
      </c>
      <c r="AK555" s="54">
        <f>IF(AN555=12,I555,0)</f>
        <v>0</v>
      </c>
      <c r="AL555" s="54">
        <f>IF(AN555=21,I555,0)</f>
        <v>0</v>
      </c>
      <c r="AN555" s="54">
        <v>21</v>
      </c>
      <c r="AO555" s="54">
        <f>H555*0.196373057</f>
        <v>0</v>
      </c>
      <c r="AP555" s="54">
        <f>H555*(1-0.196373057)</f>
        <v>0</v>
      </c>
      <c r="AQ555" s="56" t="s">
        <v>168</v>
      </c>
      <c r="AV555" s="54">
        <f>AW555+AX555</f>
        <v>0</v>
      </c>
      <c r="AW555" s="54">
        <f>G555*AO555</f>
        <v>0</v>
      </c>
      <c r="AX555" s="54">
        <f>G555*AP555</f>
        <v>0</v>
      </c>
      <c r="AY555" s="56" t="s">
        <v>978</v>
      </c>
      <c r="AZ555" s="56" t="s">
        <v>855</v>
      </c>
      <c r="BA555" s="34" t="s">
        <v>114</v>
      </c>
      <c r="BC555" s="54">
        <f>AW555+AX555</f>
        <v>0</v>
      </c>
      <c r="BD555" s="54">
        <f>H555/(100-BE555)*100</f>
        <v>0</v>
      </c>
      <c r="BE555" s="54">
        <v>0</v>
      </c>
      <c r="BF555" s="54">
        <f>L555</f>
        <v>2.4379999999999999E-2</v>
      </c>
      <c r="BH555" s="54">
        <f>G555*AO555</f>
        <v>0</v>
      </c>
      <c r="BI555" s="54">
        <f>G555*AP555</f>
        <v>0</v>
      </c>
      <c r="BJ555" s="54">
        <f>G555*H555</f>
        <v>0</v>
      </c>
      <c r="BK555" s="54"/>
      <c r="BL555" s="54">
        <v>767</v>
      </c>
      <c r="BW555" s="54">
        <v>21</v>
      </c>
      <c r="BX555" s="3" t="s">
        <v>976</v>
      </c>
    </row>
    <row r="556" spans="1:76" ht="14.5" x14ac:dyDescent="0.35">
      <c r="A556" s="57"/>
      <c r="D556" s="58" t="s">
        <v>208</v>
      </c>
      <c r="E556" s="59" t="s">
        <v>979</v>
      </c>
      <c r="G556" s="60">
        <v>0</v>
      </c>
      <c r="M556" s="61"/>
    </row>
    <row r="557" spans="1:76" ht="14.5" x14ac:dyDescent="0.35">
      <c r="A557" s="57"/>
      <c r="D557" s="58" t="s">
        <v>354</v>
      </c>
      <c r="E557" s="59" t="s">
        <v>980</v>
      </c>
      <c r="G557" s="60">
        <v>11</v>
      </c>
      <c r="M557" s="61"/>
    </row>
    <row r="558" spans="1:76" ht="14.5" x14ac:dyDescent="0.35">
      <c r="A558" s="57"/>
      <c r="D558" s="58" t="s">
        <v>981</v>
      </c>
      <c r="E558" s="59" t="s">
        <v>982</v>
      </c>
      <c r="G558" s="60">
        <v>5</v>
      </c>
      <c r="M558" s="61"/>
    </row>
    <row r="559" spans="1:76" ht="14.5" x14ac:dyDescent="0.35">
      <c r="A559" s="57"/>
      <c r="D559" s="58" t="s">
        <v>983</v>
      </c>
      <c r="E559" s="59" t="s">
        <v>984</v>
      </c>
      <c r="G559" s="60">
        <v>7</v>
      </c>
      <c r="M559" s="61"/>
    </row>
    <row r="560" spans="1:76" ht="14.5" x14ac:dyDescent="0.35">
      <c r="A560" s="50" t="s">
        <v>10</v>
      </c>
      <c r="B560" s="51" t="s">
        <v>103</v>
      </c>
      <c r="C560" s="51" t="s">
        <v>985</v>
      </c>
      <c r="D560" s="206" t="s">
        <v>986</v>
      </c>
      <c r="E560" s="207"/>
      <c r="F560" s="52" t="s">
        <v>84</v>
      </c>
      <c r="G560" s="52" t="s">
        <v>84</v>
      </c>
      <c r="H560" s="52" t="s">
        <v>84</v>
      </c>
      <c r="I560" s="27">
        <f>SUM(I561:I619)</f>
        <v>0</v>
      </c>
      <c r="J560" s="34" t="s">
        <v>10</v>
      </c>
      <c r="K560" s="34" t="s">
        <v>10</v>
      </c>
      <c r="L560" s="27">
        <f>SUM(L561:L619)</f>
        <v>6.4211432799999999</v>
      </c>
      <c r="M560" s="53" t="s">
        <v>10</v>
      </c>
      <c r="AI560" s="34" t="s">
        <v>103</v>
      </c>
      <c r="AS560" s="27">
        <f>SUM(AJ561:AJ619)</f>
        <v>0</v>
      </c>
      <c r="AT560" s="27">
        <f>SUM(AK561:AK619)</f>
        <v>0</v>
      </c>
      <c r="AU560" s="27">
        <f>SUM(AL561:AL619)</f>
        <v>0</v>
      </c>
    </row>
    <row r="561" spans="1:76" ht="14.5" x14ac:dyDescent="0.35">
      <c r="A561" s="1" t="s">
        <v>987</v>
      </c>
      <c r="B561" s="2" t="s">
        <v>103</v>
      </c>
      <c r="C561" s="2" t="s">
        <v>988</v>
      </c>
      <c r="D561" s="155" t="s">
        <v>989</v>
      </c>
      <c r="E561" s="153"/>
      <c r="F561" s="2" t="s">
        <v>110</v>
      </c>
      <c r="G561" s="54">
        <f>'Stavební rozpočet'!G431</f>
        <v>170.79900000000001</v>
      </c>
      <c r="H561" s="94">
        <f>'Stavební rozpočet'!H431</f>
        <v>0</v>
      </c>
      <c r="I561" s="54">
        <f>G561*H561</f>
        <v>0</v>
      </c>
      <c r="J561" s="54">
        <f>'Stavební rozpočet'!J431</f>
        <v>9.1900000000000003E-3</v>
      </c>
      <c r="K561" s="54">
        <f>'Stavební rozpočet'!K431</f>
        <v>0</v>
      </c>
      <c r="L561" s="54">
        <f>G561*J561</f>
        <v>1.5696428100000002</v>
      </c>
      <c r="M561" s="55" t="s">
        <v>111</v>
      </c>
      <c r="Z561" s="54">
        <f>IF(AQ561="5",BJ561,0)</f>
        <v>0</v>
      </c>
      <c r="AB561" s="54">
        <f>IF(AQ561="1",BH561,0)</f>
        <v>0</v>
      </c>
      <c r="AC561" s="54">
        <f>IF(AQ561="1",BI561,0)</f>
        <v>0</v>
      </c>
      <c r="AD561" s="54">
        <f>IF(AQ561="7",BH561,0)</f>
        <v>0</v>
      </c>
      <c r="AE561" s="54">
        <f>IF(AQ561="7",BI561,0)</f>
        <v>0</v>
      </c>
      <c r="AF561" s="54">
        <f>IF(AQ561="2",BH561,0)</f>
        <v>0</v>
      </c>
      <c r="AG561" s="54">
        <f>IF(AQ561="2",BI561,0)</f>
        <v>0</v>
      </c>
      <c r="AH561" s="54">
        <f>IF(AQ561="0",BJ561,0)</f>
        <v>0</v>
      </c>
      <c r="AI561" s="34" t="s">
        <v>103</v>
      </c>
      <c r="AJ561" s="54">
        <f>IF(AN561=0,I561,0)</f>
        <v>0</v>
      </c>
      <c r="AK561" s="54">
        <f>IF(AN561=12,I561,0)</f>
        <v>0</v>
      </c>
      <c r="AL561" s="54">
        <f>IF(AN561=21,I561,0)</f>
        <v>0</v>
      </c>
      <c r="AN561" s="54">
        <v>21</v>
      </c>
      <c r="AO561" s="54">
        <f>H561*0.442246464</f>
        <v>0</v>
      </c>
      <c r="AP561" s="54">
        <f>H561*(1-0.442246464)</f>
        <v>0</v>
      </c>
      <c r="AQ561" s="56" t="s">
        <v>168</v>
      </c>
      <c r="AV561" s="54">
        <f>AW561+AX561</f>
        <v>0</v>
      </c>
      <c r="AW561" s="54">
        <f>G561*AO561</f>
        <v>0</v>
      </c>
      <c r="AX561" s="54">
        <f>G561*AP561</f>
        <v>0</v>
      </c>
      <c r="AY561" s="56" t="s">
        <v>990</v>
      </c>
      <c r="AZ561" s="56" t="s">
        <v>991</v>
      </c>
      <c r="BA561" s="34" t="s">
        <v>114</v>
      </c>
      <c r="BC561" s="54">
        <f>AW561+AX561</f>
        <v>0</v>
      </c>
      <c r="BD561" s="54">
        <f>H561/(100-BE561)*100</f>
        <v>0</v>
      </c>
      <c r="BE561" s="54">
        <v>0</v>
      </c>
      <c r="BF561" s="54">
        <f>L561</f>
        <v>1.5696428100000002</v>
      </c>
      <c r="BH561" s="54">
        <f>G561*AO561</f>
        <v>0</v>
      </c>
      <c r="BI561" s="54">
        <f>G561*AP561</f>
        <v>0</v>
      </c>
      <c r="BJ561" s="54">
        <f>G561*H561</f>
        <v>0</v>
      </c>
      <c r="BK561" s="54"/>
      <c r="BL561" s="54">
        <v>771</v>
      </c>
      <c r="BW561" s="54">
        <v>21</v>
      </c>
      <c r="BX561" s="3" t="s">
        <v>989</v>
      </c>
    </row>
    <row r="562" spans="1:76" ht="13.5" customHeight="1" x14ac:dyDescent="0.35">
      <c r="A562" s="57"/>
      <c r="C562" s="62" t="s">
        <v>122</v>
      </c>
      <c r="D562" s="214" t="s">
        <v>992</v>
      </c>
      <c r="E562" s="215"/>
      <c r="F562" s="215"/>
      <c r="G562" s="215"/>
      <c r="H562" s="215"/>
      <c r="I562" s="215"/>
      <c r="J562" s="215"/>
      <c r="K562" s="215"/>
      <c r="L562" s="215"/>
      <c r="M562" s="216"/>
    </row>
    <row r="563" spans="1:76" ht="14.5" x14ac:dyDescent="0.35">
      <c r="A563" s="57"/>
      <c r="D563" s="58" t="s">
        <v>993</v>
      </c>
      <c r="E563" s="59" t="s">
        <v>994</v>
      </c>
      <c r="G563" s="60">
        <v>40.939</v>
      </c>
      <c r="M563" s="61"/>
    </row>
    <row r="564" spans="1:76" ht="14.5" x14ac:dyDescent="0.35">
      <c r="A564" s="57"/>
      <c r="D564" s="58" t="s">
        <v>10</v>
      </c>
      <c r="E564" s="59" t="s">
        <v>995</v>
      </c>
      <c r="G564" s="60">
        <v>0</v>
      </c>
      <c r="M564" s="61"/>
    </row>
    <row r="565" spans="1:76" ht="14.5" x14ac:dyDescent="0.35">
      <c r="A565" s="57"/>
      <c r="D565" s="58" t="s">
        <v>996</v>
      </c>
      <c r="E565" s="59" t="s">
        <v>997</v>
      </c>
      <c r="G565" s="60">
        <v>88.58</v>
      </c>
      <c r="M565" s="61"/>
    </row>
    <row r="566" spans="1:76" ht="14.5" x14ac:dyDescent="0.35">
      <c r="A566" s="57"/>
      <c r="D566" s="58" t="s">
        <v>336</v>
      </c>
      <c r="E566" s="59" t="s">
        <v>337</v>
      </c>
      <c r="G566" s="60">
        <v>22.54</v>
      </c>
      <c r="M566" s="61"/>
    </row>
    <row r="567" spans="1:76" ht="14.5" x14ac:dyDescent="0.35">
      <c r="A567" s="57"/>
      <c r="D567" s="58" t="s">
        <v>338</v>
      </c>
      <c r="E567" s="59" t="s">
        <v>339</v>
      </c>
      <c r="G567" s="60">
        <v>17.23</v>
      </c>
      <c r="M567" s="61"/>
    </row>
    <row r="568" spans="1:76" ht="14.5" x14ac:dyDescent="0.35">
      <c r="A568" s="57"/>
      <c r="D568" s="58" t="s">
        <v>341</v>
      </c>
      <c r="E568" s="59" t="s">
        <v>342</v>
      </c>
      <c r="G568" s="60">
        <v>1.51</v>
      </c>
      <c r="M568" s="61"/>
    </row>
    <row r="569" spans="1:76" ht="14.5" x14ac:dyDescent="0.35">
      <c r="A569" s="57"/>
      <c r="C569" s="62" t="s">
        <v>156</v>
      </c>
      <c r="D569" s="211" t="s">
        <v>998</v>
      </c>
      <c r="E569" s="212"/>
      <c r="F569" s="212"/>
      <c r="G569" s="212"/>
      <c r="H569" s="212"/>
      <c r="I569" s="212"/>
      <c r="J569" s="212"/>
      <c r="K569" s="212"/>
      <c r="L569" s="212"/>
      <c r="M569" s="213"/>
      <c r="BX569" s="63" t="s">
        <v>998</v>
      </c>
    </row>
    <row r="570" spans="1:76" ht="25" x14ac:dyDescent="0.35">
      <c r="A570" s="1" t="s">
        <v>999</v>
      </c>
      <c r="B570" s="2" t="s">
        <v>103</v>
      </c>
      <c r="C570" s="2" t="s">
        <v>1000</v>
      </c>
      <c r="D570" s="155" t="s">
        <v>1001</v>
      </c>
      <c r="E570" s="153"/>
      <c r="F570" s="2" t="s">
        <v>153</v>
      </c>
      <c r="G570" s="54">
        <f>'Stavební rozpočet'!G438</f>
        <v>94.95</v>
      </c>
      <c r="H570" s="94">
        <f>'Stavební rozpočet'!H438</f>
        <v>0</v>
      </c>
      <c r="I570" s="54">
        <f>G570*H570</f>
        <v>0</v>
      </c>
      <c r="J570" s="54">
        <f>'Stavební rozpočet'!J438</f>
        <v>3.2000000000000003E-4</v>
      </c>
      <c r="K570" s="54">
        <f>'Stavební rozpočet'!K438</f>
        <v>0</v>
      </c>
      <c r="L570" s="54">
        <f>G570*J570</f>
        <v>3.0384000000000005E-2</v>
      </c>
      <c r="M570" s="55" t="s">
        <v>10</v>
      </c>
      <c r="Z570" s="54">
        <f>IF(AQ570="5",BJ570,0)</f>
        <v>0</v>
      </c>
      <c r="AB570" s="54">
        <f>IF(AQ570="1",BH570,0)</f>
        <v>0</v>
      </c>
      <c r="AC570" s="54">
        <f>IF(AQ570="1",BI570,0)</f>
        <v>0</v>
      </c>
      <c r="AD570" s="54">
        <f>IF(AQ570="7",BH570,0)</f>
        <v>0</v>
      </c>
      <c r="AE570" s="54">
        <f>IF(AQ570="7",BI570,0)</f>
        <v>0</v>
      </c>
      <c r="AF570" s="54">
        <f>IF(AQ570="2",BH570,0)</f>
        <v>0</v>
      </c>
      <c r="AG570" s="54">
        <f>IF(AQ570="2",BI570,0)</f>
        <v>0</v>
      </c>
      <c r="AH570" s="54">
        <f>IF(AQ570="0",BJ570,0)</f>
        <v>0</v>
      </c>
      <c r="AI570" s="34" t="s">
        <v>103</v>
      </c>
      <c r="AJ570" s="54">
        <f>IF(AN570=0,I570,0)</f>
        <v>0</v>
      </c>
      <c r="AK570" s="54">
        <f>IF(AN570=12,I570,0)</f>
        <v>0</v>
      </c>
      <c r="AL570" s="54">
        <f>IF(AN570=21,I570,0)</f>
        <v>0</v>
      </c>
      <c r="AN570" s="54">
        <v>21</v>
      </c>
      <c r="AO570" s="54">
        <f>H570*0.096636606</f>
        <v>0</v>
      </c>
      <c r="AP570" s="54">
        <f>H570*(1-0.096636606)</f>
        <v>0</v>
      </c>
      <c r="AQ570" s="56" t="s">
        <v>168</v>
      </c>
      <c r="AV570" s="54">
        <f>AW570+AX570</f>
        <v>0</v>
      </c>
      <c r="AW570" s="54">
        <f>G570*AO570</f>
        <v>0</v>
      </c>
      <c r="AX570" s="54">
        <f>G570*AP570</f>
        <v>0</v>
      </c>
      <c r="AY570" s="56" t="s">
        <v>990</v>
      </c>
      <c r="AZ570" s="56" t="s">
        <v>991</v>
      </c>
      <c r="BA570" s="34" t="s">
        <v>114</v>
      </c>
      <c r="BC570" s="54">
        <f>AW570+AX570</f>
        <v>0</v>
      </c>
      <c r="BD570" s="54">
        <f>H570/(100-BE570)*100</f>
        <v>0</v>
      </c>
      <c r="BE570" s="54">
        <v>0</v>
      </c>
      <c r="BF570" s="54">
        <f>L570</f>
        <v>3.0384000000000005E-2</v>
      </c>
      <c r="BH570" s="54">
        <f>G570*AO570</f>
        <v>0</v>
      </c>
      <c r="BI570" s="54">
        <f>G570*AP570</f>
        <v>0</v>
      </c>
      <c r="BJ570" s="54">
        <f>G570*H570</f>
        <v>0</v>
      </c>
      <c r="BK570" s="54"/>
      <c r="BL570" s="54">
        <v>771</v>
      </c>
      <c r="BW570" s="54">
        <v>21</v>
      </c>
      <c r="BX570" s="3" t="s">
        <v>1001</v>
      </c>
    </row>
    <row r="571" spans="1:76" ht="13.5" customHeight="1" x14ac:dyDescent="0.35">
      <c r="A571" s="57"/>
      <c r="C571" s="62" t="s">
        <v>122</v>
      </c>
      <c r="D571" s="214" t="s">
        <v>1002</v>
      </c>
      <c r="E571" s="215"/>
      <c r="F571" s="215"/>
      <c r="G571" s="215"/>
      <c r="H571" s="215"/>
      <c r="I571" s="215"/>
      <c r="J571" s="215"/>
      <c r="K571" s="215"/>
      <c r="L571" s="215"/>
      <c r="M571" s="216"/>
    </row>
    <row r="572" spans="1:76" ht="14.5" x14ac:dyDescent="0.35">
      <c r="A572" s="57"/>
      <c r="D572" s="58" t="s">
        <v>208</v>
      </c>
      <c r="E572" s="59" t="s">
        <v>1003</v>
      </c>
      <c r="G572" s="60">
        <v>0</v>
      </c>
      <c r="M572" s="61"/>
    </row>
    <row r="573" spans="1:76" ht="14.5" x14ac:dyDescent="0.35">
      <c r="A573" s="57"/>
      <c r="D573" s="58" t="s">
        <v>1004</v>
      </c>
      <c r="E573" s="59" t="s">
        <v>1005</v>
      </c>
      <c r="G573" s="60">
        <v>60.86</v>
      </c>
      <c r="M573" s="61"/>
    </row>
    <row r="574" spans="1:76" ht="14.5" x14ac:dyDescent="0.35">
      <c r="A574" s="57"/>
      <c r="D574" s="58" t="s">
        <v>1006</v>
      </c>
      <c r="E574" s="59" t="s">
        <v>1007</v>
      </c>
      <c r="G574" s="60">
        <v>20.190000000000001</v>
      </c>
      <c r="M574" s="61"/>
    </row>
    <row r="575" spans="1:76" ht="14.5" x14ac:dyDescent="0.35">
      <c r="A575" s="57"/>
      <c r="D575" s="58" t="s">
        <v>1008</v>
      </c>
      <c r="E575" s="59" t="s">
        <v>1009</v>
      </c>
      <c r="G575" s="60">
        <v>13.9</v>
      </c>
      <c r="M575" s="61"/>
    </row>
    <row r="576" spans="1:76" ht="25" x14ac:dyDescent="0.35">
      <c r="A576" s="64" t="s">
        <v>1010</v>
      </c>
      <c r="B576" s="65" t="s">
        <v>103</v>
      </c>
      <c r="C576" s="65" t="s">
        <v>1011</v>
      </c>
      <c r="D576" s="217" t="s">
        <v>1012</v>
      </c>
      <c r="E576" s="218"/>
      <c r="F576" s="65" t="s">
        <v>196</v>
      </c>
      <c r="G576" s="67">
        <f>'Stavební rozpočet'!G443</f>
        <v>61</v>
      </c>
      <c r="H576" s="95">
        <f>'Stavební rozpočet'!H443</f>
        <v>0</v>
      </c>
      <c r="I576" s="67">
        <f>G576*H576</f>
        <v>0</v>
      </c>
      <c r="J576" s="67">
        <f>'Stavební rozpočet'!J443</f>
        <v>1.25E-3</v>
      </c>
      <c r="K576" s="67">
        <f>'Stavební rozpočet'!K443</f>
        <v>0</v>
      </c>
      <c r="L576" s="67">
        <f>G576*J576</f>
        <v>7.6249999999999998E-2</v>
      </c>
      <c r="M576" s="68" t="s">
        <v>10</v>
      </c>
      <c r="Z576" s="54">
        <f>IF(AQ576="5",BJ576,0)</f>
        <v>0</v>
      </c>
      <c r="AB576" s="54">
        <f>IF(AQ576="1",BH576,0)</f>
        <v>0</v>
      </c>
      <c r="AC576" s="54">
        <f>IF(AQ576="1",BI576,0)</f>
        <v>0</v>
      </c>
      <c r="AD576" s="54">
        <f>IF(AQ576="7",BH576,0)</f>
        <v>0</v>
      </c>
      <c r="AE576" s="54">
        <f>IF(AQ576="7",BI576,0)</f>
        <v>0</v>
      </c>
      <c r="AF576" s="54">
        <f>IF(AQ576="2",BH576,0)</f>
        <v>0</v>
      </c>
      <c r="AG576" s="54">
        <f>IF(AQ576="2",BI576,0)</f>
        <v>0</v>
      </c>
      <c r="AH576" s="54">
        <f>IF(AQ576="0",BJ576,0)</f>
        <v>0</v>
      </c>
      <c r="AI576" s="34" t="s">
        <v>103</v>
      </c>
      <c r="AJ576" s="67">
        <f>IF(AN576=0,I576,0)</f>
        <v>0</v>
      </c>
      <c r="AK576" s="67">
        <f>IF(AN576=12,I576,0)</f>
        <v>0</v>
      </c>
      <c r="AL576" s="67">
        <f>IF(AN576=21,I576,0)</f>
        <v>0</v>
      </c>
      <c r="AN576" s="54">
        <v>21</v>
      </c>
      <c r="AO576" s="54">
        <f>H576*1</f>
        <v>0</v>
      </c>
      <c r="AP576" s="54">
        <f>H576*(1-1)</f>
        <v>0</v>
      </c>
      <c r="AQ576" s="69" t="s">
        <v>168</v>
      </c>
      <c r="AV576" s="54">
        <f>AW576+AX576</f>
        <v>0</v>
      </c>
      <c r="AW576" s="54">
        <f>G576*AO576</f>
        <v>0</v>
      </c>
      <c r="AX576" s="54">
        <f>G576*AP576</f>
        <v>0</v>
      </c>
      <c r="AY576" s="56" t="s">
        <v>990</v>
      </c>
      <c r="AZ576" s="56" t="s">
        <v>991</v>
      </c>
      <c r="BA576" s="34" t="s">
        <v>114</v>
      </c>
      <c r="BC576" s="54">
        <f>AW576+AX576</f>
        <v>0</v>
      </c>
      <c r="BD576" s="54">
        <f>H576/(100-BE576)*100</f>
        <v>0</v>
      </c>
      <c r="BE576" s="54">
        <v>0</v>
      </c>
      <c r="BF576" s="54">
        <f>L576</f>
        <v>7.6249999999999998E-2</v>
      </c>
      <c r="BH576" s="67">
        <f>G576*AO576</f>
        <v>0</v>
      </c>
      <c r="BI576" s="67">
        <f>G576*AP576</f>
        <v>0</v>
      </c>
      <c r="BJ576" s="67">
        <f>G576*H576</f>
        <v>0</v>
      </c>
      <c r="BK576" s="67"/>
      <c r="BL576" s="54">
        <v>771</v>
      </c>
      <c r="BW576" s="54">
        <v>21</v>
      </c>
      <c r="BX576" s="66" t="s">
        <v>1012</v>
      </c>
    </row>
    <row r="577" spans="1:76" ht="13.5" customHeight="1" x14ac:dyDescent="0.35">
      <c r="A577" s="57"/>
      <c r="C577" s="62" t="s">
        <v>122</v>
      </c>
      <c r="D577" s="214" t="s">
        <v>1013</v>
      </c>
      <c r="E577" s="215"/>
      <c r="F577" s="215"/>
      <c r="G577" s="215"/>
      <c r="H577" s="215"/>
      <c r="I577" s="215"/>
      <c r="J577" s="215"/>
      <c r="K577" s="215"/>
      <c r="L577" s="215"/>
      <c r="M577" s="216"/>
    </row>
    <row r="578" spans="1:76" ht="14.5" x14ac:dyDescent="0.35">
      <c r="A578" s="57"/>
      <c r="D578" s="58" t="s">
        <v>208</v>
      </c>
      <c r="E578" s="59" t="s">
        <v>1014</v>
      </c>
      <c r="G578" s="60">
        <v>0</v>
      </c>
      <c r="M578" s="61"/>
    </row>
    <row r="579" spans="1:76" ht="14.5" x14ac:dyDescent="0.35">
      <c r="A579" s="57"/>
      <c r="D579" s="58" t="s">
        <v>1015</v>
      </c>
      <c r="E579" s="59" t="s">
        <v>1016</v>
      </c>
      <c r="G579" s="60">
        <v>36.005000000000003</v>
      </c>
      <c r="M579" s="61"/>
    </row>
    <row r="580" spans="1:76" ht="14.5" x14ac:dyDescent="0.35">
      <c r="A580" s="57"/>
      <c r="D580" s="58" t="s">
        <v>1017</v>
      </c>
      <c r="E580" s="59" t="s">
        <v>1018</v>
      </c>
      <c r="G580" s="60">
        <v>24.788</v>
      </c>
      <c r="M580" s="61"/>
    </row>
    <row r="581" spans="1:76" ht="14.5" x14ac:dyDescent="0.35">
      <c r="A581" s="57"/>
      <c r="D581" s="58" t="s">
        <v>1019</v>
      </c>
      <c r="E581" s="59" t="s">
        <v>1020</v>
      </c>
      <c r="G581" s="60">
        <v>0.20699999999999999</v>
      </c>
      <c r="M581" s="61"/>
    </row>
    <row r="582" spans="1:76" ht="14.5" x14ac:dyDescent="0.35">
      <c r="A582" s="64" t="s">
        <v>1021</v>
      </c>
      <c r="B582" s="65" t="s">
        <v>103</v>
      </c>
      <c r="C582" s="65" t="s">
        <v>1022</v>
      </c>
      <c r="D582" s="217" t="s">
        <v>1023</v>
      </c>
      <c r="E582" s="218"/>
      <c r="F582" s="65" t="s">
        <v>196</v>
      </c>
      <c r="G582" s="67">
        <f>'Stavební rozpočet'!G448</f>
        <v>110</v>
      </c>
      <c r="H582" s="95">
        <f>'Stavební rozpočet'!H448</f>
        <v>0</v>
      </c>
      <c r="I582" s="67">
        <f>G582*H582</f>
        <v>0</v>
      </c>
      <c r="J582" s="67">
        <f>'Stavební rozpočet'!J448</f>
        <v>1.25E-3</v>
      </c>
      <c r="K582" s="67">
        <f>'Stavební rozpočet'!K448</f>
        <v>0</v>
      </c>
      <c r="L582" s="67">
        <f>G582*J582</f>
        <v>0.13750000000000001</v>
      </c>
      <c r="M582" s="68" t="s">
        <v>10</v>
      </c>
      <c r="Z582" s="54">
        <f>IF(AQ582="5",BJ582,0)</f>
        <v>0</v>
      </c>
      <c r="AB582" s="54">
        <f>IF(AQ582="1",BH582,0)</f>
        <v>0</v>
      </c>
      <c r="AC582" s="54">
        <f>IF(AQ582="1",BI582,0)</f>
        <v>0</v>
      </c>
      <c r="AD582" s="54">
        <f>IF(AQ582="7",BH582,0)</f>
        <v>0</v>
      </c>
      <c r="AE582" s="54">
        <f>IF(AQ582="7",BI582,0)</f>
        <v>0</v>
      </c>
      <c r="AF582" s="54">
        <f>IF(AQ582="2",BH582,0)</f>
        <v>0</v>
      </c>
      <c r="AG582" s="54">
        <f>IF(AQ582="2",BI582,0)</f>
        <v>0</v>
      </c>
      <c r="AH582" s="54">
        <f>IF(AQ582="0",BJ582,0)</f>
        <v>0</v>
      </c>
      <c r="AI582" s="34" t="s">
        <v>103</v>
      </c>
      <c r="AJ582" s="67">
        <f>IF(AN582=0,I582,0)</f>
        <v>0</v>
      </c>
      <c r="AK582" s="67">
        <f>IF(AN582=12,I582,0)</f>
        <v>0</v>
      </c>
      <c r="AL582" s="67">
        <f>IF(AN582=21,I582,0)</f>
        <v>0</v>
      </c>
      <c r="AN582" s="54">
        <v>21</v>
      </c>
      <c r="AO582" s="54">
        <f>H582*1</f>
        <v>0</v>
      </c>
      <c r="AP582" s="54">
        <f>H582*(1-1)</f>
        <v>0</v>
      </c>
      <c r="AQ582" s="69" t="s">
        <v>168</v>
      </c>
      <c r="AV582" s="54">
        <f>AW582+AX582</f>
        <v>0</v>
      </c>
      <c r="AW582" s="54">
        <f>G582*AO582</f>
        <v>0</v>
      </c>
      <c r="AX582" s="54">
        <f>G582*AP582</f>
        <v>0</v>
      </c>
      <c r="AY582" s="56" t="s">
        <v>990</v>
      </c>
      <c r="AZ582" s="56" t="s">
        <v>991</v>
      </c>
      <c r="BA582" s="34" t="s">
        <v>114</v>
      </c>
      <c r="BC582" s="54">
        <f>AW582+AX582</f>
        <v>0</v>
      </c>
      <c r="BD582" s="54">
        <f>H582/(100-BE582)*100</f>
        <v>0</v>
      </c>
      <c r="BE582" s="54">
        <v>0</v>
      </c>
      <c r="BF582" s="54">
        <f>L582</f>
        <v>0.13750000000000001</v>
      </c>
      <c r="BH582" s="67">
        <f>G582*AO582</f>
        <v>0</v>
      </c>
      <c r="BI582" s="67">
        <f>G582*AP582</f>
        <v>0</v>
      </c>
      <c r="BJ582" s="67">
        <f>G582*H582</f>
        <v>0</v>
      </c>
      <c r="BK582" s="67"/>
      <c r="BL582" s="54">
        <v>771</v>
      </c>
      <c r="BW582" s="54">
        <v>21</v>
      </c>
      <c r="BX582" s="66" t="s">
        <v>1023</v>
      </c>
    </row>
    <row r="583" spans="1:76" ht="13.5" customHeight="1" x14ac:dyDescent="0.35">
      <c r="A583" s="57"/>
      <c r="C583" s="62" t="s">
        <v>122</v>
      </c>
      <c r="D583" s="214" t="s">
        <v>1013</v>
      </c>
      <c r="E583" s="215"/>
      <c r="F583" s="215"/>
      <c r="G583" s="215"/>
      <c r="H583" s="215"/>
      <c r="I583" s="215"/>
      <c r="J583" s="215"/>
      <c r="K583" s="215"/>
      <c r="L583" s="215"/>
      <c r="M583" s="216"/>
    </row>
    <row r="584" spans="1:76" ht="14.5" x14ac:dyDescent="0.35">
      <c r="A584" s="57"/>
      <c r="D584" s="58" t="s">
        <v>208</v>
      </c>
      <c r="E584" s="59" t="s">
        <v>1024</v>
      </c>
      <c r="G584" s="60">
        <v>0</v>
      </c>
      <c r="M584" s="61"/>
    </row>
    <row r="585" spans="1:76" ht="14.5" x14ac:dyDescent="0.35">
      <c r="A585" s="57"/>
      <c r="D585" s="58" t="s">
        <v>1025</v>
      </c>
      <c r="E585" s="59" t="s">
        <v>1026</v>
      </c>
      <c r="G585" s="60">
        <v>109.041</v>
      </c>
      <c r="M585" s="61"/>
    </row>
    <row r="586" spans="1:76" ht="14.5" x14ac:dyDescent="0.35">
      <c r="A586" s="57"/>
      <c r="D586" s="58" t="s">
        <v>1027</v>
      </c>
      <c r="E586" s="59" t="s">
        <v>1020</v>
      </c>
      <c r="G586" s="60">
        <v>0.95899999999999996</v>
      </c>
      <c r="M586" s="61"/>
    </row>
    <row r="587" spans="1:76" ht="14.5" x14ac:dyDescent="0.35">
      <c r="A587" s="1" t="s">
        <v>1028</v>
      </c>
      <c r="B587" s="2" t="s">
        <v>103</v>
      </c>
      <c r="C587" s="2" t="s">
        <v>1029</v>
      </c>
      <c r="D587" s="155" t="s">
        <v>1030</v>
      </c>
      <c r="E587" s="153"/>
      <c r="F587" s="2" t="s">
        <v>110</v>
      </c>
      <c r="G587" s="54">
        <f>'Stavební rozpočet'!G452</f>
        <v>170.79900000000001</v>
      </c>
      <c r="H587" s="94">
        <f>'Stavební rozpočet'!H452</f>
        <v>0</v>
      </c>
      <c r="I587" s="54">
        <f>G587*H587</f>
        <v>0</v>
      </c>
      <c r="J587" s="54">
        <f>'Stavební rozpočet'!J452</f>
        <v>6.9300000000000004E-3</v>
      </c>
      <c r="K587" s="54">
        <f>'Stavební rozpočet'!K452</f>
        <v>0</v>
      </c>
      <c r="L587" s="54">
        <f>G587*J587</f>
        <v>1.1836370700000001</v>
      </c>
      <c r="M587" s="55" t="s">
        <v>111</v>
      </c>
      <c r="Z587" s="54">
        <f>IF(AQ587="5",BJ587,0)</f>
        <v>0</v>
      </c>
      <c r="AB587" s="54">
        <f>IF(AQ587="1",BH587,0)</f>
        <v>0</v>
      </c>
      <c r="AC587" s="54">
        <f>IF(AQ587="1",BI587,0)</f>
        <v>0</v>
      </c>
      <c r="AD587" s="54">
        <f>IF(AQ587="7",BH587,0)</f>
        <v>0</v>
      </c>
      <c r="AE587" s="54">
        <f>IF(AQ587="7",BI587,0)</f>
        <v>0</v>
      </c>
      <c r="AF587" s="54">
        <f>IF(AQ587="2",BH587,0)</f>
        <v>0</v>
      </c>
      <c r="AG587" s="54">
        <f>IF(AQ587="2",BI587,0)</f>
        <v>0</v>
      </c>
      <c r="AH587" s="54">
        <f>IF(AQ587="0",BJ587,0)</f>
        <v>0</v>
      </c>
      <c r="AI587" s="34" t="s">
        <v>103</v>
      </c>
      <c r="AJ587" s="54">
        <f>IF(AN587=0,I587,0)</f>
        <v>0</v>
      </c>
      <c r="AK587" s="54">
        <f>IF(AN587=12,I587,0)</f>
        <v>0</v>
      </c>
      <c r="AL587" s="54">
        <f>IF(AN587=21,I587,0)</f>
        <v>0</v>
      </c>
      <c r="AN587" s="54">
        <v>21</v>
      </c>
      <c r="AO587" s="54">
        <f>H587*0.195234958</f>
        <v>0</v>
      </c>
      <c r="AP587" s="54">
        <f>H587*(1-0.195234958)</f>
        <v>0</v>
      </c>
      <c r="AQ587" s="56" t="s">
        <v>168</v>
      </c>
      <c r="AV587" s="54">
        <f>AW587+AX587</f>
        <v>0</v>
      </c>
      <c r="AW587" s="54">
        <f>G587*AO587</f>
        <v>0</v>
      </c>
      <c r="AX587" s="54">
        <f>G587*AP587</f>
        <v>0</v>
      </c>
      <c r="AY587" s="56" t="s">
        <v>990</v>
      </c>
      <c r="AZ587" s="56" t="s">
        <v>991</v>
      </c>
      <c r="BA587" s="34" t="s">
        <v>114</v>
      </c>
      <c r="BC587" s="54">
        <f>AW587+AX587</f>
        <v>0</v>
      </c>
      <c r="BD587" s="54">
        <f>H587/(100-BE587)*100</f>
        <v>0</v>
      </c>
      <c r="BE587" s="54">
        <v>0</v>
      </c>
      <c r="BF587" s="54">
        <f>L587</f>
        <v>1.1836370700000001</v>
      </c>
      <c r="BH587" s="54">
        <f>G587*AO587</f>
        <v>0</v>
      </c>
      <c r="BI587" s="54">
        <f>G587*AP587</f>
        <v>0</v>
      </c>
      <c r="BJ587" s="54">
        <f>G587*H587</f>
        <v>0</v>
      </c>
      <c r="BK587" s="54"/>
      <c r="BL587" s="54">
        <v>771</v>
      </c>
      <c r="BW587" s="54">
        <v>21</v>
      </c>
      <c r="BX587" s="3" t="s">
        <v>1030</v>
      </c>
    </row>
    <row r="588" spans="1:76" ht="14.5" x14ac:dyDescent="0.35">
      <c r="A588" s="57"/>
      <c r="D588" s="58" t="s">
        <v>208</v>
      </c>
      <c r="E588" s="59" t="s">
        <v>995</v>
      </c>
      <c r="G588" s="60">
        <v>0</v>
      </c>
      <c r="M588" s="61"/>
    </row>
    <row r="589" spans="1:76" ht="14.5" x14ac:dyDescent="0.35">
      <c r="A589" s="57"/>
      <c r="D589" s="58" t="s">
        <v>996</v>
      </c>
      <c r="E589" s="59" t="s">
        <v>997</v>
      </c>
      <c r="G589" s="60">
        <v>88.58</v>
      </c>
      <c r="M589" s="61"/>
    </row>
    <row r="590" spans="1:76" ht="14.5" x14ac:dyDescent="0.35">
      <c r="A590" s="57"/>
      <c r="D590" s="58" t="s">
        <v>336</v>
      </c>
      <c r="E590" s="59" t="s">
        <v>337</v>
      </c>
      <c r="G590" s="60">
        <v>22.54</v>
      </c>
      <c r="M590" s="61"/>
    </row>
    <row r="591" spans="1:76" ht="14.5" x14ac:dyDescent="0.35">
      <c r="A591" s="57"/>
      <c r="D591" s="58" t="s">
        <v>338</v>
      </c>
      <c r="E591" s="59" t="s">
        <v>339</v>
      </c>
      <c r="G591" s="60">
        <v>17.23</v>
      </c>
      <c r="M591" s="61"/>
    </row>
    <row r="592" spans="1:76" ht="14.5" x14ac:dyDescent="0.35">
      <c r="A592" s="57"/>
      <c r="D592" s="58" t="s">
        <v>341</v>
      </c>
      <c r="E592" s="59" t="s">
        <v>342</v>
      </c>
      <c r="G592" s="60">
        <v>1.51</v>
      </c>
      <c r="M592" s="61"/>
    </row>
    <row r="593" spans="1:76" ht="14.5" x14ac:dyDescent="0.35">
      <c r="A593" s="57"/>
      <c r="D593" s="58" t="s">
        <v>208</v>
      </c>
      <c r="E593" s="59" t="s">
        <v>327</v>
      </c>
      <c r="G593" s="60">
        <v>0</v>
      </c>
      <c r="M593" s="61"/>
    </row>
    <row r="594" spans="1:76" ht="14.5" x14ac:dyDescent="0.35">
      <c r="A594" s="57"/>
      <c r="D594" s="58" t="s">
        <v>1031</v>
      </c>
      <c r="E594" s="59" t="s">
        <v>1032</v>
      </c>
      <c r="G594" s="60">
        <v>40.939</v>
      </c>
      <c r="M594" s="61"/>
    </row>
    <row r="595" spans="1:76" ht="14.5" x14ac:dyDescent="0.35">
      <c r="A595" s="57"/>
      <c r="C595" s="62" t="s">
        <v>156</v>
      </c>
      <c r="D595" s="211" t="s">
        <v>1033</v>
      </c>
      <c r="E595" s="212"/>
      <c r="F595" s="212"/>
      <c r="G595" s="212"/>
      <c r="H595" s="212"/>
      <c r="I595" s="212"/>
      <c r="J595" s="212"/>
      <c r="K595" s="212"/>
      <c r="L595" s="212"/>
      <c r="M595" s="213"/>
      <c r="BX595" s="63" t="s">
        <v>1033</v>
      </c>
    </row>
    <row r="596" spans="1:76" ht="25" x14ac:dyDescent="0.35">
      <c r="A596" s="64" t="s">
        <v>1034</v>
      </c>
      <c r="B596" s="65" t="s">
        <v>103</v>
      </c>
      <c r="C596" s="65" t="s">
        <v>1035</v>
      </c>
      <c r="D596" s="217" t="s">
        <v>1036</v>
      </c>
      <c r="E596" s="218"/>
      <c r="F596" s="65" t="s">
        <v>110</v>
      </c>
      <c r="G596" s="67">
        <f>'Stavební rozpočet'!G460</f>
        <v>33.264000000000003</v>
      </c>
      <c r="H596" s="95">
        <f>'Stavební rozpočet'!H460</f>
        <v>0</v>
      </c>
      <c r="I596" s="67">
        <f>G596*H596</f>
        <v>0</v>
      </c>
      <c r="J596" s="67">
        <f>'Stavební rozpočet'!J460</f>
        <v>1.8200000000000001E-2</v>
      </c>
      <c r="K596" s="67">
        <f>'Stavební rozpočet'!K460</f>
        <v>0</v>
      </c>
      <c r="L596" s="67">
        <f>G596*J596</f>
        <v>0.60540480000000008</v>
      </c>
      <c r="M596" s="68" t="s">
        <v>10</v>
      </c>
      <c r="Z596" s="54">
        <f>IF(AQ596="5",BJ596,0)</f>
        <v>0</v>
      </c>
      <c r="AB596" s="54">
        <f>IF(AQ596="1",BH596,0)</f>
        <v>0</v>
      </c>
      <c r="AC596" s="54">
        <f>IF(AQ596="1",BI596,0)</f>
        <v>0</v>
      </c>
      <c r="AD596" s="54">
        <f>IF(AQ596="7",BH596,0)</f>
        <v>0</v>
      </c>
      <c r="AE596" s="54">
        <f>IF(AQ596="7",BI596,0)</f>
        <v>0</v>
      </c>
      <c r="AF596" s="54">
        <f>IF(AQ596="2",BH596,0)</f>
        <v>0</v>
      </c>
      <c r="AG596" s="54">
        <f>IF(AQ596="2",BI596,0)</f>
        <v>0</v>
      </c>
      <c r="AH596" s="54">
        <f>IF(AQ596="0",BJ596,0)</f>
        <v>0</v>
      </c>
      <c r="AI596" s="34" t="s">
        <v>103</v>
      </c>
      <c r="AJ596" s="67">
        <f>IF(AN596=0,I596,0)</f>
        <v>0</v>
      </c>
      <c r="AK596" s="67">
        <f>IF(AN596=12,I596,0)</f>
        <v>0</v>
      </c>
      <c r="AL596" s="67">
        <f>IF(AN596=21,I596,0)</f>
        <v>0</v>
      </c>
      <c r="AN596" s="54">
        <v>21</v>
      </c>
      <c r="AO596" s="54">
        <f>H596*1</f>
        <v>0</v>
      </c>
      <c r="AP596" s="54">
        <f>H596*(1-1)</f>
        <v>0</v>
      </c>
      <c r="AQ596" s="69" t="s">
        <v>168</v>
      </c>
      <c r="AV596" s="54">
        <f>AW596+AX596</f>
        <v>0</v>
      </c>
      <c r="AW596" s="54">
        <f>G596*AO596</f>
        <v>0</v>
      </c>
      <c r="AX596" s="54">
        <f>G596*AP596</f>
        <v>0</v>
      </c>
      <c r="AY596" s="56" t="s">
        <v>990</v>
      </c>
      <c r="AZ596" s="56" t="s">
        <v>991</v>
      </c>
      <c r="BA596" s="34" t="s">
        <v>114</v>
      </c>
      <c r="BC596" s="54">
        <f>AW596+AX596</f>
        <v>0</v>
      </c>
      <c r="BD596" s="54">
        <f>H596/(100-BE596)*100</f>
        <v>0</v>
      </c>
      <c r="BE596" s="54">
        <v>0</v>
      </c>
      <c r="BF596" s="54">
        <f>L596</f>
        <v>0.60540480000000008</v>
      </c>
      <c r="BH596" s="67">
        <f>G596*AO596</f>
        <v>0</v>
      </c>
      <c r="BI596" s="67">
        <f>G596*AP596</f>
        <v>0</v>
      </c>
      <c r="BJ596" s="67">
        <f>G596*H596</f>
        <v>0</v>
      </c>
      <c r="BK596" s="67"/>
      <c r="BL596" s="54">
        <v>771</v>
      </c>
      <c r="BW596" s="54">
        <v>21</v>
      </c>
      <c r="BX596" s="66" t="s">
        <v>1036</v>
      </c>
    </row>
    <row r="597" spans="1:76" ht="13.5" customHeight="1" x14ac:dyDescent="0.35">
      <c r="A597" s="57"/>
      <c r="C597" s="62" t="s">
        <v>122</v>
      </c>
      <c r="D597" s="214" t="s">
        <v>1037</v>
      </c>
      <c r="E597" s="215"/>
      <c r="F597" s="215"/>
      <c r="G597" s="215"/>
      <c r="H597" s="215"/>
      <c r="I597" s="215"/>
      <c r="J597" s="215"/>
      <c r="K597" s="215"/>
      <c r="L597" s="215"/>
      <c r="M597" s="216"/>
    </row>
    <row r="598" spans="1:76" ht="14.5" x14ac:dyDescent="0.35">
      <c r="A598" s="57"/>
      <c r="D598" s="58" t="s">
        <v>208</v>
      </c>
      <c r="E598" s="59" t="s">
        <v>1038</v>
      </c>
      <c r="G598" s="60">
        <v>0</v>
      </c>
      <c r="M598" s="61"/>
    </row>
    <row r="599" spans="1:76" ht="14.5" x14ac:dyDescent="0.35">
      <c r="A599" s="57"/>
      <c r="D599" s="58" t="s">
        <v>1039</v>
      </c>
      <c r="E599" s="59" t="s">
        <v>1040</v>
      </c>
      <c r="G599" s="60">
        <v>33.264000000000003</v>
      </c>
      <c r="M599" s="61"/>
    </row>
    <row r="600" spans="1:76" ht="25" x14ac:dyDescent="0.35">
      <c r="A600" s="64" t="s">
        <v>1041</v>
      </c>
      <c r="B600" s="65" t="s">
        <v>103</v>
      </c>
      <c r="C600" s="65" t="s">
        <v>1042</v>
      </c>
      <c r="D600" s="217" t="s">
        <v>1043</v>
      </c>
      <c r="E600" s="218"/>
      <c r="F600" s="65" t="s">
        <v>110</v>
      </c>
      <c r="G600" s="67">
        <f>'Stavební rozpočet'!G463</f>
        <v>41.201999999999998</v>
      </c>
      <c r="H600" s="95">
        <f>'Stavební rozpočet'!H463</f>
        <v>0</v>
      </c>
      <c r="I600" s="67">
        <f>G600*H600</f>
        <v>0</v>
      </c>
      <c r="J600" s="67">
        <f>'Stavební rozpočet'!J463</f>
        <v>1.8200000000000001E-2</v>
      </c>
      <c r="K600" s="67">
        <f>'Stavební rozpočet'!K463</f>
        <v>0</v>
      </c>
      <c r="L600" s="67">
        <f>G600*J600</f>
        <v>0.7498764</v>
      </c>
      <c r="M600" s="68" t="s">
        <v>10</v>
      </c>
      <c r="Z600" s="54">
        <f>IF(AQ600="5",BJ600,0)</f>
        <v>0</v>
      </c>
      <c r="AB600" s="54">
        <f>IF(AQ600="1",BH600,0)</f>
        <v>0</v>
      </c>
      <c r="AC600" s="54">
        <f>IF(AQ600="1",BI600,0)</f>
        <v>0</v>
      </c>
      <c r="AD600" s="54">
        <f>IF(AQ600="7",BH600,0)</f>
        <v>0</v>
      </c>
      <c r="AE600" s="54">
        <f>IF(AQ600="7",BI600,0)</f>
        <v>0</v>
      </c>
      <c r="AF600" s="54">
        <f>IF(AQ600="2",BH600,0)</f>
        <v>0</v>
      </c>
      <c r="AG600" s="54">
        <f>IF(AQ600="2",BI600,0)</f>
        <v>0</v>
      </c>
      <c r="AH600" s="54">
        <f>IF(AQ600="0",BJ600,0)</f>
        <v>0</v>
      </c>
      <c r="AI600" s="34" t="s">
        <v>103</v>
      </c>
      <c r="AJ600" s="67">
        <f>IF(AN600=0,I600,0)</f>
        <v>0</v>
      </c>
      <c r="AK600" s="67">
        <f>IF(AN600=12,I600,0)</f>
        <v>0</v>
      </c>
      <c r="AL600" s="67">
        <f>IF(AN600=21,I600,0)</f>
        <v>0</v>
      </c>
      <c r="AN600" s="54">
        <v>21</v>
      </c>
      <c r="AO600" s="54">
        <f>H600*1</f>
        <v>0</v>
      </c>
      <c r="AP600" s="54">
        <f>H600*(1-1)</f>
        <v>0</v>
      </c>
      <c r="AQ600" s="69" t="s">
        <v>168</v>
      </c>
      <c r="AV600" s="54">
        <f>AW600+AX600</f>
        <v>0</v>
      </c>
      <c r="AW600" s="54">
        <f>G600*AO600</f>
        <v>0</v>
      </c>
      <c r="AX600" s="54">
        <f>G600*AP600</f>
        <v>0</v>
      </c>
      <c r="AY600" s="56" t="s">
        <v>990</v>
      </c>
      <c r="AZ600" s="56" t="s">
        <v>991</v>
      </c>
      <c r="BA600" s="34" t="s">
        <v>114</v>
      </c>
      <c r="BC600" s="54">
        <f>AW600+AX600</f>
        <v>0</v>
      </c>
      <c r="BD600" s="54">
        <f>H600/(100-BE600)*100</f>
        <v>0</v>
      </c>
      <c r="BE600" s="54">
        <v>0</v>
      </c>
      <c r="BF600" s="54">
        <f>L600</f>
        <v>0.7498764</v>
      </c>
      <c r="BH600" s="67">
        <f>G600*AO600</f>
        <v>0</v>
      </c>
      <c r="BI600" s="67">
        <f>G600*AP600</f>
        <v>0</v>
      </c>
      <c r="BJ600" s="67">
        <f>G600*H600</f>
        <v>0</v>
      </c>
      <c r="BK600" s="67"/>
      <c r="BL600" s="54">
        <v>771</v>
      </c>
      <c r="BW600" s="54">
        <v>21</v>
      </c>
      <c r="BX600" s="66" t="s">
        <v>1043</v>
      </c>
    </row>
    <row r="601" spans="1:76" ht="13.5" customHeight="1" x14ac:dyDescent="0.35">
      <c r="A601" s="57"/>
      <c r="C601" s="62" t="s">
        <v>122</v>
      </c>
      <c r="D601" s="214" t="s">
        <v>1044</v>
      </c>
      <c r="E601" s="215"/>
      <c r="F601" s="215"/>
      <c r="G601" s="215"/>
      <c r="H601" s="215"/>
      <c r="I601" s="215"/>
      <c r="J601" s="215"/>
      <c r="K601" s="215"/>
      <c r="L601" s="215"/>
      <c r="M601" s="216"/>
    </row>
    <row r="602" spans="1:76" ht="14.5" x14ac:dyDescent="0.35">
      <c r="A602" s="57"/>
      <c r="D602" s="58" t="s">
        <v>208</v>
      </c>
      <c r="E602" s="59" t="s">
        <v>1038</v>
      </c>
      <c r="G602" s="60">
        <v>0</v>
      </c>
      <c r="M602" s="61"/>
    </row>
    <row r="603" spans="1:76" ht="14.5" x14ac:dyDescent="0.35">
      <c r="A603" s="57"/>
      <c r="D603" s="58" t="s">
        <v>1045</v>
      </c>
      <c r="E603" s="59" t="s">
        <v>1046</v>
      </c>
      <c r="G603" s="60">
        <v>41.201999999999998</v>
      </c>
      <c r="M603" s="61"/>
    </row>
    <row r="604" spans="1:76" ht="25" x14ac:dyDescent="0.35">
      <c r="A604" s="64" t="s">
        <v>1047</v>
      </c>
      <c r="B604" s="65" t="s">
        <v>103</v>
      </c>
      <c r="C604" s="65" t="s">
        <v>1048</v>
      </c>
      <c r="D604" s="217" t="s">
        <v>1049</v>
      </c>
      <c r="E604" s="218"/>
      <c r="F604" s="65" t="s">
        <v>110</v>
      </c>
      <c r="G604" s="67">
        <f>'Stavební rozpočet'!G466</f>
        <v>53.738</v>
      </c>
      <c r="H604" s="95">
        <f>'Stavební rozpočet'!H466</f>
        <v>0</v>
      </c>
      <c r="I604" s="67">
        <f>G604*H604</f>
        <v>0</v>
      </c>
      <c r="J604" s="67">
        <f>'Stavební rozpočet'!J466</f>
        <v>1.8200000000000001E-2</v>
      </c>
      <c r="K604" s="67">
        <f>'Stavební rozpočet'!K466</f>
        <v>0</v>
      </c>
      <c r="L604" s="67">
        <f>G604*J604</f>
        <v>0.9780316</v>
      </c>
      <c r="M604" s="68" t="s">
        <v>10</v>
      </c>
      <c r="Z604" s="54">
        <f>IF(AQ604="5",BJ604,0)</f>
        <v>0</v>
      </c>
      <c r="AB604" s="54">
        <f>IF(AQ604="1",BH604,0)</f>
        <v>0</v>
      </c>
      <c r="AC604" s="54">
        <f>IF(AQ604="1",BI604,0)</f>
        <v>0</v>
      </c>
      <c r="AD604" s="54">
        <f>IF(AQ604="7",BH604,0)</f>
        <v>0</v>
      </c>
      <c r="AE604" s="54">
        <f>IF(AQ604="7",BI604,0)</f>
        <v>0</v>
      </c>
      <c r="AF604" s="54">
        <f>IF(AQ604="2",BH604,0)</f>
        <v>0</v>
      </c>
      <c r="AG604" s="54">
        <f>IF(AQ604="2",BI604,0)</f>
        <v>0</v>
      </c>
      <c r="AH604" s="54">
        <f>IF(AQ604="0",BJ604,0)</f>
        <v>0</v>
      </c>
      <c r="AI604" s="34" t="s">
        <v>103</v>
      </c>
      <c r="AJ604" s="67">
        <f>IF(AN604=0,I604,0)</f>
        <v>0</v>
      </c>
      <c r="AK604" s="67">
        <f>IF(AN604=12,I604,0)</f>
        <v>0</v>
      </c>
      <c r="AL604" s="67">
        <f>IF(AN604=21,I604,0)</f>
        <v>0</v>
      </c>
      <c r="AN604" s="54">
        <v>21</v>
      </c>
      <c r="AO604" s="54">
        <f>H604*1</f>
        <v>0</v>
      </c>
      <c r="AP604" s="54">
        <f>H604*(1-1)</f>
        <v>0</v>
      </c>
      <c r="AQ604" s="69" t="s">
        <v>168</v>
      </c>
      <c r="AV604" s="54">
        <f>AW604+AX604</f>
        <v>0</v>
      </c>
      <c r="AW604" s="54">
        <f>G604*AO604</f>
        <v>0</v>
      </c>
      <c r="AX604" s="54">
        <f>G604*AP604</f>
        <v>0</v>
      </c>
      <c r="AY604" s="56" t="s">
        <v>990</v>
      </c>
      <c r="AZ604" s="56" t="s">
        <v>991</v>
      </c>
      <c r="BA604" s="34" t="s">
        <v>114</v>
      </c>
      <c r="BC604" s="54">
        <f>AW604+AX604</f>
        <v>0</v>
      </c>
      <c r="BD604" s="54">
        <f>H604/(100-BE604)*100</f>
        <v>0</v>
      </c>
      <c r="BE604" s="54">
        <v>0</v>
      </c>
      <c r="BF604" s="54">
        <f>L604</f>
        <v>0.9780316</v>
      </c>
      <c r="BH604" s="67">
        <f>G604*AO604</f>
        <v>0</v>
      </c>
      <c r="BI604" s="67">
        <f>G604*AP604</f>
        <v>0</v>
      </c>
      <c r="BJ604" s="67">
        <f>G604*H604</f>
        <v>0</v>
      </c>
      <c r="BK604" s="67"/>
      <c r="BL604" s="54">
        <v>771</v>
      </c>
      <c r="BW604" s="54">
        <v>21</v>
      </c>
      <c r="BX604" s="66" t="s">
        <v>1049</v>
      </c>
    </row>
    <row r="605" spans="1:76" ht="13.5" customHeight="1" x14ac:dyDescent="0.35">
      <c r="A605" s="57"/>
      <c r="C605" s="62" t="s">
        <v>122</v>
      </c>
      <c r="D605" s="214" t="s">
        <v>1050</v>
      </c>
      <c r="E605" s="215"/>
      <c r="F605" s="215"/>
      <c r="G605" s="215"/>
      <c r="H605" s="215"/>
      <c r="I605" s="215"/>
      <c r="J605" s="215"/>
      <c r="K605" s="215"/>
      <c r="L605" s="215"/>
      <c r="M605" s="216"/>
    </row>
    <row r="606" spans="1:76" ht="14.5" x14ac:dyDescent="0.35">
      <c r="A606" s="57"/>
      <c r="D606" s="58" t="s">
        <v>208</v>
      </c>
      <c r="E606" s="59" t="s">
        <v>1038</v>
      </c>
      <c r="G606" s="60">
        <v>0</v>
      </c>
      <c r="M606" s="61"/>
    </row>
    <row r="607" spans="1:76" ht="14.5" x14ac:dyDescent="0.35">
      <c r="A607" s="57"/>
      <c r="D607" s="58" t="s">
        <v>1051</v>
      </c>
      <c r="E607" s="59" t="s">
        <v>1052</v>
      </c>
      <c r="G607" s="60">
        <v>10.395</v>
      </c>
      <c r="M607" s="61"/>
    </row>
    <row r="608" spans="1:76" ht="14.5" x14ac:dyDescent="0.35">
      <c r="A608" s="57"/>
      <c r="D608" s="58" t="s">
        <v>1053</v>
      </c>
      <c r="E608" s="59" t="s">
        <v>1016</v>
      </c>
      <c r="G608" s="60">
        <v>23.667000000000002</v>
      </c>
      <c r="M608" s="61"/>
    </row>
    <row r="609" spans="1:76" ht="14.5" x14ac:dyDescent="0.35">
      <c r="A609" s="57"/>
      <c r="D609" s="58" t="s">
        <v>1054</v>
      </c>
      <c r="E609" s="59" t="s">
        <v>1018</v>
      </c>
      <c r="G609" s="60">
        <v>18.091000000000001</v>
      </c>
      <c r="M609" s="61"/>
    </row>
    <row r="610" spans="1:76" ht="14.5" x14ac:dyDescent="0.35">
      <c r="A610" s="57"/>
      <c r="D610" s="58" t="s">
        <v>1055</v>
      </c>
      <c r="E610" s="59" t="s">
        <v>1056</v>
      </c>
      <c r="G610" s="60">
        <v>1.585</v>
      </c>
      <c r="M610" s="61"/>
    </row>
    <row r="611" spans="1:76" ht="25" x14ac:dyDescent="0.35">
      <c r="A611" s="64" t="s">
        <v>1057</v>
      </c>
      <c r="B611" s="65" t="s">
        <v>103</v>
      </c>
      <c r="C611" s="65" t="s">
        <v>1058</v>
      </c>
      <c r="D611" s="217" t="s">
        <v>1059</v>
      </c>
      <c r="E611" s="218"/>
      <c r="F611" s="65" t="s">
        <v>110</v>
      </c>
      <c r="G611" s="67">
        <f>'Stavební rozpočet'!G472</f>
        <v>14.553000000000001</v>
      </c>
      <c r="H611" s="95">
        <f>'Stavební rozpočet'!H472</f>
        <v>0</v>
      </c>
      <c r="I611" s="67">
        <f>G611*H611</f>
        <v>0</v>
      </c>
      <c r="J611" s="67">
        <f>'Stavební rozpočet'!J472</f>
        <v>1.8200000000000001E-2</v>
      </c>
      <c r="K611" s="67">
        <f>'Stavební rozpočet'!K472</f>
        <v>0</v>
      </c>
      <c r="L611" s="67">
        <f>G611*J611</f>
        <v>0.26486460000000001</v>
      </c>
      <c r="M611" s="68" t="s">
        <v>10</v>
      </c>
      <c r="Z611" s="54">
        <f>IF(AQ611="5",BJ611,0)</f>
        <v>0</v>
      </c>
      <c r="AB611" s="54">
        <f>IF(AQ611="1",BH611,0)</f>
        <v>0</v>
      </c>
      <c r="AC611" s="54">
        <f>IF(AQ611="1",BI611,0)</f>
        <v>0</v>
      </c>
      <c r="AD611" s="54">
        <f>IF(AQ611="7",BH611,0)</f>
        <v>0</v>
      </c>
      <c r="AE611" s="54">
        <f>IF(AQ611="7",BI611,0)</f>
        <v>0</v>
      </c>
      <c r="AF611" s="54">
        <f>IF(AQ611="2",BH611,0)</f>
        <v>0</v>
      </c>
      <c r="AG611" s="54">
        <f>IF(AQ611="2",BI611,0)</f>
        <v>0</v>
      </c>
      <c r="AH611" s="54">
        <f>IF(AQ611="0",BJ611,0)</f>
        <v>0</v>
      </c>
      <c r="AI611" s="34" t="s">
        <v>103</v>
      </c>
      <c r="AJ611" s="67">
        <f>IF(AN611=0,I611,0)</f>
        <v>0</v>
      </c>
      <c r="AK611" s="67">
        <f>IF(AN611=12,I611,0)</f>
        <v>0</v>
      </c>
      <c r="AL611" s="67">
        <f>IF(AN611=21,I611,0)</f>
        <v>0</v>
      </c>
      <c r="AN611" s="54">
        <v>21</v>
      </c>
      <c r="AO611" s="54">
        <f>H611*1</f>
        <v>0</v>
      </c>
      <c r="AP611" s="54">
        <f>H611*(1-1)</f>
        <v>0</v>
      </c>
      <c r="AQ611" s="69" t="s">
        <v>168</v>
      </c>
      <c r="AV611" s="54">
        <f>AW611+AX611</f>
        <v>0</v>
      </c>
      <c r="AW611" s="54">
        <f>G611*AO611</f>
        <v>0</v>
      </c>
      <c r="AX611" s="54">
        <f>G611*AP611</f>
        <v>0</v>
      </c>
      <c r="AY611" s="56" t="s">
        <v>990</v>
      </c>
      <c r="AZ611" s="56" t="s">
        <v>991</v>
      </c>
      <c r="BA611" s="34" t="s">
        <v>114</v>
      </c>
      <c r="BC611" s="54">
        <f>AW611+AX611</f>
        <v>0</v>
      </c>
      <c r="BD611" s="54">
        <f>H611/(100-BE611)*100</f>
        <v>0</v>
      </c>
      <c r="BE611" s="54">
        <v>0</v>
      </c>
      <c r="BF611" s="54">
        <f>L611</f>
        <v>0.26486460000000001</v>
      </c>
      <c r="BH611" s="67">
        <f>G611*AO611</f>
        <v>0</v>
      </c>
      <c r="BI611" s="67">
        <f>G611*AP611</f>
        <v>0</v>
      </c>
      <c r="BJ611" s="67">
        <f>G611*H611</f>
        <v>0</v>
      </c>
      <c r="BK611" s="67"/>
      <c r="BL611" s="54">
        <v>771</v>
      </c>
      <c r="BW611" s="54">
        <v>21</v>
      </c>
      <c r="BX611" s="66" t="s">
        <v>1059</v>
      </c>
    </row>
    <row r="612" spans="1:76" ht="13.5" customHeight="1" x14ac:dyDescent="0.35">
      <c r="A612" s="57"/>
      <c r="C612" s="62" t="s">
        <v>122</v>
      </c>
      <c r="D612" s="214" t="s">
        <v>1060</v>
      </c>
      <c r="E612" s="215"/>
      <c r="F612" s="215"/>
      <c r="G612" s="215"/>
      <c r="H612" s="215"/>
      <c r="I612" s="215"/>
      <c r="J612" s="215"/>
      <c r="K612" s="215"/>
      <c r="L612" s="215"/>
      <c r="M612" s="216"/>
    </row>
    <row r="613" spans="1:76" ht="14.5" x14ac:dyDescent="0.35">
      <c r="A613" s="57"/>
      <c r="D613" s="58" t="s">
        <v>208</v>
      </c>
      <c r="E613" s="59" t="s">
        <v>1038</v>
      </c>
      <c r="G613" s="60">
        <v>0</v>
      </c>
      <c r="M613" s="61"/>
    </row>
    <row r="614" spans="1:76" ht="14.5" x14ac:dyDescent="0.35">
      <c r="A614" s="57"/>
      <c r="D614" s="58" t="s">
        <v>1061</v>
      </c>
      <c r="E614" s="59" t="s">
        <v>1062</v>
      </c>
      <c r="G614" s="60">
        <v>14.553000000000001</v>
      </c>
      <c r="M614" s="61"/>
    </row>
    <row r="615" spans="1:76" ht="25" x14ac:dyDescent="0.35">
      <c r="A615" s="64" t="s">
        <v>1063</v>
      </c>
      <c r="B615" s="65" t="s">
        <v>103</v>
      </c>
      <c r="C615" s="65" t="s">
        <v>1064</v>
      </c>
      <c r="D615" s="217" t="s">
        <v>1065</v>
      </c>
      <c r="E615" s="218"/>
      <c r="F615" s="65" t="s">
        <v>110</v>
      </c>
      <c r="G615" s="67">
        <f>'Stavební rozpočet'!G475</f>
        <v>45.36</v>
      </c>
      <c r="H615" s="95">
        <f>'Stavební rozpočet'!H475</f>
        <v>0</v>
      </c>
      <c r="I615" s="67">
        <f>G615*H615</f>
        <v>0</v>
      </c>
      <c r="J615" s="67">
        <f>'Stavební rozpočet'!J475</f>
        <v>1.8200000000000001E-2</v>
      </c>
      <c r="K615" s="67">
        <f>'Stavební rozpočet'!K475</f>
        <v>0</v>
      </c>
      <c r="L615" s="67">
        <f>G615*J615</f>
        <v>0.82555200000000006</v>
      </c>
      <c r="M615" s="68" t="s">
        <v>10</v>
      </c>
      <c r="Z615" s="54">
        <f>IF(AQ615="5",BJ615,0)</f>
        <v>0</v>
      </c>
      <c r="AB615" s="54">
        <f>IF(AQ615="1",BH615,0)</f>
        <v>0</v>
      </c>
      <c r="AC615" s="54">
        <f>IF(AQ615="1",BI615,0)</f>
        <v>0</v>
      </c>
      <c r="AD615" s="54">
        <f>IF(AQ615="7",BH615,0)</f>
        <v>0</v>
      </c>
      <c r="AE615" s="54">
        <f>IF(AQ615="7",BI615,0)</f>
        <v>0</v>
      </c>
      <c r="AF615" s="54">
        <f>IF(AQ615="2",BH615,0)</f>
        <v>0</v>
      </c>
      <c r="AG615" s="54">
        <f>IF(AQ615="2",BI615,0)</f>
        <v>0</v>
      </c>
      <c r="AH615" s="54">
        <f>IF(AQ615="0",BJ615,0)</f>
        <v>0</v>
      </c>
      <c r="AI615" s="34" t="s">
        <v>103</v>
      </c>
      <c r="AJ615" s="67">
        <f>IF(AN615=0,I615,0)</f>
        <v>0</v>
      </c>
      <c r="AK615" s="67">
        <f>IF(AN615=12,I615,0)</f>
        <v>0</v>
      </c>
      <c r="AL615" s="67">
        <f>IF(AN615=21,I615,0)</f>
        <v>0</v>
      </c>
      <c r="AN615" s="54">
        <v>21</v>
      </c>
      <c r="AO615" s="54">
        <f>H615*1</f>
        <v>0</v>
      </c>
      <c r="AP615" s="54">
        <f>H615*(1-1)</f>
        <v>0</v>
      </c>
      <c r="AQ615" s="69" t="s">
        <v>168</v>
      </c>
      <c r="AV615" s="54">
        <f>AW615+AX615</f>
        <v>0</v>
      </c>
      <c r="AW615" s="54">
        <f>G615*AO615</f>
        <v>0</v>
      </c>
      <c r="AX615" s="54">
        <f>G615*AP615</f>
        <v>0</v>
      </c>
      <c r="AY615" s="56" t="s">
        <v>990</v>
      </c>
      <c r="AZ615" s="56" t="s">
        <v>991</v>
      </c>
      <c r="BA615" s="34" t="s">
        <v>114</v>
      </c>
      <c r="BC615" s="54">
        <f>AW615+AX615</f>
        <v>0</v>
      </c>
      <c r="BD615" s="54">
        <f>H615/(100-BE615)*100</f>
        <v>0</v>
      </c>
      <c r="BE615" s="54">
        <v>0</v>
      </c>
      <c r="BF615" s="54">
        <f>L615</f>
        <v>0.82555200000000006</v>
      </c>
      <c r="BH615" s="67">
        <f>G615*AO615</f>
        <v>0</v>
      </c>
      <c r="BI615" s="67">
        <f>G615*AP615</f>
        <v>0</v>
      </c>
      <c r="BJ615" s="67">
        <f>G615*H615</f>
        <v>0</v>
      </c>
      <c r="BK615" s="67"/>
      <c r="BL615" s="54">
        <v>771</v>
      </c>
      <c r="BW615" s="54">
        <v>21</v>
      </c>
      <c r="BX615" s="66" t="s">
        <v>1065</v>
      </c>
    </row>
    <row r="616" spans="1:76" ht="13.5" customHeight="1" x14ac:dyDescent="0.35">
      <c r="A616" s="57"/>
      <c r="C616" s="62" t="s">
        <v>122</v>
      </c>
      <c r="D616" s="214" t="s">
        <v>1066</v>
      </c>
      <c r="E616" s="215"/>
      <c r="F616" s="215"/>
      <c r="G616" s="215"/>
      <c r="H616" s="215"/>
      <c r="I616" s="215"/>
      <c r="J616" s="215"/>
      <c r="K616" s="215"/>
      <c r="L616" s="215"/>
      <c r="M616" s="216"/>
    </row>
    <row r="617" spans="1:76" ht="14.5" x14ac:dyDescent="0.35">
      <c r="A617" s="57"/>
      <c r="D617" s="58" t="s">
        <v>208</v>
      </c>
      <c r="E617" s="59" t="s">
        <v>1067</v>
      </c>
      <c r="G617" s="60">
        <v>0</v>
      </c>
      <c r="M617" s="61"/>
    </row>
    <row r="618" spans="1:76" ht="14.5" x14ac:dyDescent="0.35">
      <c r="A618" s="57"/>
      <c r="D618" s="58" t="s">
        <v>1068</v>
      </c>
      <c r="E618" s="59" t="s">
        <v>1069</v>
      </c>
      <c r="G618" s="60">
        <v>45.36</v>
      </c>
      <c r="M618" s="61"/>
    </row>
    <row r="619" spans="1:76" ht="14.5" x14ac:dyDescent="0.35">
      <c r="A619" s="1" t="s">
        <v>1070</v>
      </c>
      <c r="B619" s="2" t="s">
        <v>103</v>
      </c>
      <c r="C619" s="2" t="s">
        <v>1071</v>
      </c>
      <c r="D619" s="155" t="s">
        <v>1072</v>
      </c>
      <c r="E619" s="153"/>
      <c r="F619" s="2" t="s">
        <v>412</v>
      </c>
      <c r="G619" s="54">
        <f>'Stavební rozpočet'!G478</f>
        <v>6.4210000000000003</v>
      </c>
      <c r="H619" s="94">
        <f>'Stavební rozpočet'!H478</f>
        <v>0</v>
      </c>
      <c r="I619" s="54">
        <f>G619*H619</f>
        <v>0</v>
      </c>
      <c r="J619" s="54">
        <f>'Stavební rozpočet'!J478</f>
        <v>0</v>
      </c>
      <c r="K619" s="54">
        <f>'Stavební rozpočet'!K478</f>
        <v>0</v>
      </c>
      <c r="L619" s="54">
        <f>G619*J619</f>
        <v>0</v>
      </c>
      <c r="M619" s="55" t="s">
        <v>111</v>
      </c>
      <c r="Z619" s="54">
        <f>IF(AQ619="5",BJ619,0)</f>
        <v>0</v>
      </c>
      <c r="AB619" s="54">
        <f>IF(AQ619="1",BH619,0)</f>
        <v>0</v>
      </c>
      <c r="AC619" s="54">
        <f>IF(AQ619="1",BI619,0)</f>
        <v>0</v>
      </c>
      <c r="AD619" s="54">
        <f>IF(AQ619="7",BH619,0)</f>
        <v>0</v>
      </c>
      <c r="AE619" s="54">
        <f>IF(AQ619="7",BI619,0)</f>
        <v>0</v>
      </c>
      <c r="AF619" s="54">
        <f>IF(AQ619="2",BH619,0)</f>
        <v>0</v>
      </c>
      <c r="AG619" s="54">
        <f>IF(AQ619="2",BI619,0)</f>
        <v>0</v>
      </c>
      <c r="AH619" s="54">
        <f>IF(AQ619="0",BJ619,0)</f>
        <v>0</v>
      </c>
      <c r="AI619" s="34" t="s">
        <v>103</v>
      </c>
      <c r="AJ619" s="54">
        <f>IF(AN619=0,I619,0)</f>
        <v>0</v>
      </c>
      <c r="AK619" s="54">
        <f>IF(AN619=12,I619,0)</f>
        <v>0</v>
      </c>
      <c r="AL619" s="54">
        <f>IF(AN619=21,I619,0)</f>
        <v>0</v>
      </c>
      <c r="AN619" s="54">
        <v>21</v>
      </c>
      <c r="AO619" s="54">
        <f>H619*0</f>
        <v>0</v>
      </c>
      <c r="AP619" s="54">
        <f>H619*(1-0)</f>
        <v>0</v>
      </c>
      <c r="AQ619" s="56" t="s">
        <v>150</v>
      </c>
      <c r="AV619" s="54">
        <f>AW619+AX619</f>
        <v>0</v>
      </c>
      <c r="AW619" s="54">
        <f>G619*AO619</f>
        <v>0</v>
      </c>
      <c r="AX619" s="54">
        <f>G619*AP619</f>
        <v>0</v>
      </c>
      <c r="AY619" s="56" t="s">
        <v>990</v>
      </c>
      <c r="AZ619" s="56" t="s">
        <v>991</v>
      </c>
      <c r="BA619" s="34" t="s">
        <v>114</v>
      </c>
      <c r="BC619" s="54">
        <f>AW619+AX619</f>
        <v>0</v>
      </c>
      <c r="BD619" s="54">
        <f>H619/(100-BE619)*100</f>
        <v>0</v>
      </c>
      <c r="BE619" s="54">
        <v>0</v>
      </c>
      <c r="BF619" s="54">
        <f>L619</f>
        <v>0</v>
      </c>
      <c r="BH619" s="54">
        <f>G619*AO619</f>
        <v>0</v>
      </c>
      <c r="BI619" s="54">
        <f>G619*AP619</f>
        <v>0</v>
      </c>
      <c r="BJ619" s="54">
        <f>G619*H619</f>
        <v>0</v>
      </c>
      <c r="BK619" s="54"/>
      <c r="BL619" s="54">
        <v>771</v>
      </c>
      <c r="BW619" s="54">
        <v>21</v>
      </c>
      <c r="BX619" s="3" t="s">
        <v>1072</v>
      </c>
    </row>
    <row r="620" spans="1:76" ht="14.5" x14ac:dyDescent="0.35">
      <c r="A620" s="50" t="s">
        <v>10</v>
      </c>
      <c r="B620" s="51" t="s">
        <v>103</v>
      </c>
      <c r="C620" s="51" t="s">
        <v>1073</v>
      </c>
      <c r="D620" s="206" t="s">
        <v>1074</v>
      </c>
      <c r="E620" s="207"/>
      <c r="F620" s="52" t="s">
        <v>84</v>
      </c>
      <c r="G620" s="52" t="s">
        <v>84</v>
      </c>
      <c r="H620" s="52" t="s">
        <v>84</v>
      </c>
      <c r="I620" s="27">
        <f>SUM(I621:I675)</f>
        <v>0</v>
      </c>
      <c r="J620" s="34" t="s">
        <v>10</v>
      </c>
      <c r="K620" s="34" t="s">
        <v>10</v>
      </c>
      <c r="L620" s="27">
        <f>SUM(L621:L675)</f>
        <v>11.946255000000001</v>
      </c>
      <c r="M620" s="53" t="s">
        <v>10</v>
      </c>
      <c r="AI620" s="34" t="s">
        <v>103</v>
      </c>
      <c r="AS620" s="27">
        <f>SUM(AJ621:AJ675)</f>
        <v>0</v>
      </c>
      <c r="AT620" s="27">
        <f>SUM(AK621:AK675)</f>
        <v>0</v>
      </c>
      <c r="AU620" s="27">
        <f>SUM(AL621:AL675)</f>
        <v>0</v>
      </c>
    </row>
    <row r="621" spans="1:76" ht="14.5" x14ac:dyDescent="0.35">
      <c r="A621" s="1" t="s">
        <v>1075</v>
      </c>
      <c r="B621" s="2" t="s">
        <v>103</v>
      </c>
      <c r="C621" s="2" t="s">
        <v>988</v>
      </c>
      <c r="D621" s="155" t="s">
        <v>989</v>
      </c>
      <c r="E621" s="153"/>
      <c r="F621" s="2" t="s">
        <v>110</v>
      </c>
      <c r="G621" s="54">
        <f>'Stavební rozpočet'!G480</f>
        <v>465.6</v>
      </c>
      <c r="H621" s="94">
        <f>'Stavební rozpočet'!H480</f>
        <v>0</v>
      </c>
      <c r="I621" s="54">
        <f>G621*H621</f>
        <v>0</v>
      </c>
      <c r="J621" s="54">
        <f>'Stavební rozpočet'!J480</f>
        <v>9.1900000000000003E-3</v>
      </c>
      <c r="K621" s="54">
        <f>'Stavební rozpočet'!K480</f>
        <v>0</v>
      </c>
      <c r="L621" s="54">
        <f>G621*J621</f>
        <v>4.2788640000000004</v>
      </c>
      <c r="M621" s="55" t="s">
        <v>111</v>
      </c>
      <c r="Z621" s="54">
        <f>IF(AQ621="5",BJ621,0)</f>
        <v>0</v>
      </c>
      <c r="AB621" s="54">
        <f>IF(AQ621="1",BH621,0)</f>
        <v>0</v>
      </c>
      <c r="AC621" s="54">
        <f>IF(AQ621="1",BI621,0)</f>
        <v>0</v>
      </c>
      <c r="AD621" s="54">
        <f>IF(AQ621="7",BH621,0)</f>
        <v>0</v>
      </c>
      <c r="AE621" s="54">
        <f>IF(AQ621="7",BI621,0)</f>
        <v>0</v>
      </c>
      <c r="AF621" s="54">
        <f>IF(AQ621="2",BH621,0)</f>
        <v>0</v>
      </c>
      <c r="AG621" s="54">
        <f>IF(AQ621="2",BI621,0)</f>
        <v>0</v>
      </c>
      <c r="AH621" s="54">
        <f>IF(AQ621="0",BJ621,0)</f>
        <v>0</v>
      </c>
      <c r="AI621" s="34" t="s">
        <v>103</v>
      </c>
      <c r="AJ621" s="54">
        <f>IF(AN621=0,I621,0)</f>
        <v>0</v>
      </c>
      <c r="AK621" s="54">
        <f>IF(AN621=12,I621,0)</f>
        <v>0</v>
      </c>
      <c r="AL621" s="54">
        <f>IF(AN621=21,I621,0)</f>
        <v>0</v>
      </c>
      <c r="AN621" s="54">
        <v>21</v>
      </c>
      <c r="AO621" s="54">
        <f>H621*0.442246456</f>
        <v>0</v>
      </c>
      <c r="AP621" s="54">
        <f>H621*(1-0.442246456)</f>
        <v>0</v>
      </c>
      <c r="AQ621" s="56" t="s">
        <v>168</v>
      </c>
      <c r="AV621" s="54">
        <f>AW621+AX621</f>
        <v>0</v>
      </c>
      <c r="AW621" s="54">
        <f>G621*AO621</f>
        <v>0</v>
      </c>
      <c r="AX621" s="54">
        <f>G621*AP621</f>
        <v>0</v>
      </c>
      <c r="AY621" s="56" t="s">
        <v>1076</v>
      </c>
      <c r="AZ621" s="56" t="s">
        <v>991</v>
      </c>
      <c r="BA621" s="34" t="s">
        <v>114</v>
      </c>
      <c r="BC621" s="54">
        <f>AW621+AX621</f>
        <v>0</v>
      </c>
      <c r="BD621" s="54">
        <f>H621/(100-BE621)*100</f>
        <v>0</v>
      </c>
      <c r="BE621" s="54">
        <v>0</v>
      </c>
      <c r="BF621" s="54">
        <f>L621</f>
        <v>4.2788640000000004</v>
      </c>
      <c r="BH621" s="54">
        <f>G621*AO621</f>
        <v>0</v>
      </c>
      <c r="BI621" s="54">
        <f>G621*AP621</f>
        <v>0</v>
      </c>
      <c r="BJ621" s="54">
        <f>G621*H621</f>
        <v>0</v>
      </c>
      <c r="BK621" s="54"/>
      <c r="BL621" s="54">
        <v>776</v>
      </c>
      <c r="BW621" s="54">
        <v>21</v>
      </c>
      <c r="BX621" s="3" t="s">
        <v>989</v>
      </c>
    </row>
    <row r="622" spans="1:76" ht="13.5" customHeight="1" x14ac:dyDescent="0.35">
      <c r="A622" s="57"/>
      <c r="C622" s="62" t="s">
        <v>122</v>
      </c>
      <c r="D622" s="214" t="s">
        <v>992</v>
      </c>
      <c r="E622" s="215"/>
      <c r="F622" s="215"/>
      <c r="G622" s="215"/>
      <c r="H622" s="215"/>
      <c r="I622" s="215"/>
      <c r="J622" s="215"/>
      <c r="K622" s="215"/>
      <c r="L622" s="215"/>
      <c r="M622" s="216"/>
    </row>
    <row r="623" spans="1:76" ht="14.5" x14ac:dyDescent="0.35">
      <c r="A623" s="57"/>
      <c r="D623" s="58" t="s">
        <v>1077</v>
      </c>
      <c r="E623" s="59" t="s">
        <v>1078</v>
      </c>
      <c r="G623" s="60">
        <v>51.12</v>
      </c>
      <c r="M623" s="61"/>
    </row>
    <row r="624" spans="1:76" ht="14.5" x14ac:dyDescent="0.35">
      <c r="A624" s="57"/>
      <c r="D624" s="58" t="s">
        <v>1079</v>
      </c>
      <c r="E624" s="59" t="s">
        <v>1080</v>
      </c>
      <c r="G624" s="60">
        <v>345.84</v>
      </c>
      <c r="M624" s="61"/>
    </row>
    <row r="625" spans="1:76" ht="14.5" x14ac:dyDescent="0.35">
      <c r="A625" s="57"/>
      <c r="D625" s="58" t="s">
        <v>1081</v>
      </c>
      <c r="E625" s="59" t="s">
        <v>1082</v>
      </c>
      <c r="G625" s="60">
        <v>7.96</v>
      </c>
      <c r="M625" s="61"/>
    </row>
    <row r="626" spans="1:76" ht="14.5" x14ac:dyDescent="0.35">
      <c r="A626" s="57"/>
      <c r="D626" s="58" t="s">
        <v>1083</v>
      </c>
      <c r="E626" s="59" t="s">
        <v>1084</v>
      </c>
      <c r="G626" s="60">
        <v>40.68</v>
      </c>
      <c r="M626" s="61"/>
    </row>
    <row r="627" spans="1:76" ht="14.5" x14ac:dyDescent="0.35">
      <c r="A627" s="57"/>
      <c r="D627" s="58" t="s">
        <v>1085</v>
      </c>
      <c r="E627" s="59" t="s">
        <v>1086</v>
      </c>
      <c r="G627" s="60">
        <v>20</v>
      </c>
      <c r="M627" s="61"/>
    </row>
    <row r="628" spans="1:76" ht="14.5" x14ac:dyDescent="0.35">
      <c r="A628" s="1" t="s">
        <v>1087</v>
      </c>
      <c r="B628" s="2" t="s">
        <v>103</v>
      </c>
      <c r="C628" s="2" t="s">
        <v>1088</v>
      </c>
      <c r="D628" s="155" t="s">
        <v>1089</v>
      </c>
      <c r="E628" s="153"/>
      <c r="F628" s="2" t="s">
        <v>153</v>
      </c>
      <c r="G628" s="54">
        <f>'Stavební rozpočet'!G486</f>
        <v>501.4</v>
      </c>
      <c r="H628" s="94">
        <f>'Stavební rozpočet'!H486</f>
        <v>0</v>
      </c>
      <c r="I628" s="54">
        <f>G628*H628</f>
        <v>0</v>
      </c>
      <c r="J628" s="54">
        <f>'Stavební rozpočet'!J486</f>
        <v>8.0000000000000007E-5</v>
      </c>
      <c r="K628" s="54">
        <f>'Stavební rozpočet'!K486</f>
        <v>8.0000000000000007E-5</v>
      </c>
      <c r="L628" s="54">
        <f>G628*J628</f>
        <v>4.0112000000000002E-2</v>
      </c>
      <c r="M628" s="55" t="s">
        <v>111</v>
      </c>
      <c r="Z628" s="54">
        <f>IF(AQ628="5",BJ628,0)</f>
        <v>0</v>
      </c>
      <c r="AB628" s="54">
        <f>IF(AQ628="1",BH628,0)</f>
        <v>0</v>
      </c>
      <c r="AC628" s="54">
        <f>IF(AQ628="1",BI628,0)</f>
        <v>0</v>
      </c>
      <c r="AD628" s="54">
        <f>IF(AQ628="7",BH628,0)</f>
        <v>0</v>
      </c>
      <c r="AE628" s="54">
        <f>IF(AQ628="7",BI628,0)</f>
        <v>0</v>
      </c>
      <c r="AF628" s="54">
        <f>IF(AQ628="2",BH628,0)</f>
        <v>0</v>
      </c>
      <c r="AG628" s="54">
        <f>IF(AQ628="2",BI628,0)</f>
        <v>0</v>
      </c>
      <c r="AH628" s="54">
        <f>IF(AQ628="0",BJ628,0)</f>
        <v>0</v>
      </c>
      <c r="AI628" s="34" t="s">
        <v>103</v>
      </c>
      <c r="AJ628" s="54">
        <f>IF(AN628=0,I628,0)</f>
        <v>0</v>
      </c>
      <c r="AK628" s="54">
        <f>IF(AN628=12,I628,0)</f>
        <v>0</v>
      </c>
      <c r="AL628" s="54">
        <f>IF(AN628=21,I628,0)</f>
        <v>0</v>
      </c>
      <c r="AN628" s="54">
        <v>21</v>
      </c>
      <c r="AO628" s="54">
        <f>H628*0</f>
        <v>0</v>
      </c>
      <c r="AP628" s="54">
        <f>H628*(1-0)</f>
        <v>0</v>
      </c>
      <c r="AQ628" s="56" t="s">
        <v>168</v>
      </c>
      <c r="AV628" s="54">
        <f>AW628+AX628</f>
        <v>0</v>
      </c>
      <c r="AW628" s="54">
        <f>G628*AO628</f>
        <v>0</v>
      </c>
      <c r="AX628" s="54">
        <f>G628*AP628</f>
        <v>0</v>
      </c>
      <c r="AY628" s="56" t="s">
        <v>1076</v>
      </c>
      <c r="AZ628" s="56" t="s">
        <v>991</v>
      </c>
      <c r="BA628" s="34" t="s">
        <v>114</v>
      </c>
      <c r="BC628" s="54">
        <f>AW628+AX628</f>
        <v>0</v>
      </c>
      <c r="BD628" s="54">
        <f>H628/(100-BE628)*100</f>
        <v>0</v>
      </c>
      <c r="BE628" s="54">
        <v>0</v>
      </c>
      <c r="BF628" s="54">
        <f>L628</f>
        <v>4.0112000000000002E-2</v>
      </c>
      <c r="BH628" s="54">
        <f>G628*AO628</f>
        <v>0</v>
      </c>
      <c r="BI628" s="54">
        <f>G628*AP628</f>
        <v>0</v>
      </c>
      <c r="BJ628" s="54">
        <f>G628*H628</f>
        <v>0</v>
      </c>
      <c r="BK628" s="54"/>
      <c r="BL628" s="54">
        <v>776</v>
      </c>
      <c r="BW628" s="54">
        <v>21</v>
      </c>
      <c r="BX628" s="3" t="s">
        <v>1089</v>
      </c>
    </row>
    <row r="629" spans="1:76" ht="13.5" customHeight="1" x14ac:dyDescent="0.35">
      <c r="A629" s="57"/>
      <c r="C629" s="62" t="s">
        <v>122</v>
      </c>
      <c r="D629" s="214" t="s">
        <v>1090</v>
      </c>
      <c r="E629" s="215"/>
      <c r="F629" s="215"/>
      <c r="G629" s="215"/>
      <c r="H629" s="215"/>
      <c r="I629" s="215"/>
      <c r="J629" s="215"/>
      <c r="K629" s="215"/>
      <c r="L629" s="215"/>
      <c r="M629" s="216"/>
    </row>
    <row r="630" spans="1:76" ht="14.5" x14ac:dyDescent="0.35">
      <c r="A630" s="57"/>
      <c r="D630" s="58" t="s">
        <v>208</v>
      </c>
      <c r="E630" s="59" t="s">
        <v>1091</v>
      </c>
      <c r="G630" s="60">
        <v>0</v>
      </c>
      <c r="M630" s="61"/>
    </row>
    <row r="631" spans="1:76" ht="14.5" x14ac:dyDescent="0.35">
      <c r="A631" s="57"/>
      <c r="D631" s="58" t="s">
        <v>1092</v>
      </c>
      <c r="E631" s="59" t="s">
        <v>1093</v>
      </c>
      <c r="G631" s="60">
        <v>10.72</v>
      </c>
      <c r="M631" s="61"/>
    </row>
    <row r="632" spans="1:76" ht="14.5" x14ac:dyDescent="0.35">
      <c r="A632" s="57"/>
      <c r="D632" s="58" t="s">
        <v>1094</v>
      </c>
      <c r="E632" s="59" t="s">
        <v>1095</v>
      </c>
      <c r="G632" s="60">
        <v>35.76</v>
      </c>
      <c r="M632" s="61"/>
    </row>
    <row r="633" spans="1:76" ht="14.5" x14ac:dyDescent="0.35">
      <c r="A633" s="57"/>
      <c r="D633" s="58" t="s">
        <v>1096</v>
      </c>
      <c r="E633" s="59" t="s">
        <v>1097</v>
      </c>
      <c r="G633" s="60">
        <v>19.559999999999999</v>
      </c>
      <c r="M633" s="61"/>
    </row>
    <row r="634" spans="1:76" ht="14.5" x14ac:dyDescent="0.35">
      <c r="A634" s="57"/>
      <c r="D634" s="58" t="s">
        <v>1098</v>
      </c>
      <c r="E634" s="59" t="s">
        <v>1099</v>
      </c>
      <c r="G634" s="60">
        <v>88.56</v>
      </c>
      <c r="M634" s="61"/>
    </row>
    <row r="635" spans="1:76" ht="14.5" x14ac:dyDescent="0.35">
      <c r="A635" s="57"/>
      <c r="D635" s="58" t="s">
        <v>1100</v>
      </c>
      <c r="E635" s="59" t="s">
        <v>1101</v>
      </c>
      <c r="G635" s="60">
        <v>346.8</v>
      </c>
      <c r="M635" s="61"/>
    </row>
    <row r="636" spans="1:76" ht="14.5" x14ac:dyDescent="0.35">
      <c r="A636" s="1" t="s">
        <v>1102</v>
      </c>
      <c r="B636" s="2" t="s">
        <v>103</v>
      </c>
      <c r="C636" s="2" t="s">
        <v>1103</v>
      </c>
      <c r="D636" s="155" t="s">
        <v>1104</v>
      </c>
      <c r="E636" s="153"/>
      <c r="F636" s="2" t="s">
        <v>110</v>
      </c>
      <c r="G636" s="54">
        <f>'Stavební rozpočet'!G493</f>
        <v>61.04</v>
      </c>
      <c r="H636" s="94">
        <f>'Stavební rozpočet'!H493</f>
        <v>0</v>
      </c>
      <c r="I636" s="54">
        <f>G636*H636</f>
        <v>0</v>
      </c>
      <c r="J636" s="54">
        <f>'Stavební rozpočet'!J493</f>
        <v>3.5000000000000001E-3</v>
      </c>
      <c r="K636" s="54">
        <f>'Stavební rozpočet'!K493</f>
        <v>3.5000000000000001E-3</v>
      </c>
      <c r="L636" s="54">
        <f>G636*J636</f>
        <v>0.21364</v>
      </c>
      <c r="M636" s="55" t="s">
        <v>111</v>
      </c>
      <c r="Z636" s="54">
        <f>IF(AQ636="5",BJ636,0)</f>
        <v>0</v>
      </c>
      <c r="AB636" s="54">
        <f>IF(AQ636="1",BH636,0)</f>
        <v>0</v>
      </c>
      <c r="AC636" s="54">
        <f>IF(AQ636="1",BI636,0)</f>
        <v>0</v>
      </c>
      <c r="AD636" s="54">
        <f>IF(AQ636="7",BH636,0)</f>
        <v>0</v>
      </c>
      <c r="AE636" s="54">
        <f>IF(AQ636="7",BI636,0)</f>
        <v>0</v>
      </c>
      <c r="AF636" s="54">
        <f>IF(AQ636="2",BH636,0)</f>
        <v>0</v>
      </c>
      <c r="AG636" s="54">
        <f>IF(AQ636="2",BI636,0)</f>
        <v>0</v>
      </c>
      <c r="AH636" s="54">
        <f>IF(AQ636="0",BJ636,0)</f>
        <v>0</v>
      </c>
      <c r="AI636" s="34" t="s">
        <v>103</v>
      </c>
      <c r="AJ636" s="54">
        <f>IF(AN636=0,I636,0)</f>
        <v>0</v>
      </c>
      <c r="AK636" s="54">
        <f>IF(AN636=12,I636,0)</f>
        <v>0</v>
      </c>
      <c r="AL636" s="54">
        <f>IF(AN636=21,I636,0)</f>
        <v>0</v>
      </c>
      <c r="AN636" s="54">
        <v>21</v>
      </c>
      <c r="AO636" s="54">
        <f>H636*0</f>
        <v>0</v>
      </c>
      <c r="AP636" s="54">
        <f>H636*(1-0)</f>
        <v>0</v>
      </c>
      <c r="AQ636" s="56" t="s">
        <v>168</v>
      </c>
      <c r="AV636" s="54">
        <f>AW636+AX636</f>
        <v>0</v>
      </c>
      <c r="AW636" s="54">
        <f>G636*AO636</f>
        <v>0</v>
      </c>
      <c r="AX636" s="54">
        <f>G636*AP636</f>
        <v>0</v>
      </c>
      <c r="AY636" s="56" t="s">
        <v>1076</v>
      </c>
      <c r="AZ636" s="56" t="s">
        <v>991</v>
      </c>
      <c r="BA636" s="34" t="s">
        <v>114</v>
      </c>
      <c r="BC636" s="54">
        <f>AW636+AX636</f>
        <v>0</v>
      </c>
      <c r="BD636" s="54">
        <f>H636/(100-BE636)*100</f>
        <v>0</v>
      </c>
      <c r="BE636" s="54">
        <v>0</v>
      </c>
      <c r="BF636" s="54">
        <f>L636</f>
        <v>0.21364</v>
      </c>
      <c r="BH636" s="54">
        <f>G636*AO636</f>
        <v>0</v>
      </c>
      <c r="BI636" s="54">
        <f>G636*AP636</f>
        <v>0</v>
      </c>
      <c r="BJ636" s="54">
        <f>G636*H636</f>
        <v>0</v>
      </c>
      <c r="BK636" s="54"/>
      <c r="BL636" s="54">
        <v>776</v>
      </c>
      <c r="BW636" s="54">
        <v>21</v>
      </c>
      <c r="BX636" s="3" t="s">
        <v>1104</v>
      </c>
    </row>
    <row r="637" spans="1:76" ht="13.5" customHeight="1" x14ac:dyDescent="0.35">
      <c r="A637" s="57"/>
      <c r="C637" s="62" t="s">
        <v>122</v>
      </c>
      <c r="D637" s="214" t="s">
        <v>1105</v>
      </c>
      <c r="E637" s="215"/>
      <c r="F637" s="215"/>
      <c r="G637" s="215"/>
      <c r="H637" s="215"/>
      <c r="I637" s="215"/>
      <c r="J637" s="215"/>
      <c r="K637" s="215"/>
      <c r="L637" s="215"/>
      <c r="M637" s="216"/>
    </row>
    <row r="638" spans="1:76" ht="14.5" x14ac:dyDescent="0.35">
      <c r="A638" s="57"/>
      <c r="D638" s="58" t="s">
        <v>208</v>
      </c>
      <c r="E638" s="59" t="s">
        <v>1106</v>
      </c>
      <c r="G638" s="60">
        <v>0</v>
      </c>
      <c r="M638" s="61"/>
    </row>
    <row r="639" spans="1:76" ht="14.5" x14ac:dyDescent="0.35">
      <c r="A639" s="57"/>
      <c r="D639" s="58" t="s">
        <v>1083</v>
      </c>
      <c r="E639" s="59" t="s">
        <v>1107</v>
      </c>
      <c r="G639" s="60">
        <v>40.68</v>
      </c>
      <c r="M639" s="61"/>
    </row>
    <row r="640" spans="1:76" ht="14.5" x14ac:dyDescent="0.35">
      <c r="A640" s="57"/>
      <c r="D640" s="58" t="s">
        <v>1108</v>
      </c>
      <c r="E640" s="59" t="s">
        <v>1109</v>
      </c>
      <c r="G640" s="60">
        <v>20.36</v>
      </c>
      <c r="M640" s="61"/>
    </row>
    <row r="641" spans="1:76" ht="14.5" x14ac:dyDescent="0.35">
      <c r="A641" s="1" t="s">
        <v>1110</v>
      </c>
      <c r="B641" s="2" t="s">
        <v>103</v>
      </c>
      <c r="C641" s="2" t="s">
        <v>1111</v>
      </c>
      <c r="D641" s="155" t="s">
        <v>1104</v>
      </c>
      <c r="E641" s="153"/>
      <c r="F641" s="2" t="s">
        <v>110</v>
      </c>
      <c r="G641" s="54">
        <f>'Stavební rozpočet'!G497</f>
        <v>345.84</v>
      </c>
      <c r="H641" s="94">
        <f>'Stavební rozpočet'!H497</f>
        <v>0</v>
      </c>
      <c r="I641" s="54">
        <f>G641*H641</f>
        <v>0</v>
      </c>
      <c r="J641" s="54">
        <f>'Stavební rozpočet'!J497</f>
        <v>3.5000000000000001E-3</v>
      </c>
      <c r="K641" s="54">
        <f>'Stavební rozpočet'!K497</f>
        <v>3.5000000000000001E-3</v>
      </c>
      <c r="L641" s="54">
        <f>G641*J641</f>
        <v>1.21044</v>
      </c>
      <c r="M641" s="55" t="s">
        <v>111</v>
      </c>
      <c r="Z641" s="54">
        <f>IF(AQ641="5",BJ641,0)</f>
        <v>0</v>
      </c>
      <c r="AB641" s="54">
        <f>IF(AQ641="1",BH641,0)</f>
        <v>0</v>
      </c>
      <c r="AC641" s="54">
        <f>IF(AQ641="1",BI641,0)</f>
        <v>0</v>
      </c>
      <c r="AD641" s="54">
        <f>IF(AQ641="7",BH641,0)</f>
        <v>0</v>
      </c>
      <c r="AE641" s="54">
        <f>IF(AQ641="7",BI641,0)</f>
        <v>0</v>
      </c>
      <c r="AF641" s="54">
        <f>IF(AQ641="2",BH641,0)</f>
        <v>0</v>
      </c>
      <c r="AG641" s="54">
        <f>IF(AQ641="2",BI641,0)</f>
        <v>0</v>
      </c>
      <c r="AH641" s="54">
        <f>IF(AQ641="0",BJ641,0)</f>
        <v>0</v>
      </c>
      <c r="AI641" s="34" t="s">
        <v>103</v>
      </c>
      <c r="AJ641" s="54">
        <f>IF(AN641=0,I641,0)</f>
        <v>0</v>
      </c>
      <c r="AK641" s="54">
        <f>IF(AN641=12,I641,0)</f>
        <v>0</v>
      </c>
      <c r="AL641" s="54">
        <f>IF(AN641=21,I641,0)</f>
        <v>0</v>
      </c>
      <c r="AN641" s="54">
        <v>21</v>
      </c>
      <c r="AO641" s="54">
        <f>H641*0</f>
        <v>0</v>
      </c>
      <c r="AP641" s="54">
        <f>H641*(1-0)</f>
        <v>0</v>
      </c>
      <c r="AQ641" s="56" t="s">
        <v>168</v>
      </c>
      <c r="AV641" s="54">
        <f>AW641+AX641</f>
        <v>0</v>
      </c>
      <c r="AW641" s="54">
        <f>G641*AO641</f>
        <v>0</v>
      </c>
      <c r="AX641" s="54">
        <f>G641*AP641</f>
        <v>0</v>
      </c>
      <c r="AY641" s="56" t="s">
        <v>1076</v>
      </c>
      <c r="AZ641" s="56" t="s">
        <v>991</v>
      </c>
      <c r="BA641" s="34" t="s">
        <v>114</v>
      </c>
      <c r="BC641" s="54">
        <f>AW641+AX641</f>
        <v>0</v>
      </c>
      <c r="BD641" s="54">
        <f>H641/(100-BE641)*100</f>
        <v>0</v>
      </c>
      <c r="BE641" s="54">
        <v>0</v>
      </c>
      <c r="BF641" s="54">
        <f>L641</f>
        <v>1.21044</v>
      </c>
      <c r="BH641" s="54">
        <f>G641*AO641</f>
        <v>0</v>
      </c>
      <c r="BI641" s="54">
        <f>G641*AP641</f>
        <v>0</v>
      </c>
      <c r="BJ641" s="54">
        <f>G641*H641</f>
        <v>0</v>
      </c>
      <c r="BK641" s="54"/>
      <c r="BL641" s="54">
        <v>776</v>
      </c>
      <c r="BW641" s="54">
        <v>21</v>
      </c>
      <c r="BX641" s="3" t="s">
        <v>1104</v>
      </c>
    </row>
    <row r="642" spans="1:76" ht="13.5" customHeight="1" x14ac:dyDescent="0.35">
      <c r="A642" s="57"/>
      <c r="C642" s="62" t="s">
        <v>122</v>
      </c>
      <c r="D642" s="214" t="s">
        <v>1112</v>
      </c>
      <c r="E642" s="215"/>
      <c r="F642" s="215"/>
      <c r="G642" s="215"/>
      <c r="H642" s="215"/>
      <c r="I642" s="215"/>
      <c r="J642" s="215"/>
      <c r="K642" s="215"/>
      <c r="L642" s="215"/>
      <c r="M642" s="216"/>
    </row>
    <row r="643" spans="1:76" ht="14.5" x14ac:dyDescent="0.35">
      <c r="A643" s="57"/>
      <c r="D643" s="58" t="s">
        <v>208</v>
      </c>
      <c r="E643" s="59" t="s">
        <v>1113</v>
      </c>
      <c r="G643" s="60">
        <v>0</v>
      </c>
      <c r="M643" s="61"/>
    </row>
    <row r="644" spans="1:76" ht="14.5" x14ac:dyDescent="0.35">
      <c r="A644" s="57"/>
      <c r="D644" s="58" t="s">
        <v>1079</v>
      </c>
      <c r="E644" s="59" t="s">
        <v>1114</v>
      </c>
      <c r="G644" s="60">
        <v>345.84</v>
      </c>
      <c r="M644" s="61"/>
    </row>
    <row r="645" spans="1:76" ht="14.5" x14ac:dyDescent="0.35">
      <c r="A645" s="1" t="s">
        <v>1115</v>
      </c>
      <c r="B645" s="2" t="s">
        <v>103</v>
      </c>
      <c r="C645" s="2" t="s">
        <v>1116</v>
      </c>
      <c r="D645" s="155" t="s">
        <v>1104</v>
      </c>
      <c r="E645" s="153"/>
      <c r="F645" s="2" t="s">
        <v>110</v>
      </c>
      <c r="G645" s="54">
        <f>'Stavební rozpočet'!G500</f>
        <v>131.404</v>
      </c>
      <c r="H645" s="94">
        <f>'Stavební rozpočet'!H500</f>
        <v>0</v>
      </c>
      <c r="I645" s="54">
        <f>G645*H645</f>
        <v>0</v>
      </c>
      <c r="J645" s="54">
        <f>'Stavební rozpočet'!J500</f>
        <v>3.5000000000000001E-3</v>
      </c>
      <c r="K645" s="54">
        <f>'Stavební rozpočet'!K500</f>
        <v>3.5000000000000001E-3</v>
      </c>
      <c r="L645" s="54">
        <f>G645*J645</f>
        <v>0.45991399999999999</v>
      </c>
      <c r="M645" s="55" t="s">
        <v>111</v>
      </c>
      <c r="Z645" s="54">
        <f>IF(AQ645="5",BJ645,0)</f>
        <v>0</v>
      </c>
      <c r="AB645" s="54">
        <f>IF(AQ645="1",BH645,0)</f>
        <v>0</v>
      </c>
      <c r="AC645" s="54">
        <f>IF(AQ645="1",BI645,0)</f>
        <v>0</v>
      </c>
      <c r="AD645" s="54">
        <f>IF(AQ645="7",BH645,0)</f>
        <v>0</v>
      </c>
      <c r="AE645" s="54">
        <f>IF(AQ645="7",BI645,0)</f>
        <v>0</v>
      </c>
      <c r="AF645" s="54">
        <f>IF(AQ645="2",BH645,0)</f>
        <v>0</v>
      </c>
      <c r="AG645" s="54">
        <f>IF(AQ645="2",BI645,0)</f>
        <v>0</v>
      </c>
      <c r="AH645" s="54">
        <f>IF(AQ645="0",BJ645,0)</f>
        <v>0</v>
      </c>
      <c r="AI645" s="34" t="s">
        <v>103</v>
      </c>
      <c r="AJ645" s="54">
        <f>IF(AN645=0,I645,0)</f>
        <v>0</v>
      </c>
      <c r="AK645" s="54">
        <f>IF(AN645=12,I645,0)</f>
        <v>0</v>
      </c>
      <c r="AL645" s="54">
        <f>IF(AN645=21,I645,0)</f>
        <v>0</v>
      </c>
      <c r="AN645" s="54">
        <v>21</v>
      </c>
      <c r="AO645" s="54">
        <f>H645*0</f>
        <v>0</v>
      </c>
      <c r="AP645" s="54">
        <f>H645*(1-0)</f>
        <v>0</v>
      </c>
      <c r="AQ645" s="56" t="s">
        <v>168</v>
      </c>
      <c r="AV645" s="54">
        <f>AW645+AX645</f>
        <v>0</v>
      </c>
      <c r="AW645" s="54">
        <f>G645*AO645</f>
        <v>0</v>
      </c>
      <c r="AX645" s="54">
        <f>G645*AP645</f>
        <v>0</v>
      </c>
      <c r="AY645" s="56" t="s">
        <v>1076</v>
      </c>
      <c r="AZ645" s="56" t="s">
        <v>991</v>
      </c>
      <c r="BA645" s="34" t="s">
        <v>114</v>
      </c>
      <c r="BC645" s="54">
        <f>AW645+AX645</f>
        <v>0</v>
      </c>
      <c r="BD645" s="54">
        <f>H645/(100-BE645)*100</f>
        <v>0</v>
      </c>
      <c r="BE645" s="54">
        <v>0</v>
      </c>
      <c r="BF645" s="54">
        <f>L645</f>
        <v>0.45991399999999999</v>
      </c>
      <c r="BH645" s="54">
        <f>G645*AO645</f>
        <v>0</v>
      </c>
      <c r="BI645" s="54">
        <f>G645*AP645</f>
        <v>0</v>
      </c>
      <c r="BJ645" s="54">
        <f>G645*H645</f>
        <v>0</v>
      </c>
      <c r="BK645" s="54"/>
      <c r="BL645" s="54">
        <v>776</v>
      </c>
      <c r="BW645" s="54">
        <v>21</v>
      </c>
      <c r="BX645" s="3" t="s">
        <v>1104</v>
      </c>
    </row>
    <row r="646" spans="1:76" ht="13.5" customHeight="1" x14ac:dyDescent="0.35">
      <c r="A646" s="57"/>
      <c r="C646" s="62" t="s">
        <v>122</v>
      </c>
      <c r="D646" s="214" t="s">
        <v>1117</v>
      </c>
      <c r="E646" s="215"/>
      <c r="F646" s="215"/>
      <c r="G646" s="215"/>
      <c r="H646" s="215"/>
      <c r="I646" s="215"/>
      <c r="J646" s="215"/>
      <c r="K646" s="215"/>
      <c r="L646" s="215"/>
      <c r="M646" s="216"/>
    </row>
    <row r="647" spans="1:76" ht="14.5" x14ac:dyDescent="0.35">
      <c r="A647" s="57"/>
      <c r="D647" s="58" t="s">
        <v>208</v>
      </c>
      <c r="E647" s="59" t="s">
        <v>1113</v>
      </c>
      <c r="G647" s="60">
        <v>0</v>
      </c>
      <c r="M647" s="61"/>
    </row>
    <row r="648" spans="1:76" ht="14.5" x14ac:dyDescent="0.35">
      <c r="A648" s="57"/>
      <c r="D648" s="58" t="s">
        <v>1081</v>
      </c>
      <c r="E648" s="59" t="s">
        <v>1118</v>
      </c>
      <c r="G648" s="60">
        <v>7.96</v>
      </c>
      <c r="M648" s="61"/>
    </row>
    <row r="649" spans="1:76" ht="14.5" x14ac:dyDescent="0.35">
      <c r="A649" s="57"/>
      <c r="D649" s="58" t="s">
        <v>1077</v>
      </c>
      <c r="E649" s="59" t="s">
        <v>1119</v>
      </c>
      <c r="G649" s="60">
        <v>51.12</v>
      </c>
      <c r="M649" s="61"/>
    </row>
    <row r="650" spans="1:76" ht="14.5" x14ac:dyDescent="0.35">
      <c r="A650" s="57"/>
      <c r="D650" s="58" t="s">
        <v>1120</v>
      </c>
      <c r="E650" s="59" t="s">
        <v>1121</v>
      </c>
      <c r="G650" s="60">
        <v>72.323999999999998</v>
      </c>
      <c r="M650" s="61"/>
    </row>
    <row r="651" spans="1:76" ht="14.5" x14ac:dyDescent="0.35">
      <c r="A651" s="1" t="s">
        <v>1122</v>
      </c>
      <c r="B651" s="2" t="s">
        <v>103</v>
      </c>
      <c r="C651" s="2" t="s">
        <v>1123</v>
      </c>
      <c r="D651" s="155" t="s">
        <v>1124</v>
      </c>
      <c r="E651" s="153"/>
      <c r="F651" s="2" t="s">
        <v>110</v>
      </c>
      <c r="G651" s="54">
        <f>'Stavební rozpočet'!G505</f>
        <v>465.6</v>
      </c>
      <c r="H651" s="94">
        <f>'Stavební rozpočet'!H505</f>
        <v>0</v>
      </c>
      <c r="I651" s="54">
        <f>G651*H651</f>
        <v>0</v>
      </c>
      <c r="J651" s="54">
        <f>'Stavební rozpočet'!J505</f>
        <v>1.166E-2</v>
      </c>
      <c r="K651" s="54">
        <f>'Stavební rozpočet'!K505</f>
        <v>0</v>
      </c>
      <c r="L651" s="54">
        <f>G651*J651</f>
        <v>5.4288959999999999</v>
      </c>
      <c r="M651" s="55" t="s">
        <v>111</v>
      </c>
      <c r="Z651" s="54">
        <f>IF(AQ651="5",BJ651,0)</f>
        <v>0</v>
      </c>
      <c r="AB651" s="54">
        <f>IF(AQ651="1",BH651,0)</f>
        <v>0</v>
      </c>
      <c r="AC651" s="54">
        <f>IF(AQ651="1",BI651,0)</f>
        <v>0</v>
      </c>
      <c r="AD651" s="54">
        <f>IF(AQ651="7",BH651,0)</f>
        <v>0</v>
      </c>
      <c r="AE651" s="54">
        <f>IF(AQ651="7",BI651,0)</f>
        <v>0</v>
      </c>
      <c r="AF651" s="54">
        <f>IF(AQ651="2",BH651,0)</f>
        <v>0</v>
      </c>
      <c r="AG651" s="54">
        <f>IF(AQ651="2",BI651,0)</f>
        <v>0</v>
      </c>
      <c r="AH651" s="54">
        <f>IF(AQ651="0",BJ651,0)</f>
        <v>0</v>
      </c>
      <c r="AI651" s="34" t="s">
        <v>103</v>
      </c>
      <c r="AJ651" s="54">
        <f>IF(AN651=0,I651,0)</f>
        <v>0</v>
      </c>
      <c r="AK651" s="54">
        <f>IF(AN651=12,I651,0)</f>
        <v>0</v>
      </c>
      <c r="AL651" s="54">
        <f>IF(AN651=21,I651,0)</f>
        <v>0</v>
      </c>
      <c r="AN651" s="54">
        <v>21</v>
      </c>
      <c r="AO651" s="54">
        <f>H651*0.686170098</f>
        <v>0</v>
      </c>
      <c r="AP651" s="54">
        <f>H651*(1-0.686170098)</f>
        <v>0</v>
      </c>
      <c r="AQ651" s="56" t="s">
        <v>168</v>
      </c>
      <c r="AV651" s="54">
        <f>AW651+AX651</f>
        <v>0</v>
      </c>
      <c r="AW651" s="54">
        <f>G651*AO651</f>
        <v>0</v>
      </c>
      <c r="AX651" s="54">
        <f>G651*AP651</f>
        <v>0</v>
      </c>
      <c r="AY651" s="56" t="s">
        <v>1076</v>
      </c>
      <c r="AZ651" s="56" t="s">
        <v>991</v>
      </c>
      <c r="BA651" s="34" t="s">
        <v>114</v>
      </c>
      <c r="BC651" s="54">
        <f>AW651+AX651</f>
        <v>0</v>
      </c>
      <c r="BD651" s="54">
        <f>H651/(100-BE651)*100</f>
        <v>0</v>
      </c>
      <c r="BE651" s="54">
        <v>0</v>
      </c>
      <c r="BF651" s="54">
        <f>L651</f>
        <v>5.4288959999999999</v>
      </c>
      <c r="BH651" s="54">
        <f>G651*AO651</f>
        <v>0</v>
      </c>
      <c r="BI651" s="54">
        <f>G651*AP651</f>
        <v>0</v>
      </c>
      <c r="BJ651" s="54">
        <f>G651*H651</f>
        <v>0</v>
      </c>
      <c r="BK651" s="54"/>
      <c r="BL651" s="54">
        <v>776</v>
      </c>
      <c r="BW651" s="54">
        <v>21</v>
      </c>
      <c r="BX651" s="3" t="s">
        <v>1124</v>
      </c>
    </row>
    <row r="652" spans="1:76" ht="13.5" customHeight="1" x14ac:dyDescent="0.35">
      <c r="A652" s="57"/>
      <c r="C652" s="62" t="s">
        <v>122</v>
      </c>
      <c r="D652" s="214" t="s">
        <v>1125</v>
      </c>
      <c r="E652" s="215"/>
      <c r="F652" s="215"/>
      <c r="G652" s="215"/>
      <c r="H652" s="215"/>
      <c r="I652" s="215"/>
      <c r="J652" s="215"/>
      <c r="K652" s="215"/>
      <c r="L652" s="215"/>
      <c r="M652" s="216"/>
    </row>
    <row r="653" spans="1:76" ht="14.5" x14ac:dyDescent="0.35">
      <c r="A653" s="57"/>
      <c r="D653" s="58" t="s">
        <v>208</v>
      </c>
      <c r="E653" s="59" t="s">
        <v>1126</v>
      </c>
      <c r="G653" s="60">
        <v>0</v>
      </c>
      <c r="M653" s="61"/>
    </row>
    <row r="654" spans="1:76" ht="14.5" x14ac:dyDescent="0.35">
      <c r="A654" s="57"/>
      <c r="D654" s="58" t="s">
        <v>1081</v>
      </c>
      <c r="E654" s="59" t="s">
        <v>1127</v>
      </c>
      <c r="G654" s="60">
        <v>7.96</v>
      </c>
      <c r="M654" s="61"/>
    </row>
    <row r="655" spans="1:76" ht="14.5" x14ac:dyDescent="0.35">
      <c r="A655" s="57"/>
      <c r="D655" s="58" t="s">
        <v>1083</v>
      </c>
      <c r="E655" s="59" t="s">
        <v>1128</v>
      </c>
      <c r="G655" s="60">
        <v>40.68</v>
      </c>
      <c r="M655" s="61"/>
    </row>
    <row r="656" spans="1:76" ht="14.5" x14ac:dyDescent="0.35">
      <c r="A656" s="57"/>
      <c r="D656" s="58" t="s">
        <v>1129</v>
      </c>
      <c r="E656" s="59" t="s">
        <v>1130</v>
      </c>
      <c r="G656" s="60">
        <v>20</v>
      </c>
      <c r="M656" s="61"/>
    </row>
    <row r="657" spans="1:76" ht="14.5" x14ac:dyDescent="0.35">
      <c r="A657" s="57"/>
      <c r="D657" s="58" t="s">
        <v>1079</v>
      </c>
      <c r="E657" s="59" t="s">
        <v>1131</v>
      </c>
      <c r="G657" s="60">
        <v>345.84</v>
      </c>
      <c r="M657" s="61"/>
    </row>
    <row r="658" spans="1:76" ht="26" x14ac:dyDescent="0.35">
      <c r="A658" s="57"/>
      <c r="C658" s="62" t="s">
        <v>156</v>
      </c>
      <c r="D658" s="211" t="s">
        <v>1132</v>
      </c>
      <c r="E658" s="212"/>
      <c r="F658" s="212"/>
      <c r="G658" s="212"/>
      <c r="H658" s="212"/>
      <c r="I658" s="212"/>
      <c r="J658" s="212"/>
      <c r="K658" s="212"/>
      <c r="L658" s="212"/>
      <c r="M658" s="213"/>
      <c r="BX658" s="63" t="s">
        <v>1132</v>
      </c>
    </row>
    <row r="659" spans="1:76" ht="14.5" x14ac:dyDescent="0.35">
      <c r="A659" s="57"/>
      <c r="D659" s="58" t="s">
        <v>1077</v>
      </c>
      <c r="E659" s="59" t="s">
        <v>1133</v>
      </c>
      <c r="G659" s="60">
        <v>51.12</v>
      </c>
      <c r="M659" s="61"/>
    </row>
    <row r="660" spans="1:76" ht="26" x14ac:dyDescent="0.35">
      <c r="A660" s="57"/>
      <c r="C660" s="62" t="s">
        <v>156</v>
      </c>
      <c r="D660" s="211" t="s">
        <v>1132</v>
      </c>
      <c r="E660" s="212"/>
      <c r="F660" s="212"/>
      <c r="G660" s="212"/>
      <c r="H660" s="212"/>
      <c r="I660" s="212"/>
      <c r="J660" s="212"/>
      <c r="K660" s="212"/>
      <c r="L660" s="212"/>
      <c r="M660" s="213"/>
      <c r="BX660" s="63" t="s">
        <v>1132</v>
      </c>
    </row>
    <row r="661" spans="1:76" ht="14.5" x14ac:dyDescent="0.35">
      <c r="A661" s="64" t="s">
        <v>1134</v>
      </c>
      <c r="B661" s="65" t="s">
        <v>103</v>
      </c>
      <c r="C661" s="65" t="s">
        <v>1135</v>
      </c>
      <c r="D661" s="217" t="s">
        <v>1136</v>
      </c>
      <c r="E661" s="218"/>
      <c r="F661" s="65" t="s">
        <v>110</v>
      </c>
      <c r="G661" s="67">
        <f>'Stavební rozpočet'!G512</f>
        <v>94.4</v>
      </c>
      <c r="H661" s="95">
        <f>'Stavební rozpočet'!H512</f>
        <v>0</v>
      </c>
      <c r="I661" s="67">
        <f>G661*H661</f>
        <v>0</v>
      </c>
      <c r="J661" s="67">
        <f>'Stavební rozpočet'!J512</f>
        <v>3.0599999999999998E-3</v>
      </c>
      <c r="K661" s="67">
        <f>'Stavební rozpočet'!K512</f>
        <v>0</v>
      </c>
      <c r="L661" s="67">
        <f>G661*J661</f>
        <v>0.28886400000000001</v>
      </c>
      <c r="M661" s="68" t="s">
        <v>111</v>
      </c>
      <c r="Z661" s="54">
        <f>IF(AQ661="5",BJ661,0)</f>
        <v>0</v>
      </c>
      <c r="AB661" s="54">
        <f>IF(AQ661="1",BH661,0)</f>
        <v>0</v>
      </c>
      <c r="AC661" s="54">
        <f>IF(AQ661="1",BI661,0)</f>
        <v>0</v>
      </c>
      <c r="AD661" s="54">
        <f>IF(AQ661="7",BH661,0)</f>
        <v>0</v>
      </c>
      <c r="AE661" s="54">
        <f>IF(AQ661="7",BI661,0)</f>
        <v>0</v>
      </c>
      <c r="AF661" s="54">
        <f>IF(AQ661="2",BH661,0)</f>
        <v>0</v>
      </c>
      <c r="AG661" s="54">
        <f>IF(AQ661="2",BI661,0)</f>
        <v>0</v>
      </c>
      <c r="AH661" s="54">
        <f>IF(AQ661="0",BJ661,0)</f>
        <v>0</v>
      </c>
      <c r="AI661" s="34" t="s">
        <v>103</v>
      </c>
      <c r="AJ661" s="67">
        <f>IF(AN661=0,I661,0)</f>
        <v>0</v>
      </c>
      <c r="AK661" s="67">
        <f>IF(AN661=12,I661,0)</f>
        <v>0</v>
      </c>
      <c r="AL661" s="67">
        <f>IF(AN661=21,I661,0)</f>
        <v>0</v>
      </c>
      <c r="AN661" s="54">
        <v>21</v>
      </c>
      <c r="AO661" s="54">
        <f>H661*1</f>
        <v>0</v>
      </c>
      <c r="AP661" s="54">
        <f>H661*(1-1)</f>
        <v>0</v>
      </c>
      <c r="AQ661" s="69" t="s">
        <v>168</v>
      </c>
      <c r="AV661" s="54">
        <f>AW661+AX661</f>
        <v>0</v>
      </c>
      <c r="AW661" s="54">
        <f>G661*AO661</f>
        <v>0</v>
      </c>
      <c r="AX661" s="54">
        <f>G661*AP661</f>
        <v>0</v>
      </c>
      <c r="AY661" s="56" t="s">
        <v>1076</v>
      </c>
      <c r="AZ661" s="56" t="s">
        <v>991</v>
      </c>
      <c r="BA661" s="34" t="s">
        <v>114</v>
      </c>
      <c r="BC661" s="54">
        <f>AW661+AX661</f>
        <v>0</v>
      </c>
      <c r="BD661" s="54">
        <f>H661/(100-BE661)*100</f>
        <v>0</v>
      </c>
      <c r="BE661" s="54">
        <v>0</v>
      </c>
      <c r="BF661" s="54">
        <f>L661</f>
        <v>0.28886400000000001</v>
      </c>
      <c r="BH661" s="67">
        <f>G661*AO661</f>
        <v>0</v>
      </c>
      <c r="BI661" s="67">
        <f>G661*AP661</f>
        <v>0</v>
      </c>
      <c r="BJ661" s="67">
        <f>G661*H661</f>
        <v>0</v>
      </c>
      <c r="BK661" s="67"/>
      <c r="BL661" s="54">
        <v>776</v>
      </c>
      <c r="BW661" s="54">
        <v>21</v>
      </c>
      <c r="BX661" s="66" t="s">
        <v>1136</v>
      </c>
    </row>
    <row r="662" spans="1:76" ht="13.5" customHeight="1" x14ac:dyDescent="0.35">
      <c r="A662" s="57"/>
      <c r="C662" s="62" t="s">
        <v>122</v>
      </c>
      <c r="D662" s="214" t="s">
        <v>1137</v>
      </c>
      <c r="E662" s="215"/>
      <c r="F662" s="215"/>
      <c r="G662" s="215"/>
      <c r="H662" s="215"/>
      <c r="I662" s="215"/>
      <c r="J662" s="215"/>
      <c r="K662" s="215"/>
      <c r="L662" s="215"/>
      <c r="M662" s="216"/>
    </row>
    <row r="663" spans="1:76" ht="14.5" x14ac:dyDescent="0.35">
      <c r="A663" s="57"/>
      <c r="D663" s="58" t="s">
        <v>1138</v>
      </c>
      <c r="E663" s="59" t="s">
        <v>1139</v>
      </c>
      <c r="G663" s="60">
        <v>69.84</v>
      </c>
      <c r="M663" s="61"/>
    </row>
    <row r="664" spans="1:76" ht="14.5" x14ac:dyDescent="0.35">
      <c r="A664" s="57"/>
      <c r="D664" s="58" t="s">
        <v>1140</v>
      </c>
      <c r="E664" s="59" t="s">
        <v>1141</v>
      </c>
      <c r="G664" s="60">
        <v>24.56</v>
      </c>
      <c r="M664" s="61"/>
    </row>
    <row r="665" spans="1:76" ht="39" x14ac:dyDescent="0.35">
      <c r="A665" s="57"/>
      <c r="C665" s="62" t="s">
        <v>156</v>
      </c>
      <c r="D665" s="211" t="s">
        <v>1142</v>
      </c>
      <c r="E665" s="212"/>
      <c r="F665" s="212"/>
      <c r="G665" s="212"/>
      <c r="H665" s="212"/>
      <c r="I665" s="212"/>
      <c r="J665" s="212"/>
      <c r="K665" s="212"/>
      <c r="L665" s="212"/>
      <c r="M665" s="213"/>
      <c r="BX665" s="70" t="s">
        <v>1142</v>
      </c>
    </row>
    <row r="666" spans="1:76" ht="14.5" x14ac:dyDescent="0.35">
      <c r="A666" s="64" t="s">
        <v>1143</v>
      </c>
      <c r="B666" s="65" t="s">
        <v>103</v>
      </c>
      <c r="C666" s="65" t="s">
        <v>1144</v>
      </c>
      <c r="D666" s="217" t="s">
        <v>1145</v>
      </c>
      <c r="E666" s="218"/>
      <c r="F666" s="65" t="s">
        <v>153</v>
      </c>
      <c r="G666" s="67">
        <f>'Stavební rozpočet'!G515</f>
        <v>51.05</v>
      </c>
      <c r="H666" s="95">
        <f>'Stavební rozpočet'!H515</f>
        <v>0</v>
      </c>
      <c r="I666" s="67">
        <f>G666*H666</f>
        <v>0</v>
      </c>
      <c r="J666" s="67">
        <f>'Stavební rozpočet'!J515</f>
        <v>5.0000000000000001E-4</v>
      </c>
      <c r="K666" s="67">
        <f>'Stavební rozpočet'!K515</f>
        <v>0</v>
      </c>
      <c r="L666" s="67">
        <f>G666*J666</f>
        <v>2.5524999999999999E-2</v>
      </c>
      <c r="M666" s="68" t="s">
        <v>10</v>
      </c>
      <c r="Z666" s="54">
        <f>IF(AQ666="5",BJ666,0)</f>
        <v>0</v>
      </c>
      <c r="AB666" s="54">
        <f>IF(AQ666="1",BH666,0)</f>
        <v>0</v>
      </c>
      <c r="AC666" s="54">
        <f>IF(AQ666="1",BI666,0)</f>
        <v>0</v>
      </c>
      <c r="AD666" s="54">
        <f>IF(AQ666="7",BH666,0)</f>
        <v>0</v>
      </c>
      <c r="AE666" s="54">
        <f>IF(AQ666="7",BI666,0)</f>
        <v>0</v>
      </c>
      <c r="AF666" s="54">
        <f>IF(AQ666="2",BH666,0)</f>
        <v>0</v>
      </c>
      <c r="AG666" s="54">
        <f>IF(AQ666="2",BI666,0)</f>
        <v>0</v>
      </c>
      <c r="AH666" s="54">
        <f>IF(AQ666="0",BJ666,0)</f>
        <v>0</v>
      </c>
      <c r="AI666" s="34" t="s">
        <v>103</v>
      </c>
      <c r="AJ666" s="67">
        <f>IF(AN666=0,I666,0)</f>
        <v>0</v>
      </c>
      <c r="AK666" s="67">
        <f>IF(AN666=12,I666,0)</f>
        <v>0</v>
      </c>
      <c r="AL666" s="67">
        <f>IF(AN666=21,I666,0)</f>
        <v>0</v>
      </c>
      <c r="AN666" s="54">
        <v>21</v>
      </c>
      <c r="AO666" s="54">
        <f>H666*1</f>
        <v>0</v>
      </c>
      <c r="AP666" s="54">
        <f>H666*(1-1)</f>
        <v>0</v>
      </c>
      <c r="AQ666" s="69" t="s">
        <v>168</v>
      </c>
      <c r="AV666" s="54">
        <f>AW666+AX666</f>
        <v>0</v>
      </c>
      <c r="AW666" s="54">
        <f>G666*AO666</f>
        <v>0</v>
      </c>
      <c r="AX666" s="54">
        <f>G666*AP666</f>
        <v>0</v>
      </c>
      <c r="AY666" s="56" t="s">
        <v>1076</v>
      </c>
      <c r="AZ666" s="56" t="s">
        <v>991</v>
      </c>
      <c r="BA666" s="34" t="s">
        <v>114</v>
      </c>
      <c r="BC666" s="54">
        <f>AW666+AX666</f>
        <v>0</v>
      </c>
      <c r="BD666" s="54">
        <f>H666/(100-BE666)*100</f>
        <v>0</v>
      </c>
      <c r="BE666" s="54">
        <v>0</v>
      </c>
      <c r="BF666" s="54">
        <f>L666</f>
        <v>2.5524999999999999E-2</v>
      </c>
      <c r="BH666" s="67">
        <f>G666*AO666</f>
        <v>0</v>
      </c>
      <c r="BI666" s="67">
        <f>G666*AP666</f>
        <v>0</v>
      </c>
      <c r="BJ666" s="67">
        <f>G666*H666</f>
        <v>0</v>
      </c>
      <c r="BK666" s="67"/>
      <c r="BL666" s="54">
        <v>776</v>
      </c>
      <c r="BW666" s="54">
        <v>21</v>
      </c>
      <c r="BX666" s="66" t="s">
        <v>1145</v>
      </c>
    </row>
    <row r="667" spans="1:76" ht="14.5" x14ac:dyDescent="0.35">
      <c r="A667" s="57"/>
      <c r="D667" s="58" t="s">
        <v>208</v>
      </c>
      <c r="E667" s="59" t="s">
        <v>1091</v>
      </c>
      <c r="G667" s="60">
        <v>0</v>
      </c>
      <c r="M667" s="61"/>
    </row>
    <row r="668" spans="1:76" ht="14.5" x14ac:dyDescent="0.35">
      <c r="A668" s="57"/>
      <c r="D668" s="58" t="s">
        <v>1146</v>
      </c>
      <c r="E668" s="59" t="s">
        <v>1147</v>
      </c>
      <c r="G668" s="60">
        <v>0.214</v>
      </c>
      <c r="M668" s="61"/>
    </row>
    <row r="669" spans="1:76" ht="14.5" x14ac:dyDescent="0.35">
      <c r="A669" s="57"/>
      <c r="D669" s="58" t="s">
        <v>1148</v>
      </c>
      <c r="E669" s="59" t="s">
        <v>1149</v>
      </c>
      <c r="G669" s="60">
        <v>0.71499999999999997</v>
      </c>
      <c r="M669" s="61"/>
    </row>
    <row r="670" spans="1:76" ht="14.5" x14ac:dyDescent="0.35">
      <c r="A670" s="57"/>
      <c r="D670" s="58" t="s">
        <v>1150</v>
      </c>
      <c r="E670" s="59" t="s">
        <v>1151</v>
      </c>
      <c r="G670" s="60">
        <v>0.39100000000000001</v>
      </c>
      <c r="M670" s="61"/>
    </row>
    <row r="671" spans="1:76" ht="14.5" x14ac:dyDescent="0.35">
      <c r="A671" s="57"/>
      <c r="D671" s="58" t="s">
        <v>1152</v>
      </c>
      <c r="E671" s="59" t="s">
        <v>1153</v>
      </c>
      <c r="G671" s="60">
        <v>1.7230000000000001</v>
      </c>
      <c r="M671" s="61"/>
    </row>
    <row r="672" spans="1:76" ht="14.5" x14ac:dyDescent="0.35">
      <c r="A672" s="57"/>
      <c r="D672" s="58" t="s">
        <v>1154</v>
      </c>
      <c r="E672" s="59" t="s">
        <v>1155</v>
      </c>
      <c r="G672" s="60">
        <v>6.9359999999999999</v>
      </c>
      <c r="M672" s="61"/>
    </row>
    <row r="673" spans="1:76" ht="14.5" x14ac:dyDescent="0.35">
      <c r="A673" s="57"/>
      <c r="D673" s="58" t="s">
        <v>1156</v>
      </c>
      <c r="E673" s="59" t="s">
        <v>1157</v>
      </c>
      <c r="G673" s="60">
        <v>41.070999999999998</v>
      </c>
      <c r="M673" s="61"/>
    </row>
    <row r="674" spans="1:76" ht="78" x14ac:dyDescent="0.35">
      <c r="A674" s="57"/>
      <c r="C674" s="62" t="s">
        <v>156</v>
      </c>
      <c r="D674" s="211" t="s">
        <v>1158</v>
      </c>
      <c r="E674" s="212"/>
      <c r="F674" s="212"/>
      <c r="G674" s="212"/>
      <c r="H674" s="212"/>
      <c r="I674" s="212"/>
      <c r="J674" s="212"/>
      <c r="K674" s="212"/>
      <c r="L674" s="212"/>
      <c r="M674" s="213"/>
      <c r="BX674" s="70" t="s">
        <v>1158</v>
      </c>
    </row>
    <row r="675" spans="1:76" ht="14.5" x14ac:dyDescent="0.35">
      <c r="A675" s="1" t="s">
        <v>1159</v>
      </c>
      <c r="B675" s="2" t="s">
        <v>103</v>
      </c>
      <c r="C675" s="2" t="s">
        <v>1160</v>
      </c>
      <c r="D675" s="155" t="s">
        <v>1161</v>
      </c>
      <c r="E675" s="153"/>
      <c r="F675" s="2" t="s">
        <v>412</v>
      </c>
      <c r="G675" s="54">
        <f>'Stavební rozpočet'!G523</f>
        <v>11.946</v>
      </c>
      <c r="H675" s="94">
        <f>'Stavební rozpočet'!H523</f>
        <v>0</v>
      </c>
      <c r="I675" s="54">
        <f>G675*H675</f>
        <v>0</v>
      </c>
      <c r="J675" s="54">
        <f>'Stavební rozpočet'!J523</f>
        <v>0</v>
      </c>
      <c r="K675" s="54">
        <f>'Stavební rozpočet'!K523</f>
        <v>0</v>
      </c>
      <c r="L675" s="54">
        <f>G675*J675</f>
        <v>0</v>
      </c>
      <c r="M675" s="55" t="s">
        <v>111</v>
      </c>
      <c r="Z675" s="54">
        <f>IF(AQ675="5",BJ675,0)</f>
        <v>0</v>
      </c>
      <c r="AB675" s="54">
        <f>IF(AQ675="1",BH675,0)</f>
        <v>0</v>
      </c>
      <c r="AC675" s="54">
        <f>IF(AQ675="1",BI675,0)</f>
        <v>0</v>
      </c>
      <c r="AD675" s="54">
        <f>IF(AQ675="7",BH675,0)</f>
        <v>0</v>
      </c>
      <c r="AE675" s="54">
        <f>IF(AQ675="7",BI675,0)</f>
        <v>0</v>
      </c>
      <c r="AF675" s="54">
        <f>IF(AQ675="2",BH675,0)</f>
        <v>0</v>
      </c>
      <c r="AG675" s="54">
        <f>IF(AQ675="2",BI675,0)</f>
        <v>0</v>
      </c>
      <c r="AH675" s="54">
        <f>IF(AQ675="0",BJ675,0)</f>
        <v>0</v>
      </c>
      <c r="AI675" s="34" t="s">
        <v>103</v>
      </c>
      <c r="AJ675" s="54">
        <f>IF(AN675=0,I675,0)</f>
        <v>0</v>
      </c>
      <c r="AK675" s="54">
        <f>IF(AN675=12,I675,0)</f>
        <v>0</v>
      </c>
      <c r="AL675" s="54">
        <f>IF(AN675=21,I675,0)</f>
        <v>0</v>
      </c>
      <c r="AN675" s="54">
        <v>21</v>
      </c>
      <c r="AO675" s="54">
        <f>H675*0</f>
        <v>0</v>
      </c>
      <c r="AP675" s="54">
        <f>H675*(1-0)</f>
        <v>0</v>
      </c>
      <c r="AQ675" s="56" t="s">
        <v>150</v>
      </c>
      <c r="AV675" s="54">
        <f>AW675+AX675</f>
        <v>0</v>
      </c>
      <c r="AW675" s="54">
        <f>G675*AO675</f>
        <v>0</v>
      </c>
      <c r="AX675" s="54">
        <f>G675*AP675</f>
        <v>0</v>
      </c>
      <c r="AY675" s="56" t="s">
        <v>1076</v>
      </c>
      <c r="AZ675" s="56" t="s">
        <v>991</v>
      </c>
      <c r="BA675" s="34" t="s">
        <v>114</v>
      </c>
      <c r="BC675" s="54">
        <f>AW675+AX675</f>
        <v>0</v>
      </c>
      <c r="BD675" s="54">
        <f>H675/(100-BE675)*100</f>
        <v>0</v>
      </c>
      <c r="BE675" s="54">
        <v>0</v>
      </c>
      <c r="BF675" s="54">
        <f>L675</f>
        <v>0</v>
      </c>
      <c r="BH675" s="54">
        <f>G675*AO675</f>
        <v>0</v>
      </c>
      <c r="BI675" s="54">
        <f>G675*AP675</f>
        <v>0</v>
      </c>
      <c r="BJ675" s="54">
        <f>G675*H675</f>
        <v>0</v>
      </c>
      <c r="BK675" s="54"/>
      <c r="BL675" s="54">
        <v>776</v>
      </c>
      <c r="BW675" s="54">
        <v>21</v>
      </c>
      <c r="BX675" s="3" t="s">
        <v>1161</v>
      </c>
    </row>
    <row r="676" spans="1:76" ht="14.5" x14ac:dyDescent="0.35">
      <c r="A676" s="50" t="s">
        <v>10</v>
      </c>
      <c r="B676" s="51" t="s">
        <v>103</v>
      </c>
      <c r="C676" s="51" t="s">
        <v>1162</v>
      </c>
      <c r="D676" s="206" t="s">
        <v>1163</v>
      </c>
      <c r="E676" s="207"/>
      <c r="F676" s="52" t="s">
        <v>84</v>
      </c>
      <c r="G676" s="52" t="s">
        <v>84</v>
      </c>
      <c r="H676" s="52" t="s">
        <v>84</v>
      </c>
      <c r="I676" s="27">
        <f>SUM(I677:I712)</f>
        <v>0</v>
      </c>
      <c r="J676" s="34" t="s">
        <v>10</v>
      </c>
      <c r="K676" s="34" t="s">
        <v>10</v>
      </c>
      <c r="L676" s="27">
        <f>SUM(L677:L712)</f>
        <v>10.639247280000001</v>
      </c>
      <c r="M676" s="53" t="s">
        <v>10</v>
      </c>
      <c r="AI676" s="34" t="s">
        <v>103</v>
      </c>
      <c r="AS676" s="27">
        <f>SUM(AJ677:AJ712)</f>
        <v>0</v>
      </c>
      <c r="AT676" s="27">
        <f>SUM(AK677:AK712)</f>
        <v>0</v>
      </c>
      <c r="AU676" s="27">
        <f>SUM(AL677:AL712)</f>
        <v>0</v>
      </c>
    </row>
    <row r="677" spans="1:76" ht="14.5" x14ac:dyDescent="0.35">
      <c r="A677" s="1" t="s">
        <v>1164</v>
      </c>
      <c r="B677" s="2" t="s">
        <v>103</v>
      </c>
      <c r="C677" s="2" t="s">
        <v>1165</v>
      </c>
      <c r="D677" s="155" t="s">
        <v>1166</v>
      </c>
      <c r="E677" s="153"/>
      <c r="F677" s="2" t="s">
        <v>110</v>
      </c>
      <c r="G677" s="54">
        <f>'Stavební rozpočet'!G525</f>
        <v>198.92400000000001</v>
      </c>
      <c r="H677" s="94">
        <f>'Stavební rozpočet'!H525</f>
        <v>0</v>
      </c>
      <c r="I677" s="54">
        <f>G677*H677</f>
        <v>0</v>
      </c>
      <c r="J677" s="54">
        <f>'Stavební rozpočet'!J525</f>
        <v>0</v>
      </c>
      <c r="K677" s="54">
        <f>'Stavební rozpočet'!K525</f>
        <v>0</v>
      </c>
      <c r="L677" s="54">
        <f>G677*J677</f>
        <v>0</v>
      </c>
      <c r="M677" s="55" t="s">
        <v>111</v>
      </c>
      <c r="Z677" s="54">
        <f>IF(AQ677="5",BJ677,0)</f>
        <v>0</v>
      </c>
      <c r="AB677" s="54">
        <f>IF(AQ677="1",BH677,0)</f>
        <v>0</v>
      </c>
      <c r="AC677" s="54">
        <f>IF(AQ677="1",BI677,0)</f>
        <v>0</v>
      </c>
      <c r="AD677" s="54">
        <f>IF(AQ677="7",BH677,0)</f>
        <v>0</v>
      </c>
      <c r="AE677" s="54">
        <f>IF(AQ677="7",BI677,0)</f>
        <v>0</v>
      </c>
      <c r="AF677" s="54">
        <f>IF(AQ677="2",BH677,0)</f>
        <v>0</v>
      </c>
      <c r="AG677" s="54">
        <f>IF(AQ677="2",BI677,0)</f>
        <v>0</v>
      </c>
      <c r="AH677" s="54">
        <f>IF(AQ677="0",BJ677,0)</f>
        <v>0</v>
      </c>
      <c r="AI677" s="34" t="s">
        <v>103</v>
      </c>
      <c r="AJ677" s="54">
        <f>IF(AN677=0,I677,0)</f>
        <v>0</v>
      </c>
      <c r="AK677" s="54">
        <f>IF(AN677=12,I677,0)</f>
        <v>0</v>
      </c>
      <c r="AL677" s="54">
        <f>IF(AN677=21,I677,0)</f>
        <v>0</v>
      </c>
      <c r="AN677" s="54">
        <v>21</v>
      </c>
      <c r="AO677" s="54">
        <f>H677*0</f>
        <v>0</v>
      </c>
      <c r="AP677" s="54">
        <f>H677*(1-0)</f>
        <v>0</v>
      </c>
      <c r="AQ677" s="56" t="s">
        <v>168</v>
      </c>
      <c r="AV677" s="54">
        <f>AW677+AX677</f>
        <v>0</v>
      </c>
      <c r="AW677" s="54">
        <f>G677*AO677</f>
        <v>0</v>
      </c>
      <c r="AX677" s="54">
        <f>G677*AP677</f>
        <v>0</v>
      </c>
      <c r="AY677" s="56" t="s">
        <v>1167</v>
      </c>
      <c r="AZ677" s="56" t="s">
        <v>1168</v>
      </c>
      <c r="BA677" s="34" t="s">
        <v>114</v>
      </c>
      <c r="BC677" s="54">
        <f>AW677+AX677</f>
        <v>0</v>
      </c>
      <c r="BD677" s="54">
        <f>H677/(100-BE677)*100</f>
        <v>0</v>
      </c>
      <c r="BE677" s="54">
        <v>0</v>
      </c>
      <c r="BF677" s="54">
        <f>L677</f>
        <v>0</v>
      </c>
      <c r="BH677" s="54">
        <f>G677*AO677</f>
        <v>0</v>
      </c>
      <c r="BI677" s="54">
        <f>G677*AP677</f>
        <v>0</v>
      </c>
      <c r="BJ677" s="54">
        <f>G677*H677</f>
        <v>0</v>
      </c>
      <c r="BK677" s="54"/>
      <c r="BL677" s="54">
        <v>781</v>
      </c>
      <c r="BW677" s="54">
        <v>21</v>
      </c>
      <c r="BX677" s="3" t="s">
        <v>1166</v>
      </c>
    </row>
    <row r="678" spans="1:76" ht="14.5" x14ac:dyDescent="0.35">
      <c r="A678" s="57"/>
      <c r="D678" s="58" t="s">
        <v>208</v>
      </c>
      <c r="E678" s="59" t="s">
        <v>304</v>
      </c>
      <c r="G678" s="60">
        <v>0</v>
      </c>
      <c r="M678" s="61"/>
    </row>
    <row r="679" spans="1:76" ht="14.5" x14ac:dyDescent="0.35">
      <c r="A679" s="57"/>
      <c r="D679" s="58" t="s">
        <v>1169</v>
      </c>
      <c r="E679" s="59" t="s">
        <v>1170</v>
      </c>
      <c r="G679" s="60">
        <v>176.59200000000001</v>
      </c>
      <c r="M679" s="61"/>
    </row>
    <row r="680" spans="1:76" ht="14.5" x14ac:dyDescent="0.35">
      <c r="A680" s="57"/>
      <c r="D680" s="58" t="s">
        <v>381</v>
      </c>
      <c r="E680" s="59" t="s">
        <v>1171</v>
      </c>
      <c r="G680" s="60">
        <v>4.8</v>
      </c>
      <c r="M680" s="61"/>
    </row>
    <row r="681" spans="1:76" ht="14.5" x14ac:dyDescent="0.35">
      <c r="A681" s="57"/>
      <c r="D681" s="58" t="s">
        <v>383</v>
      </c>
      <c r="E681" s="59" t="s">
        <v>384</v>
      </c>
      <c r="G681" s="60">
        <v>16.271999999999998</v>
      </c>
      <c r="M681" s="61"/>
    </row>
    <row r="682" spans="1:76" ht="14.5" x14ac:dyDescent="0.35">
      <c r="A682" s="57"/>
      <c r="D682" s="58" t="s">
        <v>385</v>
      </c>
      <c r="E682" s="59" t="s">
        <v>386</v>
      </c>
      <c r="G682" s="60">
        <v>1.26</v>
      </c>
      <c r="M682" s="61"/>
    </row>
    <row r="683" spans="1:76" ht="26" x14ac:dyDescent="0.35">
      <c r="A683" s="57"/>
      <c r="C683" s="62" t="s">
        <v>156</v>
      </c>
      <c r="D683" s="211" t="s">
        <v>1172</v>
      </c>
      <c r="E683" s="212"/>
      <c r="F683" s="212"/>
      <c r="G683" s="212"/>
      <c r="H683" s="212"/>
      <c r="I683" s="212"/>
      <c r="J683" s="212"/>
      <c r="K683" s="212"/>
      <c r="L683" s="212"/>
      <c r="M683" s="213"/>
      <c r="BX683" s="63" t="s">
        <v>1172</v>
      </c>
    </row>
    <row r="684" spans="1:76" ht="14.5" x14ac:dyDescent="0.35">
      <c r="A684" s="64" t="s">
        <v>1173</v>
      </c>
      <c r="B684" s="65" t="s">
        <v>103</v>
      </c>
      <c r="C684" s="65" t="s">
        <v>1174</v>
      </c>
      <c r="D684" s="217" t="s">
        <v>1175</v>
      </c>
      <c r="E684" s="218"/>
      <c r="F684" s="65" t="s">
        <v>412</v>
      </c>
      <c r="G684" s="67">
        <f>'Stavební rozpočet'!G531</f>
        <v>2.4870000000000001</v>
      </c>
      <c r="H684" s="95">
        <f>'Stavební rozpočet'!H531</f>
        <v>0</v>
      </c>
      <c r="I684" s="67">
        <f>G684*H684</f>
        <v>0</v>
      </c>
      <c r="J684" s="67">
        <f>'Stavební rozpočet'!J531</f>
        <v>1</v>
      </c>
      <c r="K684" s="67">
        <f>'Stavební rozpočet'!K531</f>
        <v>0</v>
      </c>
      <c r="L684" s="67">
        <f>G684*J684</f>
        <v>2.4870000000000001</v>
      </c>
      <c r="M684" s="68" t="s">
        <v>111</v>
      </c>
      <c r="Z684" s="54">
        <f>IF(AQ684="5",BJ684,0)</f>
        <v>0</v>
      </c>
      <c r="AB684" s="54">
        <f>IF(AQ684="1",BH684,0)</f>
        <v>0</v>
      </c>
      <c r="AC684" s="54">
        <f>IF(AQ684="1",BI684,0)</f>
        <v>0</v>
      </c>
      <c r="AD684" s="54">
        <f>IF(AQ684="7",BH684,0)</f>
        <v>0</v>
      </c>
      <c r="AE684" s="54">
        <f>IF(AQ684="7",BI684,0)</f>
        <v>0</v>
      </c>
      <c r="AF684" s="54">
        <f>IF(AQ684="2",BH684,0)</f>
        <v>0</v>
      </c>
      <c r="AG684" s="54">
        <f>IF(AQ684="2",BI684,0)</f>
        <v>0</v>
      </c>
      <c r="AH684" s="54">
        <f>IF(AQ684="0",BJ684,0)</f>
        <v>0</v>
      </c>
      <c r="AI684" s="34" t="s">
        <v>103</v>
      </c>
      <c r="AJ684" s="67">
        <f>IF(AN684=0,I684,0)</f>
        <v>0</v>
      </c>
      <c r="AK684" s="67">
        <f>IF(AN684=12,I684,0)</f>
        <v>0</v>
      </c>
      <c r="AL684" s="67">
        <f>IF(AN684=21,I684,0)</f>
        <v>0</v>
      </c>
      <c r="AN684" s="54">
        <v>21</v>
      </c>
      <c r="AO684" s="54">
        <f>H684*1</f>
        <v>0</v>
      </c>
      <c r="AP684" s="54">
        <f>H684*(1-1)</f>
        <v>0</v>
      </c>
      <c r="AQ684" s="69" t="s">
        <v>168</v>
      </c>
      <c r="AV684" s="54">
        <f>AW684+AX684</f>
        <v>0</v>
      </c>
      <c r="AW684" s="54">
        <f>G684*AO684</f>
        <v>0</v>
      </c>
      <c r="AX684" s="54">
        <f>G684*AP684</f>
        <v>0</v>
      </c>
      <c r="AY684" s="56" t="s">
        <v>1167</v>
      </c>
      <c r="AZ684" s="56" t="s">
        <v>1168</v>
      </c>
      <c r="BA684" s="34" t="s">
        <v>114</v>
      </c>
      <c r="BC684" s="54">
        <f>AW684+AX684</f>
        <v>0</v>
      </c>
      <c r="BD684" s="54">
        <f>H684/(100-BE684)*100</f>
        <v>0</v>
      </c>
      <c r="BE684" s="54">
        <v>0</v>
      </c>
      <c r="BF684" s="54">
        <f>L684</f>
        <v>2.4870000000000001</v>
      </c>
      <c r="BH684" s="67">
        <f>G684*AO684</f>
        <v>0</v>
      </c>
      <c r="BI684" s="67">
        <f>G684*AP684</f>
        <v>0</v>
      </c>
      <c r="BJ684" s="67">
        <f>G684*H684</f>
        <v>0</v>
      </c>
      <c r="BK684" s="67"/>
      <c r="BL684" s="54">
        <v>781</v>
      </c>
      <c r="BW684" s="54">
        <v>21</v>
      </c>
      <c r="BX684" s="66" t="s">
        <v>1175</v>
      </c>
    </row>
    <row r="685" spans="1:76" ht="14.5" x14ac:dyDescent="0.35">
      <c r="A685" s="57"/>
      <c r="D685" s="58" t="s">
        <v>1176</v>
      </c>
      <c r="E685" s="59" t="s">
        <v>10</v>
      </c>
      <c r="G685" s="60">
        <v>2.4870000000000001</v>
      </c>
      <c r="M685" s="61"/>
    </row>
    <row r="686" spans="1:76" ht="52" x14ac:dyDescent="0.35">
      <c r="A686" s="57"/>
      <c r="C686" s="62" t="s">
        <v>156</v>
      </c>
      <c r="D686" s="211" t="s">
        <v>1177</v>
      </c>
      <c r="E686" s="212"/>
      <c r="F686" s="212"/>
      <c r="G686" s="212"/>
      <c r="H686" s="212"/>
      <c r="I686" s="212"/>
      <c r="J686" s="212"/>
      <c r="K686" s="212"/>
      <c r="L686" s="212"/>
      <c r="M686" s="213"/>
      <c r="BX686" s="70" t="s">
        <v>1177</v>
      </c>
    </row>
    <row r="687" spans="1:76" ht="14.5" x14ac:dyDescent="0.35">
      <c r="A687" s="1" t="s">
        <v>1178</v>
      </c>
      <c r="B687" s="2" t="s">
        <v>103</v>
      </c>
      <c r="C687" s="2" t="s">
        <v>1179</v>
      </c>
      <c r="D687" s="155" t="s">
        <v>1180</v>
      </c>
      <c r="E687" s="153"/>
      <c r="F687" s="2" t="s">
        <v>110</v>
      </c>
      <c r="G687" s="54">
        <f>'Stavební rozpočet'!G533</f>
        <v>419.67399999999998</v>
      </c>
      <c r="H687" s="94">
        <f>'Stavební rozpočet'!H533</f>
        <v>0</v>
      </c>
      <c r="I687" s="54">
        <f>G687*H687</f>
        <v>0</v>
      </c>
      <c r="J687" s="54">
        <f>'Stavební rozpočet'!J533</f>
        <v>1.6670000000000001E-2</v>
      </c>
      <c r="K687" s="54">
        <f>'Stavební rozpočet'!K533</f>
        <v>0</v>
      </c>
      <c r="L687" s="54">
        <f>G687*J687</f>
        <v>6.99596558</v>
      </c>
      <c r="M687" s="55" t="s">
        <v>111</v>
      </c>
      <c r="Z687" s="54">
        <f>IF(AQ687="5",BJ687,0)</f>
        <v>0</v>
      </c>
      <c r="AB687" s="54">
        <f>IF(AQ687="1",BH687,0)</f>
        <v>0</v>
      </c>
      <c r="AC687" s="54">
        <f>IF(AQ687="1",BI687,0)</f>
        <v>0</v>
      </c>
      <c r="AD687" s="54">
        <f>IF(AQ687="7",BH687,0)</f>
        <v>0</v>
      </c>
      <c r="AE687" s="54">
        <f>IF(AQ687="7",BI687,0)</f>
        <v>0</v>
      </c>
      <c r="AF687" s="54">
        <f>IF(AQ687="2",BH687,0)</f>
        <v>0</v>
      </c>
      <c r="AG687" s="54">
        <f>IF(AQ687="2",BI687,0)</f>
        <v>0</v>
      </c>
      <c r="AH687" s="54">
        <f>IF(AQ687="0",BJ687,0)</f>
        <v>0</v>
      </c>
      <c r="AI687" s="34" t="s">
        <v>103</v>
      </c>
      <c r="AJ687" s="54">
        <f>IF(AN687=0,I687,0)</f>
        <v>0</v>
      </c>
      <c r="AK687" s="54">
        <f>IF(AN687=12,I687,0)</f>
        <v>0</v>
      </c>
      <c r="AL687" s="54">
        <f>IF(AN687=21,I687,0)</f>
        <v>0</v>
      </c>
      <c r="AN687" s="54">
        <v>21</v>
      </c>
      <c r="AO687" s="54">
        <f>H687*0.469325133</f>
        <v>0</v>
      </c>
      <c r="AP687" s="54">
        <f>H687*(1-0.469325133)</f>
        <v>0</v>
      </c>
      <c r="AQ687" s="56" t="s">
        <v>168</v>
      </c>
      <c r="AV687" s="54">
        <f>AW687+AX687</f>
        <v>0</v>
      </c>
      <c r="AW687" s="54">
        <f>G687*AO687</f>
        <v>0</v>
      </c>
      <c r="AX687" s="54">
        <f>G687*AP687</f>
        <v>0</v>
      </c>
      <c r="AY687" s="56" t="s">
        <v>1167</v>
      </c>
      <c r="AZ687" s="56" t="s">
        <v>1168</v>
      </c>
      <c r="BA687" s="34" t="s">
        <v>114</v>
      </c>
      <c r="BC687" s="54">
        <f>AW687+AX687</f>
        <v>0</v>
      </c>
      <c r="BD687" s="54">
        <f>H687/(100-BE687)*100</f>
        <v>0</v>
      </c>
      <c r="BE687" s="54">
        <v>0</v>
      </c>
      <c r="BF687" s="54">
        <f>L687</f>
        <v>6.99596558</v>
      </c>
      <c r="BH687" s="54">
        <f>G687*AO687</f>
        <v>0</v>
      </c>
      <c r="BI687" s="54">
        <f>G687*AP687</f>
        <v>0</v>
      </c>
      <c r="BJ687" s="54">
        <f>G687*H687</f>
        <v>0</v>
      </c>
      <c r="BK687" s="54"/>
      <c r="BL687" s="54">
        <v>781</v>
      </c>
      <c r="BW687" s="54">
        <v>21</v>
      </c>
      <c r="BX687" s="3" t="s">
        <v>1180</v>
      </c>
    </row>
    <row r="688" spans="1:76" ht="13.5" customHeight="1" x14ac:dyDescent="0.35">
      <c r="A688" s="57"/>
      <c r="C688" s="62" t="s">
        <v>122</v>
      </c>
      <c r="D688" s="214" t="s">
        <v>1181</v>
      </c>
      <c r="E688" s="215"/>
      <c r="F688" s="215"/>
      <c r="G688" s="215"/>
      <c r="H688" s="215"/>
      <c r="I688" s="215"/>
      <c r="J688" s="215"/>
      <c r="K688" s="215"/>
      <c r="L688" s="215"/>
      <c r="M688" s="216"/>
    </row>
    <row r="689" spans="1:76" ht="14.5" x14ac:dyDescent="0.35">
      <c r="A689" s="57"/>
      <c r="D689" s="58" t="s">
        <v>208</v>
      </c>
      <c r="E689" s="59" t="s">
        <v>378</v>
      </c>
      <c r="G689" s="60">
        <v>0</v>
      </c>
      <c r="M689" s="61"/>
    </row>
    <row r="690" spans="1:76" ht="14.5" x14ac:dyDescent="0.35">
      <c r="A690" s="57"/>
      <c r="D690" s="58" t="s">
        <v>208</v>
      </c>
      <c r="E690" s="59" t="s">
        <v>1182</v>
      </c>
      <c r="G690" s="60">
        <v>0</v>
      </c>
      <c r="M690" s="61"/>
    </row>
    <row r="691" spans="1:76" ht="14.5" x14ac:dyDescent="0.35">
      <c r="A691" s="57"/>
      <c r="D691" s="58" t="s">
        <v>1183</v>
      </c>
      <c r="E691" s="59" t="s">
        <v>1184</v>
      </c>
      <c r="G691" s="60">
        <v>57.287999999999997</v>
      </c>
      <c r="M691" s="61"/>
    </row>
    <row r="692" spans="1:76" ht="14.5" x14ac:dyDescent="0.35">
      <c r="A692" s="57"/>
      <c r="D692" s="58" t="s">
        <v>1185</v>
      </c>
      <c r="E692" s="59" t="s">
        <v>1186</v>
      </c>
      <c r="G692" s="60">
        <v>129.38200000000001</v>
      </c>
      <c r="M692" s="61"/>
    </row>
    <row r="693" spans="1:76" ht="14.5" x14ac:dyDescent="0.35">
      <c r="A693" s="57"/>
      <c r="D693" s="58" t="s">
        <v>1187</v>
      </c>
      <c r="E693" s="59" t="s">
        <v>1188</v>
      </c>
      <c r="G693" s="60">
        <v>93.707999999999998</v>
      </c>
      <c r="M693" s="61"/>
    </row>
    <row r="694" spans="1:76" ht="14.5" x14ac:dyDescent="0.35">
      <c r="A694" s="57"/>
      <c r="D694" s="58" t="s">
        <v>1189</v>
      </c>
      <c r="E694" s="59" t="s">
        <v>1190</v>
      </c>
      <c r="G694" s="60">
        <v>127.626</v>
      </c>
      <c r="M694" s="61"/>
    </row>
    <row r="695" spans="1:76" ht="14.5" x14ac:dyDescent="0.35">
      <c r="A695" s="57"/>
      <c r="D695" s="58" t="s">
        <v>381</v>
      </c>
      <c r="E695" s="59" t="s">
        <v>1191</v>
      </c>
      <c r="G695" s="60">
        <v>4.8</v>
      </c>
      <c r="M695" s="61"/>
    </row>
    <row r="696" spans="1:76" ht="14.5" x14ac:dyDescent="0.35">
      <c r="A696" s="57"/>
      <c r="D696" s="58" t="s">
        <v>1192</v>
      </c>
      <c r="E696" s="59" t="s">
        <v>1193</v>
      </c>
      <c r="G696" s="60">
        <v>6.87</v>
      </c>
      <c r="M696" s="61"/>
    </row>
    <row r="697" spans="1:76" ht="26" x14ac:dyDescent="0.35">
      <c r="A697" s="57"/>
      <c r="C697" s="62" t="s">
        <v>156</v>
      </c>
      <c r="D697" s="211" t="s">
        <v>1194</v>
      </c>
      <c r="E697" s="212"/>
      <c r="F697" s="212"/>
      <c r="G697" s="212"/>
      <c r="H697" s="212"/>
      <c r="I697" s="212"/>
      <c r="J697" s="212"/>
      <c r="K697" s="212"/>
      <c r="L697" s="212"/>
      <c r="M697" s="213"/>
      <c r="BX697" s="63" t="s">
        <v>1194</v>
      </c>
    </row>
    <row r="698" spans="1:76" ht="14.5" x14ac:dyDescent="0.35">
      <c r="A698" s="64" t="s">
        <v>1195</v>
      </c>
      <c r="B698" s="65" t="s">
        <v>103</v>
      </c>
      <c r="C698" s="65" t="s">
        <v>1196</v>
      </c>
      <c r="D698" s="217" t="s">
        <v>1197</v>
      </c>
      <c r="E698" s="218"/>
      <c r="F698" s="65" t="s">
        <v>110</v>
      </c>
      <c r="G698" s="67">
        <f>'Stavební rozpočet'!G542</f>
        <v>62.951000000000001</v>
      </c>
      <c r="H698" s="95">
        <f>'Stavební rozpočet'!H542</f>
        <v>0</v>
      </c>
      <c r="I698" s="67">
        <f>G698*H698</f>
        <v>0</v>
      </c>
      <c r="J698" s="67">
        <f>'Stavební rozpočet'!J542</f>
        <v>1.67E-2</v>
      </c>
      <c r="K698" s="67">
        <f>'Stavební rozpočet'!K542</f>
        <v>0</v>
      </c>
      <c r="L698" s="67">
        <f>G698*J698</f>
        <v>1.0512816999999999</v>
      </c>
      <c r="M698" s="68" t="s">
        <v>10</v>
      </c>
      <c r="Z698" s="54">
        <f>IF(AQ698="5",BJ698,0)</f>
        <v>0</v>
      </c>
      <c r="AB698" s="54">
        <f>IF(AQ698="1",BH698,0)</f>
        <v>0</v>
      </c>
      <c r="AC698" s="54">
        <f>IF(AQ698="1",BI698,0)</f>
        <v>0</v>
      </c>
      <c r="AD698" s="54">
        <f>IF(AQ698="7",BH698,0)</f>
        <v>0</v>
      </c>
      <c r="AE698" s="54">
        <f>IF(AQ698="7",BI698,0)</f>
        <v>0</v>
      </c>
      <c r="AF698" s="54">
        <f>IF(AQ698="2",BH698,0)</f>
        <v>0</v>
      </c>
      <c r="AG698" s="54">
        <f>IF(AQ698="2",BI698,0)</f>
        <v>0</v>
      </c>
      <c r="AH698" s="54">
        <f>IF(AQ698="0",BJ698,0)</f>
        <v>0</v>
      </c>
      <c r="AI698" s="34" t="s">
        <v>103</v>
      </c>
      <c r="AJ698" s="67">
        <f>IF(AN698=0,I698,0)</f>
        <v>0</v>
      </c>
      <c r="AK698" s="67">
        <f>IF(AN698=12,I698,0)</f>
        <v>0</v>
      </c>
      <c r="AL698" s="67">
        <f>IF(AN698=21,I698,0)</f>
        <v>0</v>
      </c>
      <c r="AN698" s="54">
        <v>21</v>
      </c>
      <c r="AO698" s="54">
        <f>H698*1</f>
        <v>0</v>
      </c>
      <c r="AP698" s="54">
        <f>H698*(1-1)</f>
        <v>0</v>
      </c>
      <c r="AQ698" s="69" t="s">
        <v>168</v>
      </c>
      <c r="AV698" s="54">
        <f>AW698+AX698</f>
        <v>0</v>
      </c>
      <c r="AW698" s="54">
        <f>G698*AO698</f>
        <v>0</v>
      </c>
      <c r="AX698" s="54">
        <f>G698*AP698</f>
        <v>0</v>
      </c>
      <c r="AY698" s="56" t="s">
        <v>1167</v>
      </c>
      <c r="AZ698" s="56" t="s">
        <v>1168</v>
      </c>
      <c r="BA698" s="34" t="s">
        <v>114</v>
      </c>
      <c r="BC698" s="54">
        <f>AW698+AX698</f>
        <v>0</v>
      </c>
      <c r="BD698" s="54">
        <f>H698/(100-BE698)*100</f>
        <v>0</v>
      </c>
      <c r="BE698" s="54">
        <v>0</v>
      </c>
      <c r="BF698" s="54">
        <f>L698</f>
        <v>1.0512816999999999</v>
      </c>
      <c r="BH698" s="67">
        <f>G698*AO698</f>
        <v>0</v>
      </c>
      <c r="BI698" s="67">
        <f>G698*AP698</f>
        <v>0</v>
      </c>
      <c r="BJ698" s="67">
        <f>G698*H698</f>
        <v>0</v>
      </c>
      <c r="BK698" s="67"/>
      <c r="BL698" s="54">
        <v>781</v>
      </c>
      <c r="BW698" s="54">
        <v>21</v>
      </c>
      <c r="BX698" s="66" t="s">
        <v>1197</v>
      </c>
    </row>
    <row r="699" spans="1:76" ht="14.5" x14ac:dyDescent="0.35">
      <c r="A699" s="57"/>
      <c r="D699" s="58" t="s">
        <v>1198</v>
      </c>
      <c r="E699" s="59" t="s">
        <v>1199</v>
      </c>
      <c r="G699" s="60">
        <v>62.951000000000001</v>
      </c>
      <c r="M699" s="61"/>
    </row>
    <row r="700" spans="1:76" ht="14.5" x14ac:dyDescent="0.35">
      <c r="A700" s="1" t="s">
        <v>1200</v>
      </c>
      <c r="B700" s="2" t="s">
        <v>103</v>
      </c>
      <c r="C700" s="2" t="s">
        <v>1201</v>
      </c>
      <c r="D700" s="155" t="s">
        <v>1202</v>
      </c>
      <c r="E700" s="153"/>
      <c r="F700" s="2" t="s">
        <v>153</v>
      </c>
      <c r="G700" s="54">
        <f>'Stavební rozpočet'!G544</f>
        <v>198.24</v>
      </c>
      <c r="H700" s="94">
        <f>'Stavební rozpočet'!H544</f>
        <v>0</v>
      </c>
      <c r="I700" s="54">
        <f>G700*H700</f>
        <v>0</v>
      </c>
      <c r="J700" s="54">
        <f>'Stavební rozpočet'!J544</f>
        <v>0</v>
      </c>
      <c r="K700" s="54">
        <f>'Stavební rozpočet'!K544</f>
        <v>0</v>
      </c>
      <c r="L700" s="54">
        <f>G700*J700</f>
        <v>0</v>
      </c>
      <c r="M700" s="55" t="s">
        <v>111</v>
      </c>
      <c r="Z700" s="54">
        <f>IF(AQ700="5",BJ700,0)</f>
        <v>0</v>
      </c>
      <c r="AB700" s="54">
        <f>IF(AQ700="1",BH700,0)</f>
        <v>0</v>
      </c>
      <c r="AC700" s="54">
        <f>IF(AQ700="1",BI700,0)</f>
        <v>0</v>
      </c>
      <c r="AD700" s="54">
        <f>IF(AQ700="7",BH700,0)</f>
        <v>0</v>
      </c>
      <c r="AE700" s="54">
        <f>IF(AQ700="7",BI700,0)</f>
        <v>0</v>
      </c>
      <c r="AF700" s="54">
        <f>IF(AQ700="2",BH700,0)</f>
        <v>0</v>
      </c>
      <c r="AG700" s="54">
        <f>IF(AQ700="2",BI700,0)</f>
        <v>0</v>
      </c>
      <c r="AH700" s="54">
        <f>IF(AQ700="0",BJ700,0)</f>
        <v>0</v>
      </c>
      <c r="AI700" s="34" t="s">
        <v>103</v>
      </c>
      <c r="AJ700" s="54">
        <f>IF(AN700=0,I700,0)</f>
        <v>0</v>
      </c>
      <c r="AK700" s="54">
        <f>IF(AN700=12,I700,0)</f>
        <v>0</v>
      </c>
      <c r="AL700" s="54">
        <f>IF(AN700=21,I700,0)</f>
        <v>0</v>
      </c>
      <c r="AN700" s="54">
        <v>21</v>
      </c>
      <c r="AO700" s="54">
        <f>H700*0</f>
        <v>0</v>
      </c>
      <c r="AP700" s="54">
        <f>H700*(1-0)</f>
        <v>0</v>
      </c>
      <c r="AQ700" s="56" t="s">
        <v>168</v>
      </c>
      <c r="AV700" s="54">
        <f>AW700+AX700</f>
        <v>0</v>
      </c>
      <c r="AW700" s="54">
        <f>G700*AO700</f>
        <v>0</v>
      </c>
      <c r="AX700" s="54">
        <f>G700*AP700</f>
        <v>0</v>
      </c>
      <c r="AY700" s="56" t="s">
        <v>1167</v>
      </c>
      <c r="AZ700" s="56" t="s">
        <v>1168</v>
      </c>
      <c r="BA700" s="34" t="s">
        <v>114</v>
      </c>
      <c r="BC700" s="54">
        <f>AW700+AX700</f>
        <v>0</v>
      </c>
      <c r="BD700" s="54">
        <f>H700/(100-BE700)*100</f>
        <v>0</v>
      </c>
      <c r="BE700" s="54">
        <v>0</v>
      </c>
      <c r="BF700" s="54">
        <f>L700</f>
        <v>0</v>
      </c>
      <c r="BH700" s="54">
        <f>G700*AO700</f>
        <v>0</v>
      </c>
      <c r="BI700" s="54">
        <f>G700*AP700</f>
        <v>0</v>
      </c>
      <c r="BJ700" s="54">
        <f>G700*H700</f>
        <v>0</v>
      </c>
      <c r="BK700" s="54"/>
      <c r="BL700" s="54">
        <v>781</v>
      </c>
      <c r="BW700" s="54">
        <v>21</v>
      </c>
      <c r="BX700" s="3" t="s">
        <v>1202</v>
      </c>
    </row>
    <row r="701" spans="1:76" ht="13.5" customHeight="1" x14ac:dyDescent="0.35">
      <c r="A701" s="57"/>
      <c r="C701" s="62" t="s">
        <v>122</v>
      </c>
      <c r="D701" s="214" t="s">
        <v>1203</v>
      </c>
      <c r="E701" s="215"/>
      <c r="F701" s="215"/>
      <c r="G701" s="215"/>
      <c r="H701" s="215"/>
      <c r="I701" s="215"/>
      <c r="J701" s="215"/>
      <c r="K701" s="215"/>
      <c r="L701" s="215"/>
      <c r="M701" s="216"/>
    </row>
    <row r="702" spans="1:76" ht="14.5" x14ac:dyDescent="0.35">
      <c r="A702" s="57"/>
      <c r="D702" s="58" t="s">
        <v>208</v>
      </c>
      <c r="E702" s="59" t="s">
        <v>1204</v>
      </c>
      <c r="G702" s="60">
        <v>0</v>
      </c>
      <c r="M702" s="61"/>
    </row>
    <row r="703" spans="1:76" ht="14.5" x14ac:dyDescent="0.35">
      <c r="A703" s="57"/>
      <c r="D703" s="58" t="s">
        <v>1205</v>
      </c>
      <c r="E703" s="59" t="s">
        <v>1206</v>
      </c>
      <c r="G703" s="60">
        <v>54.24</v>
      </c>
      <c r="M703" s="61"/>
    </row>
    <row r="704" spans="1:76" ht="14.5" x14ac:dyDescent="0.35">
      <c r="A704" s="57"/>
      <c r="D704" s="58" t="s">
        <v>1207</v>
      </c>
      <c r="E704" s="59" t="s">
        <v>1208</v>
      </c>
      <c r="G704" s="60">
        <v>96</v>
      </c>
      <c r="M704" s="61"/>
    </row>
    <row r="705" spans="1:76" ht="14.5" x14ac:dyDescent="0.35">
      <c r="A705" s="57"/>
      <c r="D705" s="58" t="s">
        <v>1209</v>
      </c>
      <c r="E705" s="59" t="s">
        <v>1210</v>
      </c>
      <c r="G705" s="60">
        <v>48</v>
      </c>
      <c r="M705" s="61"/>
    </row>
    <row r="706" spans="1:76" ht="14.5" x14ac:dyDescent="0.35">
      <c r="A706" s="64" t="s">
        <v>1211</v>
      </c>
      <c r="B706" s="65" t="s">
        <v>103</v>
      </c>
      <c r="C706" s="65" t="s">
        <v>1212</v>
      </c>
      <c r="D706" s="217" t="s">
        <v>1213</v>
      </c>
      <c r="E706" s="218"/>
      <c r="F706" s="65" t="s">
        <v>1214</v>
      </c>
      <c r="G706" s="67">
        <f>'Stavební rozpočet'!G549</f>
        <v>210</v>
      </c>
      <c r="H706" s="95">
        <v>0</v>
      </c>
      <c r="I706" s="67">
        <f>G706*H706</f>
        <v>0</v>
      </c>
      <c r="J706" s="67">
        <f>'Stavební rozpočet'!J549</f>
        <v>5.0000000000000001E-4</v>
      </c>
      <c r="K706" s="67">
        <f>'Stavební rozpočet'!K549</f>
        <v>0</v>
      </c>
      <c r="L706" s="67">
        <f>G706*J706</f>
        <v>0.105</v>
      </c>
      <c r="M706" s="68" t="s">
        <v>616</v>
      </c>
      <c r="Z706" s="54">
        <f>IF(AQ706="5",BJ706,0)</f>
        <v>0</v>
      </c>
      <c r="AB706" s="54">
        <f>IF(AQ706="1",BH706,0)</f>
        <v>0</v>
      </c>
      <c r="AC706" s="54">
        <f>IF(AQ706="1",BI706,0)</f>
        <v>0</v>
      </c>
      <c r="AD706" s="54">
        <f>IF(AQ706="7",BH706,0)</f>
        <v>0</v>
      </c>
      <c r="AE706" s="54">
        <f>IF(AQ706="7",BI706,0)</f>
        <v>0</v>
      </c>
      <c r="AF706" s="54">
        <f>IF(AQ706="2",BH706,0)</f>
        <v>0</v>
      </c>
      <c r="AG706" s="54">
        <f>IF(AQ706="2",BI706,0)</f>
        <v>0</v>
      </c>
      <c r="AH706" s="54">
        <f>IF(AQ706="0",BJ706,0)</f>
        <v>0</v>
      </c>
      <c r="AI706" s="34" t="s">
        <v>103</v>
      </c>
      <c r="AJ706" s="67">
        <f>IF(AN706=0,I706,0)</f>
        <v>0</v>
      </c>
      <c r="AK706" s="67">
        <f>IF(AN706=12,I706,0)</f>
        <v>0</v>
      </c>
      <c r="AL706" s="67">
        <f>IF(AN706=21,I706,0)</f>
        <v>0</v>
      </c>
      <c r="AN706" s="54">
        <v>21</v>
      </c>
      <c r="AO706" s="54">
        <f>H706*1</f>
        <v>0</v>
      </c>
      <c r="AP706" s="54">
        <f>H706*(1-1)</f>
        <v>0</v>
      </c>
      <c r="AQ706" s="69" t="s">
        <v>168</v>
      </c>
      <c r="AV706" s="54">
        <f>AW706+AX706</f>
        <v>0</v>
      </c>
      <c r="AW706" s="54">
        <f>G706*AO706</f>
        <v>0</v>
      </c>
      <c r="AX706" s="54">
        <f>G706*AP706</f>
        <v>0</v>
      </c>
      <c r="AY706" s="56" t="s">
        <v>1167</v>
      </c>
      <c r="AZ706" s="56" t="s">
        <v>1168</v>
      </c>
      <c r="BA706" s="34" t="s">
        <v>114</v>
      </c>
      <c r="BC706" s="54">
        <f>AW706+AX706</f>
        <v>0</v>
      </c>
      <c r="BD706" s="54">
        <f>H706/(100-BE706)*100</f>
        <v>0</v>
      </c>
      <c r="BE706" s="54">
        <v>0</v>
      </c>
      <c r="BF706" s="54">
        <f>L706</f>
        <v>0.105</v>
      </c>
      <c r="BH706" s="67">
        <f>G706*AO706</f>
        <v>0</v>
      </c>
      <c r="BI706" s="67">
        <f>G706*AP706</f>
        <v>0</v>
      </c>
      <c r="BJ706" s="67">
        <f>G706*H706</f>
        <v>0</v>
      </c>
      <c r="BK706" s="67"/>
      <c r="BL706" s="54">
        <v>781</v>
      </c>
      <c r="BW706" s="54">
        <v>21</v>
      </c>
      <c r="BX706" s="66" t="s">
        <v>1213</v>
      </c>
    </row>
    <row r="707" spans="1:76" ht="14.5" x14ac:dyDescent="0.35">
      <c r="A707" s="57"/>
      <c r="D707" s="58" t="s">
        <v>10</v>
      </c>
      <c r="E707" s="59" t="s">
        <v>1204</v>
      </c>
      <c r="G707" s="60">
        <v>0</v>
      </c>
      <c r="M707" s="61"/>
    </row>
    <row r="708" spans="1:76" ht="14.5" x14ac:dyDescent="0.35">
      <c r="A708" s="57"/>
      <c r="D708" s="58" t="s">
        <v>1205</v>
      </c>
      <c r="E708" s="59" t="s">
        <v>1206</v>
      </c>
      <c r="G708" s="60">
        <v>54.24</v>
      </c>
      <c r="M708" s="61"/>
    </row>
    <row r="709" spans="1:76" ht="14.5" x14ac:dyDescent="0.35">
      <c r="A709" s="57"/>
      <c r="D709" s="58" t="s">
        <v>1207</v>
      </c>
      <c r="E709" s="59" t="s">
        <v>1208</v>
      </c>
      <c r="G709" s="60">
        <v>96</v>
      </c>
      <c r="M709" s="61"/>
    </row>
    <row r="710" spans="1:76" ht="14.5" x14ac:dyDescent="0.35">
      <c r="A710" s="57"/>
      <c r="D710" s="58" t="s">
        <v>1209</v>
      </c>
      <c r="E710" s="59" t="s">
        <v>1210</v>
      </c>
      <c r="G710" s="60">
        <v>48</v>
      </c>
      <c r="M710" s="61"/>
    </row>
    <row r="711" spans="1:76" ht="14.5" x14ac:dyDescent="0.35">
      <c r="A711" s="57"/>
      <c r="D711" s="58" t="s">
        <v>1215</v>
      </c>
      <c r="E711" s="59" t="s">
        <v>1216</v>
      </c>
      <c r="G711" s="60">
        <v>11.76</v>
      </c>
      <c r="M711" s="61"/>
    </row>
    <row r="712" spans="1:76" ht="14.5" x14ac:dyDescent="0.35">
      <c r="A712" s="1" t="s">
        <v>1217</v>
      </c>
      <c r="B712" s="2" t="s">
        <v>103</v>
      </c>
      <c r="C712" s="2" t="s">
        <v>1218</v>
      </c>
      <c r="D712" s="155" t="s">
        <v>1219</v>
      </c>
      <c r="E712" s="153"/>
      <c r="F712" s="2" t="s">
        <v>412</v>
      </c>
      <c r="G712" s="54">
        <f>'Stavební rozpočet'!G555</f>
        <v>10.638999999999999</v>
      </c>
      <c r="H712" s="94">
        <f>'Stavební rozpočet'!H555</f>
        <v>0</v>
      </c>
      <c r="I712" s="54">
        <f>G712*H712</f>
        <v>0</v>
      </c>
      <c r="J712" s="54">
        <f>'Stavební rozpočet'!J555</f>
        <v>0</v>
      </c>
      <c r="K712" s="54">
        <f>'Stavební rozpočet'!K555</f>
        <v>0</v>
      </c>
      <c r="L712" s="54">
        <f>G712*J712</f>
        <v>0</v>
      </c>
      <c r="M712" s="55" t="s">
        <v>111</v>
      </c>
      <c r="Z712" s="54">
        <f>IF(AQ712="5",BJ712,0)</f>
        <v>0</v>
      </c>
      <c r="AB712" s="54">
        <f>IF(AQ712="1",BH712,0)</f>
        <v>0</v>
      </c>
      <c r="AC712" s="54">
        <f>IF(AQ712="1",BI712,0)</f>
        <v>0</v>
      </c>
      <c r="AD712" s="54">
        <f>IF(AQ712="7",BH712,0)</f>
        <v>0</v>
      </c>
      <c r="AE712" s="54">
        <f>IF(AQ712="7",BI712,0)</f>
        <v>0</v>
      </c>
      <c r="AF712" s="54">
        <f>IF(AQ712="2",BH712,0)</f>
        <v>0</v>
      </c>
      <c r="AG712" s="54">
        <f>IF(AQ712="2",BI712,0)</f>
        <v>0</v>
      </c>
      <c r="AH712" s="54">
        <f>IF(AQ712="0",BJ712,0)</f>
        <v>0</v>
      </c>
      <c r="AI712" s="34" t="s">
        <v>103</v>
      </c>
      <c r="AJ712" s="54">
        <f>IF(AN712=0,I712,0)</f>
        <v>0</v>
      </c>
      <c r="AK712" s="54">
        <f>IF(AN712=12,I712,0)</f>
        <v>0</v>
      </c>
      <c r="AL712" s="54">
        <f>IF(AN712=21,I712,0)</f>
        <v>0</v>
      </c>
      <c r="AN712" s="54">
        <v>21</v>
      </c>
      <c r="AO712" s="54">
        <f>H712*0</f>
        <v>0</v>
      </c>
      <c r="AP712" s="54">
        <f>H712*(1-0)</f>
        <v>0</v>
      </c>
      <c r="AQ712" s="56" t="s">
        <v>150</v>
      </c>
      <c r="AV712" s="54">
        <f>AW712+AX712</f>
        <v>0</v>
      </c>
      <c r="AW712" s="54">
        <f>G712*AO712</f>
        <v>0</v>
      </c>
      <c r="AX712" s="54">
        <f>G712*AP712</f>
        <v>0</v>
      </c>
      <c r="AY712" s="56" t="s">
        <v>1167</v>
      </c>
      <c r="AZ712" s="56" t="s">
        <v>1168</v>
      </c>
      <c r="BA712" s="34" t="s">
        <v>114</v>
      </c>
      <c r="BC712" s="54">
        <f>AW712+AX712</f>
        <v>0</v>
      </c>
      <c r="BD712" s="54">
        <f>H712/(100-BE712)*100</f>
        <v>0</v>
      </c>
      <c r="BE712" s="54">
        <v>0</v>
      </c>
      <c r="BF712" s="54">
        <f>L712</f>
        <v>0</v>
      </c>
      <c r="BH712" s="54">
        <f>G712*AO712</f>
        <v>0</v>
      </c>
      <c r="BI712" s="54">
        <f>G712*AP712</f>
        <v>0</v>
      </c>
      <c r="BJ712" s="54">
        <f>G712*H712</f>
        <v>0</v>
      </c>
      <c r="BK712" s="54"/>
      <c r="BL712" s="54">
        <v>781</v>
      </c>
      <c r="BW712" s="54">
        <v>21</v>
      </c>
      <c r="BX712" s="3" t="s">
        <v>1219</v>
      </c>
    </row>
    <row r="713" spans="1:76" ht="14.5" x14ac:dyDescent="0.35">
      <c r="A713" s="50" t="s">
        <v>10</v>
      </c>
      <c r="B713" s="51" t="s">
        <v>103</v>
      </c>
      <c r="C713" s="51" t="s">
        <v>1220</v>
      </c>
      <c r="D713" s="206" t="s">
        <v>1221</v>
      </c>
      <c r="E713" s="207"/>
      <c r="F713" s="52" t="s">
        <v>84</v>
      </c>
      <c r="G713" s="52" t="s">
        <v>84</v>
      </c>
      <c r="H713" s="52" t="s">
        <v>84</v>
      </c>
      <c r="I713" s="27">
        <f>SUM(I714:I726)</f>
        <v>0</v>
      </c>
      <c r="J713" s="34" t="s">
        <v>10</v>
      </c>
      <c r="K713" s="34" t="s">
        <v>10</v>
      </c>
      <c r="L713" s="27">
        <f>SUM(L714:L726)</f>
        <v>5.1337159999999993E-2</v>
      </c>
      <c r="M713" s="53" t="s">
        <v>10</v>
      </c>
      <c r="AI713" s="34" t="s">
        <v>103</v>
      </c>
      <c r="AS713" s="27">
        <f>SUM(AJ714:AJ726)</f>
        <v>0</v>
      </c>
      <c r="AT713" s="27">
        <f>SUM(AK714:AK726)</f>
        <v>0</v>
      </c>
      <c r="AU713" s="27">
        <f>SUM(AL714:AL726)</f>
        <v>0</v>
      </c>
    </row>
    <row r="714" spans="1:76" ht="14.5" x14ac:dyDescent="0.35">
      <c r="A714" s="1" t="s">
        <v>1222</v>
      </c>
      <c r="B714" s="2" t="s">
        <v>103</v>
      </c>
      <c r="C714" s="2" t="s">
        <v>1223</v>
      </c>
      <c r="D714" s="155" t="s">
        <v>1224</v>
      </c>
      <c r="E714" s="153"/>
      <c r="F714" s="2" t="s">
        <v>110</v>
      </c>
      <c r="G714" s="54">
        <f>'Stavební rozpočet'!G557</f>
        <v>44.834000000000003</v>
      </c>
      <c r="H714" s="94">
        <f>'Stavební rozpočet'!H557</f>
        <v>0</v>
      </c>
      <c r="I714" s="54">
        <f>G714*H714</f>
        <v>0</v>
      </c>
      <c r="J714" s="54">
        <f>'Stavební rozpočet'!J557</f>
        <v>2.4000000000000001E-4</v>
      </c>
      <c r="K714" s="54">
        <f>'Stavební rozpočet'!K557</f>
        <v>0</v>
      </c>
      <c r="L714" s="54">
        <f>G714*J714</f>
        <v>1.0760160000000001E-2</v>
      </c>
      <c r="M714" s="55" t="s">
        <v>111</v>
      </c>
      <c r="Z714" s="54">
        <f>IF(AQ714="5",BJ714,0)</f>
        <v>0</v>
      </c>
      <c r="AB714" s="54">
        <f>IF(AQ714="1",BH714,0)</f>
        <v>0</v>
      </c>
      <c r="AC714" s="54">
        <f>IF(AQ714="1",BI714,0)</f>
        <v>0</v>
      </c>
      <c r="AD714" s="54">
        <f>IF(AQ714="7",BH714,0)</f>
        <v>0</v>
      </c>
      <c r="AE714" s="54">
        <f>IF(AQ714="7",BI714,0)</f>
        <v>0</v>
      </c>
      <c r="AF714" s="54">
        <f>IF(AQ714="2",BH714,0)</f>
        <v>0</v>
      </c>
      <c r="AG714" s="54">
        <f>IF(AQ714="2",BI714,0)</f>
        <v>0</v>
      </c>
      <c r="AH714" s="54">
        <f>IF(AQ714="0",BJ714,0)</f>
        <v>0</v>
      </c>
      <c r="AI714" s="34" t="s">
        <v>103</v>
      </c>
      <c r="AJ714" s="54">
        <f>IF(AN714=0,I714,0)</f>
        <v>0</v>
      </c>
      <c r="AK714" s="54">
        <f>IF(AN714=12,I714,0)</f>
        <v>0</v>
      </c>
      <c r="AL714" s="54">
        <f>IF(AN714=21,I714,0)</f>
        <v>0</v>
      </c>
      <c r="AN714" s="54">
        <v>21</v>
      </c>
      <c r="AO714" s="54">
        <f>H714*0.182375239</f>
        <v>0</v>
      </c>
      <c r="AP714" s="54">
        <f>H714*(1-0.182375239)</f>
        <v>0</v>
      </c>
      <c r="AQ714" s="56" t="s">
        <v>168</v>
      </c>
      <c r="AV714" s="54">
        <f>AW714+AX714</f>
        <v>0</v>
      </c>
      <c r="AW714" s="54">
        <f>G714*AO714</f>
        <v>0</v>
      </c>
      <c r="AX714" s="54">
        <f>G714*AP714</f>
        <v>0</v>
      </c>
      <c r="AY714" s="56" t="s">
        <v>1225</v>
      </c>
      <c r="AZ714" s="56" t="s">
        <v>1168</v>
      </c>
      <c r="BA714" s="34" t="s">
        <v>114</v>
      </c>
      <c r="BC714" s="54">
        <f>AW714+AX714</f>
        <v>0</v>
      </c>
      <c r="BD714" s="54">
        <f>H714/(100-BE714)*100</f>
        <v>0</v>
      </c>
      <c r="BE714" s="54">
        <v>0</v>
      </c>
      <c r="BF714" s="54">
        <f>L714</f>
        <v>1.0760160000000001E-2</v>
      </c>
      <c r="BH714" s="54">
        <f>G714*AO714</f>
        <v>0</v>
      </c>
      <c r="BI714" s="54">
        <f>G714*AP714</f>
        <v>0</v>
      </c>
      <c r="BJ714" s="54">
        <f>G714*H714</f>
        <v>0</v>
      </c>
      <c r="BK714" s="54"/>
      <c r="BL714" s="54">
        <v>783</v>
      </c>
      <c r="BW714" s="54">
        <v>21</v>
      </c>
      <c r="BX714" s="3" t="s">
        <v>1224</v>
      </c>
    </row>
    <row r="715" spans="1:76" ht="27" customHeight="1" x14ac:dyDescent="0.35">
      <c r="A715" s="57"/>
      <c r="C715" s="62" t="s">
        <v>122</v>
      </c>
      <c r="D715" s="214" t="s">
        <v>1226</v>
      </c>
      <c r="E715" s="215"/>
      <c r="F715" s="215"/>
      <c r="G715" s="215"/>
      <c r="H715" s="215"/>
      <c r="I715" s="215"/>
      <c r="J715" s="215"/>
      <c r="K715" s="215"/>
      <c r="L715" s="215"/>
      <c r="M715" s="216"/>
    </row>
    <row r="716" spans="1:76" ht="14.5" x14ac:dyDescent="0.35">
      <c r="A716" s="57"/>
      <c r="D716" s="58" t="s">
        <v>208</v>
      </c>
      <c r="E716" s="59" t="s">
        <v>1227</v>
      </c>
      <c r="G716" s="60">
        <v>0</v>
      </c>
      <c r="M716" s="61"/>
    </row>
    <row r="717" spans="1:76" ht="14.5" x14ac:dyDescent="0.35">
      <c r="A717" s="57"/>
      <c r="D717" s="58" t="s">
        <v>1228</v>
      </c>
      <c r="E717" s="59" t="s">
        <v>1229</v>
      </c>
      <c r="G717" s="60">
        <v>22.183</v>
      </c>
      <c r="M717" s="61"/>
    </row>
    <row r="718" spans="1:76" ht="14.5" x14ac:dyDescent="0.35">
      <c r="A718" s="57"/>
      <c r="D718" s="58" t="s">
        <v>1230</v>
      </c>
      <c r="E718" s="59" t="s">
        <v>1231</v>
      </c>
      <c r="G718" s="60">
        <v>22.651</v>
      </c>
      <c r="M718" s="61"/>
    </row>
    <row r="719" spans="1:76" ht="14.5" x14ac:dyDescent="0.35">
      <c r="A719" s="1" t="s">
        <v>1232</v>
      </c>
      <c r="B719" s="2" t="s">
        <v>103</v>
      </c>
      <c r="C719" s="2" t="s">
        <v>1233</v>
      </c>
      <c r="D719" s="155" t="s">
        <v>1234</v>
      </c>
      <c r="E719" s="153"/>
      <c r="F719" s="2" t="s">
        <v>110</v>
      </c>
      <c r="G719" s="54">
        <f>'Stavební rozpočet'!G561</f>
        <v>94.75</v>
      </c>
      <c r="H719" s="94">
        <f>'Stavební rozpočet'!H561</f>
        <v>0</v>
      </c>
      <c r="I719" s="54">
        <f>G719*H719</f>
        <v>0</v>
      </c>
      <c r="J719" s="54">
        <f>'Stavební rozpočet'!J561</f>
        <v>2.9999999999999997E-4</v>
      </c>
      <c r="K719" s="54">
        <f>'Stavební rozpočet'!K561</f>
        <v>0</v>
      </c>
      <c r="L719" s="54">
        <f>G719*J719</f>
        <v>2.8424999999999999E-2</v>
      </c>
      <c r="M719" s="55" t="s">
        <v>111</v>
      </c>
      <c r="Z719" s="54">
        <f>IF(AQ719="5",BJ719,0)</f>
        <v>0</v>
      </c>
      <c r="AB719" s="54">
        <f>IF(AQ719="1",BH719,0)</f>
        <v>0</v>
      </c>
      <c r="AC719" s="54">
        <f>IF(AQ719="1",BI719,0)</f>
        <v>0</v>
      </c>
      <c r="AD719" s="54">
        <f>IF(AQ719="7",BH719,0)</f>
        <v>0</v>
      </c>
      <c r="AE719" s="54">
        <f>IF(AQ719="7",BI719,0)</f>
        <v>0</v>
      </c>
      <c r="AF719" s="54">
        <f>IF(AQ719="2",BH719,0)</f>
        <v>0</v>
      </c>
      <c r="AG719" s="54">
        <f>IF(AQ719="2",BI719,0)</f>
        <v>0</v>
      </c>
      <c r="AH719" s="54">
        <f>IF(AQ719="0",BJ719,0)</f>
        <v>0</v>
      </c>
      <c r="AI719" s="34" t="s">
        <v>103</v>
      </c>
      <c r="AJ719" s="54">
        <f>IF(AN719=0,I719,0)</f>
        <v>0</v>
      </c>
      <c r="AK719" s="54">
        <f>IF(AN719=12,I719,0)</f>
        <v>0</v>
      </c>
      <c r="AL719" s="54">
        <f>IF(AN719=21,I719,0)</f>
        <v>0</v>
      </c>
      <c r="AN719" s="54">
        <v>21</v>
      </c>
      <c r="AO719" s="54">
        <f>H719*0.321518365</f>
        <v>0</v>
      </c>
      <c r="AP719" s="54">
        <f>H719*(1-0.321518365)</f>
        <v>0</v>
      </c>
      <c r="AQ719" s="56" t="s">
        <v>168</v>
      </c>
      <c r="AV719" s="54">
        <f>AW719+AX719</f>
        <v>0</v>
      </c>
      <c r="AW719" s="54">
        <f>G719*AO719</f>
        <v>0</v>
      </c>
      <c r="AX719" s="54">
        <f>G719*AP719</f>
        <v>0</v>
      </c>
      <c r="AY719" s="56" t="s">
        <v>1225</v>
      </c>
      <c r="AZ719" s="56" t="s">
        <v>1168</v>
      </c>
      <c r="BA719" s="34" t="s">
        <v>114</v>
      </c>
      <c r="BC719" s="54">
        <f>AW719+AX719</f>
        <v>0</v>
      </c>
      <c r="BD719" s="54">
        <f>H719/(100-BE719)*100</f>
        <v>0</v>
      </c>
      <c r="BE719" s="54">
        <v>0</v>
      </c>
      <c r="BF719" s="54">
        <f>L719</f>
        <v>2.8424999999999999E-2</v>
      </c>
      <c r="BH719" s="54">
        <f>G719*AO719</f>
        <v>0</v>
      </c>
      <c r="BI719" s="54">
        <f>G719*AP719</f>
        <v>0</v>
      </c>
      <c r="BJ719" s="54">
        <f>G719*H719</f>
        <v>0</v>
      </c>
      <c r="BK719" s="54"/>
      <c r="BL719" s="54">
        <v>783</v>
      </c>
      <c r="BW719" s="54">
        <v>21</v>
      </c>
      <c r="BX719" s="3" t="s">
        <v>1234</v>
      </c>
    </row>
    <row r="720" spans="1:76" ht="40.5" customHeight="1" x14ac:dyDescent="0.35">
      <c r="A720" s="57"/>
      <c r="C720" s="62" t="s">
        <v>122</v>
      </c>
      <c r="D720" s="214" t="s">
        <v>1235</v>
      </c>
      <c r="E720" s="215"/>
      <c r="F720" s="215"/>
      <c r="G720" s="215"/>
      <c r="H720" s="215"/>
      <c r="I720" s="215"/>
      <c r="J720" s="215"/>
      <c r="K720" s="215"/>
      <c r="L720" s="215"/>
      <c r="M720" s="216"/>
    </row>
    <row r="721" spans="1:76" ht="14.5" x14ac:dyDescent="0.35">
      <c r="A721" s="57"/>
      <c r="D721" s="58" t="s">
        <v>208</v>
      </c>
      <c r="E721" s="59" t="s">
        <v>1236</v>
      </c>
      <c r="G721" s="60">
        <v>0</v>
      </c>
      <c r="M721" s="61"/>
    </row>
    <row r="722" spans="1:76" ht="14.5" x14ac:dyDescent="0.35">
      <c r="A722" s="57"/>
      <c r="D722" s="58" t="s">
        <v>1237</v>
      </c>
      <c r="E722" s="59" t="s">
        <v>1238</v>
      </c>
      <c r="G722" s="60">
        <v>63.25</v>
      </c>
      <c r="M722" s="61"/>
    </row>
    <row r="723" spans="1:76" ht="14.5" x14ac:dyDescent="0.35">
      <c r="A723" s="57"/>
      <c r="D723" s="58" t="s">
        <v>1239</v>
      </c>
      <c r="E723" s="59" t="s">
        <v>1240</v>
      </c>
      <c r="G723" s="60">
        <v>5.75</v>
      </c>
      <c r="M723" s="61"/>
    </row>
    <row r="724" spans="1:76" ht="14.5" x14ac:dyDescent="0.35">
      <c r="A724" s="57"/>
      <c r="D724" s="58" t="s">
        <v>1241</v>
      </c>
      <c r="E724" s="59" t="s">
        <v>1242</v>
      </c>
      <c r="G724" s="60">
        <v>21</v>
      </c>
      <c r="M724" s="61"/>
    </row>
    <row r="725" spans="1:76" ht="14.5" x14ac:dyDescent="0.35">
      <c r="A725" s="57"/>
      <c r="D725" s="58" t="s">
        <v>1243</v>
      </c>
      <c r="E725" s="59" t="s">
        <v>1244</v>
      </c>
      <c r="G725" s="60">
        <v>4.75</v>
      </c>
      <c r="M725" s="61"/>
    </row>
    <row r="726" spans="1:76" ht="14.5" x14ac:dyDescent="0.35">
      <c r="A726" s="1" t="s">
        <v>1245</v>
      </c>
      <c r="B726" s="2" t="s">
        <v>103</v>
      </c>
      <c r="C726" s="2" t="s">
        <v>1246</v>
      </c>
      <c r="D726" s="155" t="s">
        <v>1247</v>
      </c>
      <c r="E726" s="153"/>
      <c r="F726" s="2" t="s">
        <v>153</v>
      </c>
      <c r="G726" s="54">
        <f>'Stavební rozpočet'!G567</f>
        <v>173.6</v>
      </c>
      <c r="H726" s="94">
        <f>'Stavební rozpočet'!H567</f>
        <v>0</v>
      </c>
      <c r="I726" s="54">
        <f>G726*H726</f>
        <v>0</v>
      </c>
      <c r="J726" s="54">
        <f>'Stavební rozpočet'!J567</f>
        <v>6.9999999999999994E-5</v>
      </c>
      <c r="K726" s="54">
        <f>'Stavební rozpočet'!K567</f>
        <v>0</v>
      </c>
      <c r="L726" s="54">
        <f>G726*J726</f>
        <v>1.2151999999999998E-2</v>
      </c>
      <c r="M726" s="55" t="s">
        <v>111</v>
      </c>
      <c r="Z726" s="54">
        <f>IF(AQ726="5",BJ726,0)</f>
        <v>0</v>
      </c>
      <c r="AB726" s="54">
        <f>IF(AQ726="1",BH726,0)</f>
        <v>0</v>
      </c>
      <c r="AC726" s="54">
        <f>IF(AQ726="1",BI726,0)</f>
        <v>0</v>
      </c>
      <c r="AD726" s="54">
        <f>IF(AQ726="7",BH726,0)</f>
        <v>0</v>
      </c>
      <c r="AE726" s="54">
        <f>IF(AQ726="7",BI726,0)</f>
        <v>0</v>
      </c>
      <c r="AF726" s="54">
        <f>IF(AQ726="2",BH726,0)</f>
        <v>0</v>
      </c>
      <c r="AG726" s="54">
        <f>IF(AQ726="2",BI726,0)</f>
        <v>0</v>
      </c>
      <c r="AH726" s="54">
        <f>IF(AQ726="0",BJ726,0)</f>
        <v>0</v>
      </c>
      <c r="AI726" s="34" t="s">
        <v>103</v>
      </c>
      <c r="AJ726" s="54">
        <f>IF(AN726=0,I726,0)</f>
        <v>0</v>
      </c>
      <c r="AK726" s="54">
        <f>IF(AN726=12,I726,0)</f>
        <v>0</v>
      </c>
      <c r="AL726" s="54">
        <f>IF(AN726=21,I726,0)</f>
        <v>0</v>
      </c>
      <c r="AN726" s="54">
        <v>21</v>
      </c>
      <c r="AO726" s="54">
        <f>H726*0.191094891</f>
        <v>0</v>
      </c>
      <c r="AP726" s="54">
        <f>H726*(1-0.191094891)</f>
        <v>0</v>
      </c>
      <c r="AQ726" s="56" t="s">
        <v>168</v>
      </c>
      <c r="AV726" s="54">
        <f>AW726+AX726</f>
        <v>0</v>
      </c>
      <c r="AW726" s="54">
        <f>G726*AO726</f>
        <v>0</v>
      </c>
      <c r="AX726" s="54">
        <f>G726*AP726</f>
        <v>0</v>
      </c>
      <c r="AY726" s="56" t="s">
        <v>1225</v>
      </c>
      <c r="AZ726" s="56" t="s">
        <v>1168</v>
      </c>
      <c r="BA726" s="34" t="s">
        <v>114</v>
      </c>
      <c r="BC726" s="54">
        <f>AW726+AX726</f>
        <v>0</v>
      </c>
      <c r="BD726" s="54">
        <f>H726/(100-BE726)*100</f>
        <v>0</v>
      </c>
      <c r="BE726" s="54">
        <v>0</v>
      </c>
      <c r="BF726" s="54">
        <f>L726</f>
        <v>1.2151999999999998E-2</v>
      </c>
      <c r="BH726" s="54">
        <f>G726*AO726</f>
        <v>0</v>
      </c>
      <c r="BI726" s="54">
        <f>G726*AP726</f>
        <v>0</v>
      </c>
      <c r="BJ726" s="54">
        <f>G726*H726</f>
        <v>0</v>
      </c>
      <c r="BK726" s="54"/>
      <c r="BL726" s="54">
        <v>783</v>
      </c>
      <c r="BW726" s="54">
        <v>21</v>
      </c>
      <c r="BX726" s="3" t="s">
        <v>1247</v>
      </c>
    </row>
    <row r="727" spans="1:76" ht="14.5" x14ac:dyDescent="0.35">
      <c r="A727" s="57"/>
      <c r="D727" s="58" t="s">
        <v>1248</v>
      </c>
      <c r="E727" s="59" t="s">
        <v>1249</v>
      </c>
      <c r="G727" s="60">
        <v>62.4</v>
      </c>
      <c r="M727" s="61"/>
    </row>
    <row r="728" spans="1:76" ht="14.5" x14ac:dyDescent="0.35">
      <c r="A728" s="57"/>
      <c r="D728" s="58" t="s">
        <v>179</v>
      </c>
      <c r="E728" s="59" t="s">
        <v>1250</v>
      </c>
      <c r="G728" s="60">
        <v>5.2</v>
      </c>
      <c r="M728" s="61"/>
    </row>
    <row r="729" spans="1:76" ht="14.5" x14ac:dyDescent="0.35">
      <c r="A729" s="57"/>
      <c r="D729" s="58" t="s">
        <v>572</v>
      </c>
      <c r="E729" s="59" t="s">
        <v>1251</v>
      </c>
      <c r="G729" s="60">
        <v>2</v>
      </c>
      <c r="M729" s="61"/>
    </row>
    <row r="730" spans="1:76" ht="14.5" x14ac:dyDescent="0.35">
      <c r="A730" s="57"/>
      <c r="D730" s="58" t="s">
        <v>179</v>
      </c>
      <c r="E730" s="59" t="s">
        <v>1252</v>
      </c>
      <c r="G730" s="60">
        <v>5.2</v>
      </c>
      <c r="M730" s="61"/>
    </row>
    <row r="731" spans="1:76" ht="14.5" x14ac:dyDescent="0.35">
      <c r="A731" s="57"/>
      <c r="D731" s="58" t="s">
        <v>208</v>
      </c>
      <c r="E731" s="59" t="s">
        <v>1253</v>
      </c>
      <c r="G731" s="60">
        <v>0</v>
      </c>
      <c r="M731" s="61"/>
    </row>
    <row r="732" spans="1:76" ht="14.5" x14ac:dyDescent="0.35">
      <c r="A732" s="57"/>
      <c r="D732" s="58" t="s">
        <v>1254</v>
      </c>
      <c r="E732" s="59" t="s">
        <v>1255</v>
      </c>
      <c r="G732" s="60">
        <v>41.6</v>
      </c>
      <c r="M732" s="61"/>
    </row>
    <row r="733" spans="1:76" ht="14.5" x14ac:dyDescent="0.35">
      <c r="A733" s="57"/>
      <c r="D733" s="58" t="s">
        <v>1256</v>
      </c>
      <c r="E733" s="59" t="s">
        <v>1257</v>
      </c>
      <c r="G733" s="60">
        <v>46.8</v>
      </c>
      <c r="M733" s="61"/>
    </row>
    <row r="734" spans="1:76" ht="14.5" x14ac:dyDescent="0.35">
      <c r="A734" s="57"/>
      <c r="D734" s="58" t="s">
        <v>1258</v>
      </c>
      <c r="E734" s="59" t="s">
        <v>1259</v>
      </c>
      <c r="G734" s="60">
        <v>10.4</v>
      </c>
      <c r="M734" s="61"/>
    </row>
    <row r="735" spans="1:76" ht="14.5" x14ac:dyDescent="0.35">
      <c r="A735" s="50" t="s">
        <v>10</v>
      </c>
      <c r="B735" s="51" t="s">
        <v>103</v>
      </c>
      <c r="C735" s="51" t="s">
        <v>1260</v>
      </c>
      <c r="D735" s="206" t="s">
        <v>1261</v>
      </c>
      <c r="E735" s="207"/>
      <c r="F735" s="52" t="s">
        <v>84</v>
      </c>
      <c r="G735" s="52" t="s">
        <v>84</v>
      </c>
      <c r="H735" s="52" t="s">
        <v>84</v>
      </c>
      <c r="I735" s="27">
        <f>SUM(I736:I768)</f>
        <v>0</v>
      </c>
      <c r="J735" s="34" t="s">
        <v>10</v>
      </c>
      <c r="K735" s="34" t="s">
        <v>10</v>
      </c>
      <c r="L735" s="27">
        <f>SUM(L736:L768)</f>
        <v>2.79713484</v>
      </c>
      <c r="M735" s="53" t="s">
        <v>10</v>
      </c>
      <c r="AI735" s="34" t="s">
        <v>103</v>
      </c>
      <c r="AS735" s="27">
        <f>SUM(AJ736:AJ768)</f>
        <v>0</v>
      </c>
      <c r="AT735" s="27">
        <f>SUM(AK736:AK768)</f>
        <v>0</v>
      </c>
      <c r="AU735" s="27">
        <f>SUM(AL736:AL768)</f>
        <v>0</v>
      </c>
    </row>
    <row r="736" spans="1:76" ht="14.5" x14ac:dyDescent="0.35">
      <c r="A736" s="1" t="s">
        <v>1262</v>
      </c>
      <c r="B736" s="2" t="s">
        <v>103</v>
      </c>
      <c r="C736" s="2" t="s">
        <v>1263</v>
      </c>
      <c r="D736" s="155" t="s">
        <v>1264</v>
      </c>
      <c r="E736" s="153"/>
      <c r="F736" s="2" t="s">
        <v>110</v>
      </c>
      <c r="G736" s="54">
        <f>'Stavební rozpočet'!G577</f>
        <v>1663.248</v>
      </c>
      <c r="H736" s="94">
        <f>'Stavební rozpočet'!H577</f>
        <v>0</v>
      </c>
      <c r="I736" s="54">
        <f>G736*H736</f>
        <v>0</v>
      </c>
      <c r="J736" s="54">
        <f>'Stavební rozpočet'!J577</f>
        <v>8.9999999999999998E-4</v>
      </c>
      <c r="K736" s="54">
        <f>'Stavební rozpočet'!K577</f>
        <v>8.9999999999999998E-4</v>
      </c>
      <c r="L736" s="54">
        <f>G736*J736</f>
        <v>1.4969231999999999</v>
      </c>
      <c r="M736" s="55" t="s">
        <v>111</v>
      </c>
      <c r="Z736" s="54">
        <f>IF(AQ736="5",BJ736,0)</f>
        <v>0</v>
      </c>
      <c r="AB736" s="54">
        <f>IF(AQ736="1",BH736,0)</f>
        <v>0</v>
      </c>
      <c r="AC736" s="54">
        <f>IF(AQ736="1",BI736,0)</f>
        <v>0</v>
      </c>
      <c r="AD736" s="54">
        <f>IF(AQ736="7",BH736,0)</f>
        <v>0</v>
      </c>
      <c r="AE736" s="54">
        <f>IF(AQ736="7",BI736,0)</f>
        <v>0</v>
      </c>
      <c r="AF736" s="54">
        <f>IF(AQ736="2",BH736,0)</f>
        <v>0</v>
      </c>
      <c r="AG736" s="54">
        <f>IF(AQ736="2",BI736,0)</f>
        <v>0</v>
      </c>
      <c r="AH736" s="54">
        <f>IF(AQ736="0",BJ736,0)</f>
        <v>0</v>
      </c>
      <c r="AI736" s="34" t="s">
        <v>103</v>
      </c>
      <c r="AJ736" s="54">
        <f>IF(AN736=0,I736,0)</f>
        <v>0</v>
      </c>
      <c r="AK736" s="54">
        <f>IF(AN736=12,I736,0)</f>
        <v>0</v>
      </c>
      <c r="AL736" s="54">
        <f>IF(AN736=21,I736,0)</f>
        <v>0</v>
      </c>
      <c r="AN736" s="54">
        <v>21</v>
      </c>
      <c r="AO736" s="54">
        <f>H736*0.002320675</f>
        <v>0</v>
      </c>
      <c r="AP736" s="54">
        <f>H736*(1-0.002320675)</f>
        <v>0</v>
      </c>
      <c r="AQ736" s="56" t="s">
        <v>168</v>
      </c>
      <c r="AV736" s="54">
        <f>AW736+AX736</f>
        <v>0</v>
      </c>
      <c r="AW736" s="54">
        <f>G736*AO736</f>
        <v>0</v>
      </c>
      <c r="AX736" s="54">
        <f>G736*AP736</f>
        <v>0</v>
      </c>
      <c r="AY736" s="56" t="s">
        <v>1265</v>
      </c>
      <c r="AZ736" s="56" t="s">
        <v>1168</v>
      </c>
      <c r="BA736" s="34" t="s">
        <v>114</v>
      </c>
      <c r="BC736" s="54">
        <f>AW736+AX736</f>
        <v>0</v>
      </c>
      <c r="BD736" s="54">
        <f>H736/(100-BE736)*100</f>
        <v>0</v>
      </c>
      <c r="BE736" s="54">
        <v>0</v>
      </c>
      <c r="BF736" s="54">
        <f>L736</f>
        <v>1.4969231999999999</v>
      </c>
      <c r="BH736" s="54">
        <f>G736*AO736</f>
        <v>0</v>
      </c>
      <c r="BI736" s="54">
        <f>G736*AP736</f>
        <v>0</v>
      </c>
      <c r="BJ736" s="54">
        <f>G736*H736</f>
        <v>0</v>
      </c>
      <c r="BK736" s="54"/>
      <c r="BL736" s="54">
        <v>784</v>
      </c>
      <c r="BW736" s="54">
        <v>21</v>
      </c>
      <c r="BX736" s="3" t="s">
        <v>1264</v>
      </c>
    </row>
    <row r="737" spans="1:76" ht="14.5" x14ac:dyDescent="0.35">
      <c r="A737" s="57"/>
      <c r="D737" s="58" t="s">
        <v>208</v>
      </c>
      <c r="E737" s="59" t="s">
        <v>1266</v>
      </c>
      <c r="G737" s="60">
        <v>0</v>
      </c>
      <c r="M737" s="61"/>
    </row>
    <row r="738" spans="1:76" ht="14.5" x14ac:dyDescent="0.35">
      <c r="A738" s="57"/>
      <c r="D738" s="58" t="s">
        <v>1267</v>
      </c>
      <c r="E738" s="59" t="s">
        <v>1268</v>
      </c>
      <c r="G738" s="60">
        <v>246.36</v>
      </c>
      <c r="M738" s="61"/>
    </row>
    <row r="739" spans="1:76" ht="14.5" x14ac:dyDescent="0.35">
      <c r="A739" s="57"/>
      <c r="D739" s="58" t="s">
        <v>1269</v>
      </c>
      <c r="E739" s="59" t="s">
        <v>1270</v>
      </c>
      <c r="G739" s="60">
        <v>837.40300000000002</v>
      </c>
      <c r="M739" s="61"/>
    </row>
    <row r="740" spans="1:76" ht="14.5" x14ac:dyDescent="0.35">
      <c r="A740" s="57"/>
      <c r="D740" s="58" t="s">
        <v>1271</v>
      </c>
      <c r="E740" s="59" t="s">
        <v>1272</v>
      </c>
      <c r="G740" s="60">
        <v>19.224</v>
      </c>
      <c r="M740" s="61"/>
    </row>
    <row r="741" spans="1:76" ht="14.5" x14ac:dyDescent="0.35">
      <c r="A741" s="57"/>
      <c r="D741" s="58" t="s">
        <v>208</v>
      </c>
      <c r="E741" s="59" t="s">
        <v>1273</v>
      </c>
      <c r="G741" s="60">
        <v>0</v>
      </c>
      <c r="M741" s="61"/>
    </row>
    <row r="742" spans="1:76" ht="14.5" x14ac:dyDescent="0.35">
      <c r="A742" s="57"/>
      <c r="D742" s="58" t="s">
        <v>1274</v>
      </c>
      <c r="E742" s="59" t="s">
        <v>1275</v>
      </c>
      <c r="G742" s="60">
        <v>346.27699999999999</v>
      </c>
      <c r="M742" s="61"/>
    </row>
    <row r="743" spans="1:76" ht="14.5" x14ac:dyDescent="0.35">
      <c r="A743" s="57"/>
      <c r="D743" s="58" t="s">
        <v>1276</v>
      </c>
      <c r="E743" s="59" t="s">
        <v>1277</v>
      </c>
      <c r="G743" s="60">
        <v>162.905</v>
      </c>
      <c r="M743" s="61"/>
    </row>
    <row r="744" spans="1:76" ht="14.5" x14ac:dyDescent="0.35">
      <c r="A744" s="57"/>
      <c r="D744" s="58" t="s">
        <v>1278</v>
      </c>
      <c r="E744" s="59" t="s">
        <v>1279</v>
      </c>
      <c r="G744" s="60">
        <v>50.277999999999999</v>
      </c>
      <c r="M744" s="61"/>
    </row>
    <row r="745" spans="1:76" ht="14.5" x14ac:dyDescent="0.35">
      <c r="A745" s="57"/>
      <c r="D745" s="58" t="s">
        <v>1280</v>
      </c>
      <c r="E745" s="59" t="s">
        <v>1281</v>
      </c>
      <c r="G745" s="60">
        <v>0.80100000000000005</v>
      </c>
      <c r="M745" s="61"/>
    </row>
    <row r="746" spans="1:76" ht="14.5" x14ac:dyDescent="0.35">
      <c r="A746" s="57"/>
      <c r="C746" s="62" t="s">
        <v>156</v>
      </c>
      <c r="D746" s="211" t="s">
        <v>1282</v>
      </c>
      <c r="E746" s="212"/>
      <c r="F746" s="212"/>
      <c r="G746" s="212"/>
      <c r="H746" s="212"/>
      <c r="I746" s="212"/>
      <c r="J746" s="212"/>
      <c r="K746" s="212"/>
      <c r="L746" s="212"/>
      <c r="M746" s="213"/>
      <c r="BX746" s="63" t="s">
        <v>1282</v>
      </c>
    </row>
    <row r="747" spans="1:76" ht="14.5" x14ac:dyDescent="0.35">
      <c r="A747" s="1" t="s">
        <v>1283</v>
      </c>
      <c r="B747" s="2" t="s">
        <v>103</v>
      </c>
      <c r="C747" s="2" t="s">
        <v>1284</v>
      </c>
      <c r="D747" s="155" t="s">
        <v>1285</v>
      </c>
      <c r="E747" s="153"/>
      <c r="F747" s="2" t="s">
        <v>110</v>
      </c>
      <c r="G747" s="54">
        <f>'Stavební rozpočet'!G587</f>
        <v>2063.828</v>
      </c>
      <c r="H747" s="94">
        <f>'Stavební rozpočet'!H587</f>
        <v>0</v>
      </c>
      <c r="I747" s="54">
        <f>G747*H747</f>
        <v>0</v>
      </c>
      <c r="J747" s="54">
        <f>'Stavební rozpočet'!J587</f>
        <v>6.3000000000000003E-4</v>
      </c>
      <c r="K747" s="54">
        <f>'Stavební rozpočet'!K587</f>
        <v>0</v>
      </c>
      <c r="L747" s="54">
        <f>G747*J747</f>
        <v>1.3002116400000001</v>
      </c>
      <c r="M747" s="55" t="s">
        <v>111</v>
      </c>
      <c r="Z747" s="54">
        <f>IF(AQ747="5",BJ747,0)</f>
        <v>0</v>
      </c>
      <c r="AB747" s="54">
        <f>IF(AQ747="1",BH747,0)</f>
        <v>0</v>
      </c>
      <c r="AC747" s="54">
        <f>IF(AQ747="1",BI747,0)</f>
        <v>0</v>
      </c>
      <c r="AD747" s="54">
        <f>IF(AQ747="7",BH747,0)</f>
        <v>0</v>
      </c>
      <c r="AE747" s="54">
        <f>IF(AQ747="7",BI747,0)</f>
        <v>0</v>
      </c>
      <c r="AF747" s="54">
        <f>IF(AQ747="2",BH747,0)</f>
        <v>0</v>
      </c>
      <c r="AG747" s="54">
        <f>IF(AQ747="2",BI747,0)</f>
        <v>0</v>
      </c>
      <c r="AH747" s="54">
        <f>IF(AQ747="0",BJ747,0)</f>
        <v>0</v>
      </c>
      <c r="AI747" s="34" t="s">
        <v>103</v>
      </c>
      <c r="AJ747" s="54">
        <f>IF(AN747=0,I747,0)</f>
        <v>0</v>
      </c>
      <c r="AK747" s="54">
        <f>IF(AN747=12,I747,0)</f>
        <v>0</v>
      </c>
      <c r="AL747" s="54">
        <f>IF(AN747=21,I747,0)</f>
        <v>0</v>
      </c>
      <c r="AN747" s="54">
        <v>21</v>
      </c>
      <c r="AO747" s="54">
        <f>H747*0.230403589</f>
        <v>0</v>
      </c>
      <c r="AP747" s="54">
        <f>H747*(1-0.230403589)</f>
        <v>0</v>
      </c>
      <c r="AQ747" s="56" t="s">
        <v>168</v>
      </c>
      <c r="AV747" s="54">
        <f>AW747+AX747</f>
        <v>0</v>
      </c>
      <c r="AW747" s="54">
        <f>G747*AO747</f>
        <v>0</v>
      </c>
      <c r="AX747" s="54">
        <f>G747*AP747</f>
        <v>0</v>
      </c>
      <c r="AY747" s="56" t="s">
        <v>1265</v>
      </c>
      <c r="AZ747" s="56" t="s">
        <v>1168</v>
      </c>
      <c r="BA747" s="34" t="s">
        <v>114</v>
      </c>
      <c r="BC747" s="54">
        <f>AW747+AX747</f>
        <v>0</v>
      </c>
      <c r="BD747" s="54">
        <f>H747/(100-BE747)*100</f>
        <v>0</v>
      </c>
      <c r="BE747" s="54">
        <v>0</v>
      </c>
      <c r="BF747" s="54">
        <f>L747</f>
        <v>1.3002116400000001</v>
      </c>
      <c r="BH747" s="54">
        <f>G747*AO747</f>
        <v>0</v>
      </c>
      <c r="BI747" s="54">
        <f>G747*AP747</f>
        <v>0</v>
      </c>
      <c r="BJ747" s="54">
        <f>G747*H747</f>
        <v>0</v>
      </c>
      <c r="BK747" s="54"/>
      <c r="BL747" s="54">
        <v>784</v>
      </c>
      <c r="BW747" s="54">
        <v>21</v>
      </c>
      <c r="BX747" s="3" t="s">
        <v>1285</v>
      </c>
    </row>
    <row r="748" spans="1:76" ht="14.5" x14ac:dyDescent="0.35">
      <c r="A748" s="57"/>
      <c r="D748" s="58" t="s">
        <v>10</v>
      </c>
      <c r="E748" s="59" t="s">
        <v>1286</v>
      </c>
      <c r="G748" s="60">
        <v>0</v>
      </c>
      <c r="M748" s="61"/>
    </row>
    <row r="749" spans="1:76" ht="14.5" x14ac:dyDescent="0.35">
      <c r="A749" s="57"/>
      <c r="D749" s="58" t="s">
        <v>10</v>
      </c>
      <c r="E749" s="59" t="s">
        <v>1287</v>
      </c>
      <c r="G749" s="60">
        <v>0</v>
      </c>
      <c r="M749" s="61"/>
    </row>
    <row r="750" spans="1:76" ht="14.5" x14ac:dyDescent="0.35">
      <c r="A750" s="57"/>
      <c r="D750" s="58" t="s">
        <v>1267</v>
      </c>
      <c r="E750" s="59" t="s">
        <v>1268</v>
      </c>
      <c r="G750" s="60">
        <v>246.36</v>
      </c>
      <c r="M750" s="61"/>
    </row>
    <row r="751" spans="1:76" ht="14.5" x14ac:dyDescent="0.35">
      <c r="A751" s="57"/>
      <c r="D751" s="58" t="s">
        <v>1269</v>
      </c>
      <c r="E751" s="59" t="s">
        <v>1270</v>
      </c>
      <c r="G751" s="60">
        <v>837.40300000000002</v>
      </c>
      <c r="M751" s="61"/>
    </row>
    <row r="752" spans="1:76" ht="14.5" x14ac:dyDescent="0.35">
      <c r="A752" s="57"/>
      <c r="D752" s="58" t="s">
        <v>1271</v>
      </c>
      <c r="E752" s="59" t="s">
        <v>1272</v>
      </c>
      <c r="G752" s="60">
        <v>19.224</v>
      </c>
      <c r="M752" s="61"/>
    </row>
    <row r="753" spans="1:76" ht="14.5" x14ac:dyDescent="0.35">
      <c r="A753" s="57"/>
      <c r="D753" s="58" t="s">
        <v>10</v>
      </c>
      <c r="E753" s="59" t="s">
        <v>1288</v>
      </c>
      <c r="G753" s="60">
        <v>0</v>
      </c>
      <c r="M753" s="61"/>
    </row>
    <row r="754" spans="1:76" ht="14.5" x14ac:dyDescent="0.35">
      <c r="A754" s="57"/>
      <c r="D754" s="58" t="s">
        <v>1289</v>
      </c>
      <c r="E754" s="59" t="s">
        <v>1290</v>
      </c>
      <c r="G754" s="60">
        <v>51.393999999999998</v>
      </c>
      <c r="M754" s="61"/>
    </row>
    <row r="755" spans="1:76" ht="14.5" x14ac:dyDescent="0.35">
      <c r="A755" s="57"/>
      <c r="D755" s="58" t="s">
        <v>1291</v>
      </c>
      <c r="E755" s="59" t="s">
        <v>1292</v>
      </c>
      <c r="G755" s="60">
        <v>67.2</v>
      </c>
      <c r="M755" s="61"/>
    </row>
    <row r="756" spans="1:76" ht="14.5" x14ac:dyDescent="0.35">
      <c r="A756" s="57"/>
      <c r="D756" s="58" t="s">
        <v>1274</v>
      </c>
      <c r="E756" s="59" t="s">
        <v>1275</v>
      </c>
      <c r="G756" s="60">
        <v>346.27699999999999</v>
      </c>
      <c r="M756" s="61"/>
    </row>
    <row r="757" spans="1:76" ht="14.5" x14ac:dyDescent="0.35">
      <c r="A757" s="57"/>
      <c r="D757" s="58" t="s">
        <v>1276</v>
      </c>
      <c r="E757" s="59" t="s">
        <v>1293</v>
      </c>
      <c r="G757" s="60">
        <v>162.905</v>
      </c>
      <c r="M757" s="61"/>
    </row>
    <row r="758" spans="1:76" ht="14.5" x14ac:dyDescent="0.35">
      <c r="A758" s="57"/>
      <c r="D758" s="58" t="s">
        <v>1294</v>
      </c>
      <c r="E758" s="59" t="s">
        <v>1295</v>
      </c>
      <c r="G758" s="60">
        <v>85.8</v>
      </c>
      <c r="M758" s="61"/>
    </row>
    <row r="759" spans="1:76" ht="14.5" x14ac:dyDescent="0.35">
      <c r="A759" s="57"/>
      <c r="D759" s="58" t="s">
        <v>1296</v>
      </c>
      <c r="E759" s="59" t="s">
        <v>1297</v>
      </c>
      <c r="G759" s="60">
        <v>-11.505000000000001</v>
      </c>
      <c r="M759" s="61"/>
    </row>
    <row r="760" spans="1:76" ht="14.5" x14ac:dyDescent="0.35">
      <c r="A760" s="57"/>
      <c r="D760" s="58" t="s">
        <v>1298</v>
      </c>
      <c r="E760" s="59" t="s">
        <v>1299</v>
      </c>
      <c r="G760" s="60">
        <v>66.117999999999995</v>
      </c>
      <c r="M760" s="61"/>
    </row>
    <row r="761" spans="1:76" ht="14.5" x14ac:dyDescent="0.35">
      <c r="A761" s="57"/>
      <c r="D761" s="58" t="s">
        <v>1300</v>
      </c>
      <c r="E761" s="59" t="s">
        <v>1301</v>
      </c>
      <c r="G761" s="60">
        <v>-4.7770000000000001</v>
      </c>
      <c r="M761" s="61"/>
    </row>
    <row r="762" spans="1:76" ht="14.5" x14ac:dyDescent="0.35">
      <c r="A762" s="57"/>
      <c r="D762" s="58" t="s">
        <v>1302</v>
      </c>
      <c r="E762" s="59" t="s">
        <v>1303</v>
      </c>
      <c r="G762" s="60">
        <v>86.652000000000001</v>
      </c>
      <c r="M762" s="61"/>
    </row>
    <row r="763" spans="1:76" ht="14.5" x14ac:dyDescent="0.35">
      <c r="A763" s="57"/>
      <c r="D763" s="58" t="s">
        <v>1304</v>
      </c>
      <c r="E763" s="59" t="s">
        <v>1305</v>
      </c>
      <c r="G763" s="60">
        <v>1.6020000000000001</v>
      </c>
      <c r="M763" s="61"/>
    </row>
    <row r="764" spans="1:76" ht="14.5" x14ac:dyDescent="0.35">
      <c r="A764" s="57"/>
      <c r="D764" s="58" t="s">
        <v>1083</v>
      </c>
      <c r="E764" s="59" t="s">
        <v>1306</v>
      </c>
      <c r="G764" s="60">
        <v>40.68</v>
      </c>
      <c r="M764" s="61"/>
    </row>
    <row r="765" spans="1:76" ht="14.5" x14ac:dyDescent="0.35">
      <c r="A765" s="57"/>
      <c r="D765" s="58" t="s">
        <v>1307</v>
      </c>
      <c r="E765" s="59" t="s">
        <v>1308</v>
      </c>
      <c r="G765" s="60">
        <v>47.694000000000003</v>
      </c>
      <c r="M765" s="61"/>
    </row>
    <row r="766" spans="1:76" ht="14.5" x14ac:dyDescent="0.35">
      <c r="A766" s="57"/>
      <c r="D766" s="58" t="s">
        <v>1280</v>
      </c>
      <c r="E766" s="59" t="s">
        <v>1281</v>
      </c>
      <c r="G766" s="60">
        <v>0.80100000000000005</v>
      </c>
      <c r="M766" s="61"/>
    </row>
    <row r="767" spans="1:76" ht="14.5" x14ac:dyDescent="0.35">
      <c r="A767" s="57"/>
      <c r="D767" s="58" t="s">
        <v>1129</v>
      </c>
      <c r="E767" s="59" t="s">
        <v>1309</v>
      </c>
      <c r="G767" s="60">
        <v>20</v>
      </c>
      <c r="M767" s="61"/>
    </row>
    <row r="768" spans="1:76" ht="14.5" x14ac:dyDescent="0.35">
      <c r="A768" s="1" t="s">
        <v>1310</v>
      </c>
      <c r="B768" s="2" t="s">
        <v>103</v>
      </c>
      <c r="C768" s="2" t="s">
        <v>1311</v>
      </c>
      <c r="D768" s="155" t="s">
        <v>1312</v>
      </c>
      <c r="E768" s="153"/>
      <c r="F768" s="2" t="s">
        <v>481</v>
      </c>
      <c r="G768" s="54">
        <f>'Stavební rozpočet'!G608</f>
        <v>104</v>
      </c>
      <c r="H768" s="94">
        <f>'Stavební rozpočet'!H608</f>
        <v>0</v>
      </c>
      <c r="I768" s="54">
        <f>G768*H768</f>
        <v>0</v>
      </c>
      <c r="J768" s="54">
        <f>'Stavební rozpočet'!J608</f>
        <v>0</v>
      </c>
      <c r="K768" s="54">
        <f>'Stavební rozpočet'!K608</f>
        <v>0</v>
      </c>
      <c r="L768" s="54">
        <f>G768*J768</f>
        <v>0</v>
      </c>
      <c r="M768" s="55" t="s">
        <v>10</v>
      </c>
      <c r="Z768" s="54">
        <f>IF(AQ768="5",BJ768,0)</f>
        <v>0</v>
      </c>
      <c r="AB768" s="54">
        <f>IF(AQ768="1",BH768,0)</f>
        <v>0</v>
      </c>
      <c r="AC768" s="54">
        <f>IF(AQ768="1",BI768,0)</f>
        <v>0</v>
      </c>
      <c r="AD768" s="54">
        <f>IF(AQ768="7",BH768,0)</f>
        <v>0</v>
      </c>
      <c r="AE768" s="54">
        <f>IF(AQ768="7",BI768,0)</f>
        <v>0</v>
      </c>
      <c r="AF768" s="54">
        <f>IF(AQ768="2",BH768,0)</f>
        <v>0</v>
      </c>
      <c r="AG768" s="54">
        <f>IF(AQ768="2",BI768,0)</f>
        <v>0</v>
      </c>
      <c r="AH768" s="54">
        <f>IF(AQ768="0",BJ768,0)</f>
        <v>0</v>
      </c>
      <c r="AI768" s="34" t="s">
        <v>103</v>
      </c>
      <c r="AJ768" s="54">
        <f>IF(AN768=0,I768,0)</f>
        <v>0</v>
      </c>
      <c r="AK768" s="54">
        <f>IF(AN768=12,I768,0)</f>
        <v>0</v>
      </c>
      <c r="AL768" s="54">
        <f>IF(AN768=21,I768,0)</f>
        <v>0</v>
      </c>
      <c r="AN768" s="54">
        <v>21</v>
      </c>
      <c r="AO768" s="54">
        <f>H768*0</f>
        <v>0</v>
      </c>
      <c r="AP768" s="54">
        <f>H768*(1-0)</f>
        <v>0</v>
      </c>
      <c r="AQ768" s="56" t="s">
        <v>168</v>
      </c>
      <c r="AV768" s="54">
        <f>AW768+AX768</f>
        <v>0</v>
      </c>
      <c r="AW768" s="54">
        <f>G768*AO768</f>
        <v>0</v>
      </c>
      <c r="AX768" s="54">
        <f>G768*AP768</f>
        <v>0</v>
      </c>
      <c r="AY768" s="56" t="s">
        <v>1265</v>
      </c>
      <c r="AZ768" s="56" t="s">
        <v>1168</v>
      </c>
      <c r="BA768" s="34" t="s">
        <v>114</v>
      </c>
      <c r="BC768" s="54">
        <f>AW768+AX768</f>
        <v>0</v>
      </c>
      <c r="BD768" s="54">
        <f>H768/(100-BE768)*100</f>
        <v>0</v>
      </c>
      <c r="BE768" s="54">
        <v>0</v>
      </c>
      <c r="BF768" s="54">
        <f>L768</f>
        <v>0</v>
      </c>
      <c r="BH768" s="54">
        <f>G768*AO768</f>
        <v>0</v>
      </c>
      <c r="BI768" s="54">
        <f>G768*AP768</f>
        <v>0</v>
      </c>
      <c r="BJ768" s="54">
        <f>G768*H768</f>
        <v>0</v>
      </c>
      <c r="BK768" s="54"/>
      <c r="BL768" s="54">
        <v>784</v>
      </c>
      <c r="BW768" s="54">
        <v>21</v>
      </c>
      <c r="BX768" s="3" t="s">
        <v>1312</v>
      </c>
    </row>
    <row r="769" spans="1:76" ht="14.5" x14ac:dyDescent="0.35">
      <c r="A769" s="57"/>
      <c r="D769" s="58" t="s">
        <v>521</v>
      </c>
      <c r="E769" s="59" t="s">
        <v>1313</v>
      </c>
      <c r="G769" s="60">
        <v>96</v>
      </c>
      <c r="M769" s="61"/>
    </row>
    <row r="770" spans="1:76" ht="14.5" x14ac:dyDescent="0.35">
      <c r="A770" s="57"/>
      <c r="D770" s="58" t="s">
        <v>779</v>
      </c>
      <c r="E770" s="59" t="s">
        <v>1314</v>
      </c>
      <c r="G770" s="60">
        <v>8</v>
      </c>
      <c r="M770" s="61"/>
    </row>
    <row r="771" spans="1:76" ht="14.5" x14ac:dyDescent="0.35">
      <c r="A771" s="50" t="s">
        <v>10</v>
      </c>
      <c r="B771" s="51" t="s">
        <v>103</v>
      </c>
      <c r="C771" s="51" t="s">
        <v>1315</v>
      </c>
      <c r="D771" s="206" t="s">
        <v>1316</v>
      </c>
      <c r="E771" s="207"/>
      <c r="F771" s="52" t="s">
        <v>84</v>
      </c>
      <c r="G771" s="52" t="s">
        <v>84</v>
      </c>
      <c r="H771" s="52" t="s">
        <v>84</v>
      </c>
      <c r="I771" s="27">
        <f>SUM(I772:I780)</f>
        <v>0</v>
      </c>
      <c r="J771" s="34" t="s">
        <v>10</v>
      </c>
      <c r="K771" s="34" t="s">
        <v>10</v>
      </c>
      <c r="L771" s="27">
        <f>SUM(L772:L780)</f>
        <v>7.1606000000000003E-2</v>
      </c>
      <c r="M771" s="53" t="s">
        <v>10</v>
      </c>
      <c r="AI771" s="34" t="s">
        <v>103</v>
      </c>
      <c r="AS771" s="27">
        <f>SUM(AJ772:AJ780)</f>
        <v>0</v>
      </c>
      <c r="AT771" s="27">
        <f>SUM(AK772:AK780)</f>
        <v>0</v>
      </c>
      <c r="AU771" s="27">
        <f>SUM(AL772:AL780)</f>
        <v>0</v>
      </c>
    </row>
    <row r="772" spans="1:76" ht="14.5" x14ac:dyDescent="0.35">
      <c r="A772" s="1" t="s">
        <v>1317</v>
      </c>
      <c r="B772" s="2" t="s">
        <v>103</v>
      </c>
      <c r="C772" s="2" t="s">
        <v>1318</v>
      </c>
      <c r="D772" s="155" t="s">
        <v>1319</v>
      </c>
      <c r="E772" s="153"/>
      <c r="F772" s="2" t="s">
        <v>110</v>
      </c>
      <c r="G772" s="54">
        <f>'Stavební rozpočet'!G612</f>
        <v>169.6</v>
      </c>
      <c r="H772" s="94">
        <f>'Stavební rozpočet'!H612</f>
        <v>0</v>
      </c>
      <c r="I772" s="54">
        <f>G772*H772</f>
        <v>0</v>
      </c>
      <c r="J772" s="54">
        <f>'Stavební rozpočet'!J612</f>
        <v>1.7000000000000001E-4</v>
      </c>
      <c r="K772" s="54">
        <f>'Stavební rozpočet'!K612</f>
        <v>0</v>
      </c>
      <c r="L772" s="54">
        <f>G772*J772</f>
        <v>2.8832E-2</v>
      </c>
      <c r="M772" s="55" t="s">
        <v>111</v>
      </c>
      <c r="Z772" s="54">
        <f>IF(AQ772="5",BJ772,0)</f>
        <v>0</v>
      </c>
      <c r="AB772" s="54">
        <f>IF(AQ772="1",BH772,0)</f>
        <v>0</v>
      </c>
      <c r="AC772" s="54">
        <f>IF(AQ772="1",BI772,0)</f>
        <v>0</v>
      </c>
      <c r="AD772" s="54">
        <f>IF(AQ772="7",BH772,0)</f>
        <v>0</v>
      </c>
      <c r="AE772" s="54">
        <f>IF(AQ772="7",BI772,0)</f>
        <v>0</v>
      </c>
      <c r="AF772" s="54">
        <f>IF(AQ772="2",BH772,0)</f>
        <v>0</v>
      </c>
      <c r="AG772" s="54">
        <f>IF(AQ772="2",BI772,0)</f>
        <v>0</v>
      </c>
      <c r="AH772" s="54">
        <f>IF(AQ772="0",BJ772,0)</f>
        <v>0</v>
      </c>
      <c r="AI772" s="34" t="s">
        <v>103</v>
      </c>
      <c r="AJ772" s="54">
        <f>IF(AN772=0,I772,0)</f>
        <v>0</v>
      </c>
      <c r="AK772" s="54">
        <f>IF(AN772=12,I772,0)</f>
        <v>0</v>
      </c>
      <c r="AL772" s="54">
        <f>IF(AN772=21,I772,0)</f>
        <v>0</v>
      </c>
      <c r="AN772" s="54">
        <v>21</v>
      </c>
      <c r="AO772" s="54">
        <f>H772*0.13239726</f>
        <v>0</v>
      </c>
      <c r="AP772" s="54">
        <f>H772*(1-0.13239726)</f>
        <v>0</v>
      </c>
      <c r="AQ772" s="56" t="s">
        <v>168</v>
      </c>
      <c r="AV772" s="54">
        <f>AW772+AX772</f>
        <v>0</v>
      </c>
      <c r="AW772" s="54">
        <f>G772*AO772</f>
        <v>0</v>
      </c>
      <c r="AX772" s="54">
        <f>G772*AP772</f>
        <v>0</v>
      </c>
      <c r="AY772" s="56" t="s">
        <v>1320</v>
      </c>
      <c r="AZ772" s="56" t="s">
        <v>1168</v>
      </c>
      <c r="BA772" s="34" t="s">
        <v>114</v>
      </c>
      <c r="BC772" s="54">
        <f>AW772+AX772</f>
        <v>0</v>
      </c>
      <c r="BD772" s="54">
        <f>H772/(100-BE772)*100</f>
        <v>0</v>
      </c>
      <c r="BE772" s="54">
        <v>0</v>
      </c>
      <c r="BF772" s="54">
        <f>L772</f>
        <v>2.8832E-2</v>
      </c>
      <c r="BH772" s="54">
        <f>G772*AO772</f>
        <v>0</v>
      </c>
      <c r="BI772" s="54">
        <f>G772*AP772</f>
        <v>0</v>
      </c>
      <c r="BJ772" s="54">
        <f>G772*H772</f>
        <v>0</v>
      </c>
      <c r="BK772" s="54"/>
      <c r="BL772" s="54">
        <v>785</v>
      </c>
      <c r="BW772" s="54">
        <v>21</v>
      </c>
      <c r="BX772" s="3" t="s">
        <v>1319</v>
      </c>
    </row>
    <row r="773" spans="1:76" ht="14.5" x14ac:dyDescent="0.35">
      <c r="A773" s="57"/>
      <c r="D773" s="58" t="s">
        <v>10</v>
      </c>
      <c r="E773" s="59" t="s">
        <v>1321</v>
      </c>
      <c r="G773" s="60">
        <v>0</v>
      </c>
      <c r="M773" s="61"/>
    </row>
    <row r="774" spans="1:76" ht="14.5" x14ac:dyDescent="0.35">
      <c r="A774" s="57"/>
      <c r="D774" s="58" t="s">
        <v>1322</v>
      </c>
      <c r="E774" s="59" t="s">
        <v>1323</v>
      </c>
      <c r="G774" s="60">
        <v>70</v>
      </c>
      <c r="M774" s="61"/>
    </row>
    <row r="775" spans="1:76" ht="14.5" x14ac:dyDescent="0.35">
      <c r="A775" s="57"/>
      <c r="D775" s="58" t="s">
        <v>1324</v>
      </c>
      <c r="E775" s="59" t="s">
        <v>1325</v>
      </c>
      <c r="G775" s="60">
        <v>99.6</v>
      </c>
      <c r="M775" s="61"/>
    </row>
    <row r="776" spans="1:76" ht="14.5" x14ac:dyDescent="0.35">
      <c r="A776" s="64" t="s">
        <v>1326</v>
      </c>
      <c r="B776" s="65" t="s">
        <v>103</v>
      </c>
      <c r="C776" s="65" t="s">
        <v>1327</v>
      </c>
      <c r="D776" s="217" t="s">
        <v>1328</v>
      </c>
      <c r="E776" s="218"/>
      <c r="F776" s="65" t="s">
        <v>110</v>
      </c>
      <c r="G776" s="67">
        <f>'Stavební rozpočet'!G616</f>
        <v>207.87</v>
      </c>
      <c r="H776" s="95">
        <f>'Stavební rozpočet'!H616</f>
        <v>0</v>
      </c>
      <c r="I776" s="67">
        <f>G776*H776</f>
        <v>0</v>
      </c>
      <c r="J776" s="67">
        <f>'Stavební rozpočet'!J616</f>
        <v>2.0000000000000001E-4</v>
      </c>
      <c r="K776" s="67">
        <f>'Stavební rozpočet'!K616</f>
        <v>0</v>
      </c>
      <c r="L776" s="67">
        <f>G776*J776</f>
        <v>4.1574E-2</v>
      </c>
      <c r="M776" s="68" t="s">
        <v>111</v>
      </c>
      <c r="Z776" s="54">
        <f>IF(AQ776="5",BJ776,0)</f>
        <v>0</v>
      </c>
      <c r="AB776" s="54">
        <f>IF(AQ776="1",BH776,0)</f>
        <v>0</v>
      </c>
      <c r="AC776" s="54">
        <f>IF(AQ776="1",BI776,0)</f>
        <v>0</v>
      </c>
      <c r="AD776" s="54">
        <f>IF(AQ776="7",BH776,0)</f>
        <v>0</v>
      </c>
      <c r="AE776" s="54">
        <f>IF(AQ776="7",BI776,0)</f>
        <v>0</v>
      </c>
      <c r="AF776" s="54">
        <f>IF(AQ776="2",BH776,0)</f>
        <v>0</v>
      </c>
      <c r="AG776" s="54">
        <f>IF(AQ776="2",BI776,0)</f>
        <v>0</v>
      </c>
      <c r="AH776" s="54">
        <f>IF(AQ776="0",BJ776,0)</f>
        <v>0</v>
      </c>
      <c r="AI776" s="34" t="s">
        <v>103</v>
      </c>
      <c r="AJ776" s="67">
        <f>IF(AN776=0,I776,0)</f>
        <v>0</v>
      </c>
      <c r="AK776" s="67">
        <f>IF(AN776=12,I776,0)</f>
        <v>0</v>
      </c>
      <c r="AL776" s="67">
        <f>IF(AN776=21,I776,0)</f>
        <v>0</v>
      </c>
      <c r="AN776" s="54">
        <v>21</v>
      </c>
      <c r="AO776" s="54">
        <f>H776*1</f>
        <v>0</v>
      </c>
      <c r="AP776" s="54">
        <f>H776*(1-1)</f>
        <v>0</v>
      </c>
      <c r="AQ776" s="69" t="s">
        <v>168</v>
      </c>
      <c r="AV776" s="54">
        <f>AW776+AX776</f>
        <v>0</v>
      </c>
      <c r="AW776" s="54">
        <f>G776*AO776</f>
        <v>0</v>
      </c>
      <c r="AX776" s="54">
        <f>G776*AP776</f>
        <v>0</v>
      </c>
      <c r="AY776" s="56" t="s">
        <v>1320</v>
      </c>
      <c r="AZ776" s="56" t="s">
        <v>1168</v>
      </c>
      <c r="BA776" s="34" t="s">
        <v>114</v>
      </c>
      <c r="BC776" s="54">
        <f>AW776+AX776</f>
        <v>0</v>
      </c>
      <c r="BD776" s="54">
        <f>H776/(100-BE776)*100</f>
        <v>0</v>
      </c>
      <c r="BE776" s="54">
        <v>0</v>
      </c>
      <c r="BF776" s="54">
        <f>L776</f>
        <v>4.1574E-2</v>
      </c>
      <c r="BH776" s="67">
        <f>G776*AO776</f>
        <v>0</v>
      </c>
      <c r="BI776" s="67">
        <f>G776*AP776</f>
        <v>0</v>
      </c>
      <c r="BJ776" s="67">
        <f>G776*H776</f>
        <v>0</v>
      </c>
      <c r="BK776" s="67"/>
      <c r="BL776" s="54">
        <v>785</v>
      </c>
      <c r="BW776" s="54">
        <v>21</v>
      </c>
      <c r="BX776" s="66" t="s">
        <v>1328</v>
      </c>
    </row>
    <row r="777" spans="1:76" ht="14.5" x14ac:dyDescent="0.35">
      <c r="A777" s="57"/>
      <c r="D777" s="58" t="s">
        <v>1329</v>
      </c>
      <c r="E777" s="59" t="s">
        <v>10</v>
      </c>
      <c r="G777" s="60">
        <v>169.6</v>
      </c>
      <c r="M777" s="61"/>
    </row>
    <row r="778" spans="1:76" ht="14.5" x14ac:dyDescent="0.35">
      <c r="A778" s="57"/>
      <c r="D778" s="58" t="s">
        <v>1330</v>
      </c>
      <c r="E778" s="59" t="s">
        <v>1331</v>
      </c>
      <c r="G778" s="60">
        <v>38.270000000000003</v>
      </c>
      <c r="M778" s="61"/>
    </row>
    <row r="779" spans="1:76" ht="26" x14ac:dyDescent="0.35">
      <c r="A779" s="57"/>
      <c r="C779" s="62" t="s">
        <v>156</v>
      </c>
      <c r="D779" s="211" t="s">
        <v>1332</v>
      </c>
      <c r="E779" s="212"/>
      <c r="F779" s="212"/>
      <c r="G779" s="212"/>
      <c r="H779" s="212"/>
      <c r="I779" s="212"/>
      <c r="J779" s="212"/>
      <c r="K779" s="212"/>
      <c r="L779" s="212"/>
      <c r="M779" s="213"/>
      <c r="BX779" s="70" t="s">
        <v>1332</v>
      </c>
    </row>
    <row r="780" spans="1:76" ht="14.5" x14ac:dyDescent="0.35">
      <c r="A780" s="1" t="s">
        <v>1333</v>
      </c>
      <c r="B780" s="2" t="s">
        <v>103</v>
      </c>
      <c r="C780" s="2" t="s">
        <v>1334</v>
      </c>
      <c r="D780" s="155" t="s">
        <v>1335</v>
      </c>
      <c r="E780" s="153"/>
      <c r="F780" s="2" t="s">
        <v>153</v>
      </c>
      <c r="G780" s="54">
        <f>'Stavební rozpočet'!G619</f>
        <v>60</v>
      </c>
      <c r="H780" s="94">
        <f>'Stavební rozpočet'!H619</f>
        <v>0</v>
      </c>
      <c r="I780" s="54">
        <f>G780*H780</f>
        <v>0</v>
      </c>
      <c r="J780" s="54">
        <f>'Stavební rozpočet'!J619</f>
        <v>2.0000000000000002E-5</v>
      </c>
      <c r="K780" s="54">
        <f>'Stavební rozpočet'!K619</f>
        <v>0</v>
      </c>
      <c r="L780" s="54">
        <f>G780*J780</f>
        <v>1.2000000000000001E-3</v>
      </c>
      <c r="M780" s="55" t="s">
        <v>111</v>
      </c>
      <c r="Z780" s="54">
        <f>IF(AQ780="5",BJ780,0)</f>
        <v>0</v>
      </c>
      <c r="AB780" s="54">
        <f>IF(AQ780="1",BH780,0)</f>
        <v>0</v>
      </c>
      <c r="AC780" s="54">
        <f>IF(AQ780="1",BI780,0)</f>
        <v>0</v>
      </c>
      <c r="AD780" s="54">
        <f>IF(AQ780="7",BH780,0)</f>
        <v>0</v>
      </c>
      <c r="AE780" s="54">
        <f>IF(AQ780="7",BI780,0)</f>
        <v>0</v>
      </c>
      <c r="AF780" s="54">
        <f>IF(AQ780="2",BH780,0)</f>
        <v>0</v>
      </c>
      <c r="AG780" s="54">
        <f>IF(AQ780="2",BI780,0)</f>
        <v>0</v>
      </c>
      <c r="AH780" s="54">
        <f>IF(AQ780="0",BJ780,0)</f>
        <v>0</v>
      </c>
      <c r="AI780" s="34" t="s">
        <v>103</v>
      </c>
      <c r="AJ780" s="54">
        <f>IF(AN780=0,I780,0)</f>
        <v>0</v>
      </c>
      <c r="AK780" s="54">
        <f>IF(AN780=12,I780,0)</f>
        <v>0</v>
      </c>
      <c r="AL780" s="54">
        <f>IF(AN780=21,I780,0)</f>
        <v>0</v>
      </c>
      <c r="AN780" s="54">
        <v>21</v>
      </c>
      <c r="AO780" s="54">
        <f>H780*0.267307692</f>
        <v>0</v>
      </c>
      <c r="AP780" s="54">
        <f>H780*(1-0.267307692)</f>
        <v>0</v>
      </c>
      <c r="AQ780" s="56" t="s">
        <v>168</v>
      </c>
      <c r="AV780" s="54">
        <f>AW780+AX780</f>
        <v>0</v>
      </c>
      <c r="AW780" s="54">
        <f>G780*AO780</f>
        <v>0</v>
      </c>
      <c r="AX780" s="54">
        <f>G780*AP780</f>
        <v>0</v>
      </c>
      <c r="AY780" s="56" t="s">
        <v>1320</v>
      </c>
      <c r="AZ780" s="56" t="s">
        <v>1168</v>
      </c>
      <c r="BA780" s="34" t="s">
        <v>114</v>
      </c>
      <c r="BC780" s="54">
        <f>AW780+AX780</f>
        <v>0</v>
      </c>
      <c r="BD780" s="54">
        <f>H780/(100-BE780)*100</f>
        <v>0</v>
      </c>
      <c r="BE780" s="54">
        <v>0</v>
      </c>
      <c r="BF780" s="54">
        <f>L780</f>
        <v>1.2000000000000001E-3</v>
      </c>
      <c r="BH780" s="54">
        <f>G780*AO780</f>
        <v>0</v>
      </c>
      <c r="BI780" s="54">
        <f>G780*AP780</f>
        <v>0</v>
      </c>
      <c r="BJ780" s="54">
        <f>G780*H780</f>
        <v>0</v>
      </c>
      <c r="BK780" s="54"/>
      <c r="BL780" s="54">
        <v>785</v>
      </c>
      <c r="BW780" s="54">
        <v>21</v>
      </c>
      <c r="BX780" s="3" t="s">
        <v>1335</v>
      </c>
    </row>
    <row r="781" spans="1:76" ht="14.5" x14ac:dyDescent="0.35">
      <c r="A781" s="57"/>
      <c r="D781" s="58" t="s">
        <v>1336</v>
      </c>
      <c r="E781" s="59" t="s">
        <v>1337</v>
      </c>
      <c r="G781" s="60">
        <v>60</v>
      </c>
      <c r="M781" s="61"/>
    </row>
    <row r="782" spans="1:76" ht="14.5" x14ac:dyDescent="0.35">
      <c r="A782" s="50" t="s">
        <v>10</v>
      </c>
      <c r="B782" s="51" t="s">
        <v>103</v>
      </c>
      <c r="C782" s="51" t="s">
        <v>689</v>
      </c>
      <c r="D782" s="206" t="s">
        <v>1338</v>
      </c>
      <c r="E782" s="207"/>
      <c r="F782" s="52" t="s">
        <v>84</v>
      </c>
      <c r="G782" s="52" t="s">
        <v>84</v>
      </c>
      <c r="H782" s="52" t="s">
        <v>84</v>
      </c>
      <c r="I782" s="27">
        <f>SUM(I783:I783)</f>
        <v>0</v>
      </c>
      <c r="J782" s="34" t="s">
        <v>10</v>
      </c>
      <c r="K782" s="34" t="s">
        <v>10</v>
      </c>
      <c r="L782" s="27">
        <f>SUM(L783:L783)</f>
        <v>2.7710000000000002E-2</v>
      </c>
      <c r="M782" s="53" t="s">
        <v>10</v>
      </c>
      <c r="AI782" s="34" t="s">
        <v>103</v>
      </c>
      <c r="AS782" s="27">
        <f>SUM(AJ783:AJ783)</f>
        <v>0</v>
      </c>
      <c r="AT782" s="27">
        <f>SUM(AK783:AK783)</f>
        <v>0</v>
      </c>
      <c r="AU782" s="27">
        <f>SUM(AL783:AL783)</f>
        <v>0</v>
      </c>
    </row>
    <row r="783" spans="1:76" ht="14.5" x14ac:dyDescent="0.35">
      <c r="A783" s="1" t="s">
        <v>1339</v>
      </c>
      <c r="B783" s="2" t="s">
        <v>103</v>
      </c>
      <c r="C783" s="2" t="s">
        <v>1340</v>
      </c>
      <c r="D783" s="155" t="s">
        <v>1341</v>
      </c>
      <c r="E783" s="153"/>
      <c r="F783" s="2" t="s">
        <v>110</v>
      </c>
      <c r="G783" s="54">
        <f>'Stavební rozpočet'!G622</f>
        <v>692.75</v>
      </c>
      <c r="H783" s="94">
        <f>'Stavební rozpočet'!H622</f>
        <v>0</v>
      </c>
      <c r="I783" s="54">
        <f>G783*H783</f>
        <v>0</v>
      </c>
      <c r="J783" s="54">
        <f>'Stavební rozpočet'!J622</f>
        <v>4.0000000000000003E-5</v>
      </c>
      <c r="K783" s="54">
        <f>'Stavební rozpočet'!K622</f>
        <v>0</v>
      </c>
      <c r="L783" s="54">
        <f>G783*J783</f>
        <v>2.7710000000000002E-2</v>
      </c>
      <c r="M783" s="55" t="s">
        <v>111</v>
      </c>
      <c r="Z783" s="54">
        <f>IF(AQ783="5",BJ783,0)</f>
        <v>0</v>
      </c>
      <c r="AB783" s="54">
        <f>IF(AQ783="1",BH783,0)</f>
        <v>0</v>
      </c>
      <c r="AC783" s="54">
        <f>IF(AQ783="1",BI783,0)</f>
        <v>0</v>
      </c>
      <c r="AD783" s="54">
        <f>IF(AQ783="7",BH783,0)</f>
        <v>0</v>
      </c>
      <c r="AE783" s="54">
        <f>IF(AQ783="7",BI783,0)</f>
        <v>0</v>
      </c>
      <c r="AF783" s="54">
        <f>IF(AQ783="2",BH783,0)</f>
        <v>0</v>
      </c>
      <c r="AG783" s="54">
        <f>IF(AQ783="2",BI783,0)</f>
        <v>0</v>
      </c>
      <c r="AH783" s="54">
        <f>IF(AQ783="0",BJ783,0)</f>
        <v>0</v>
      </c>
      <c r="AI783" s="34" t="s">
        <v>103</v>
      </c>
      <c r="AJ783" s="54">
        <f>IF(AN783=0,I783,0)</f>
        <v>0</v>
      </c>
      <c r="AK783" s="54">
        <f>IF(AN783=12,I783,0)</f>
        <v>0</v>
      </c>
      <c r="AL783" s="54">
        <f>IF(AN783=21,I783,0)</f>
        <v>0</v>
      </c>
      <c r="AN783" s="54">
        <v>21</v>
      </c>
      <c r="AO783" s="54">
        <f>H783*0.014522293</f>
        <v>0</v>
      </c>
      <c r="AP783" s="54">
        <f>H783*(1-0.014522293)</f>
        <v>0</v>
      </c>
      <c r="AQ783" s="56" t="s">
        <v>107</v>
      </c>
      <c r="AV783" s="54">
        <f>AW783+AX783</f>
        <v>0</v>
      </c>
      <c r="AW783" s="54">
        <f>G783*AO783</f>
        <v>0</v>
      </c>
      <c r="AX783" s="54">
        <f>G783*AP783</f>
        <v>0</v>
      </c>
      <c r="AY783" s="56" t="s">
        <v>1342</v>
      </c>
      <c r="AZ783" s="56" t="s">
        <v>1343</v>
      </c>
      <c r="BA783" s="34" t="s">
        <v>114</v>
      </c>
      <c r="BC783" s="54">
        <f>AW783+AX783</f>
        <v>0</v>
      </c>
      <c r="BD783" s="54">
        <f>H783/(100-BE783)*100</f>
        <v>0</v>
      </c>
      <c r="BE783" s="54">
        <v>0</v>
      </c>
      <c r="BF783" s="54">
        <f>L783</f>
        <v>2.7710000000000002E-2</v>
      </c>
      <c r="BH783" s="54">
        <f>G783*AO783</f>
        <v>0</v>
      </c>
      <c r="BI783" s="54">
        <f>G783*AP783</f>
        <v>0</v>
      </c>
      <c r="BJ783" s="54">
        <f>G783*H783</f>
        <v>0</v>
      </c>
      <c r="BK783" s="54"/>
      <c r="BL783" s="54">
        <v>95</v>
      </c>
      <c r="BW783" s="54">
        <v>21</v>
      </c>
      <c r="BX783" s="3" t="s">
        <v>1341</v>
      </c>
    </row>
    <row r="784" spans="1:76" ht="14.5" x14ac:dyDescent="0.35">
      <c r="A784" s="57"/>
      <c r="D784" s="58" t="s">
        <v>1344</v>
      </c>
      <c r="E784" s="59" t="s">
        <v>1345</v>
      </c>
      <c r="G784" s="60">
        <v>692.75</v>
      </c>
      <c r="M784" s="61"/>
    </row>
    <row r="785" spans="1:76" ht="52" x14ac:dyDescent="0.35">
      <c r="A785" s="57"/>
      <c r="C785" s="62" t="s">
        <v>156</v>
      </c>
      <c r="D785" s="211" t="s">
        <v>1346</v>
      </c>
      <c r="E785" s="212"/>
      <c r="F785" s="212"/>
      <c r="G785" s="212"/>
      <c r="H785" s="212"/>
      <c r="I785" s="212"/>
      <c r="J785" s="212"/>
      <c r="K785" s="212"/>
      <c r="L785" s="212"/>
      <c r="M785" s="213"/>
      <c r="BX785" s="63" t="s">
        <v>1346</v>
      </c>
    </row>
    <row r="786" spans="1:76" ht="14.5" x14ac:dyDescent="0.35">
      <c r="A786" s="50" t="s">
        <v>10</v>
      </c>
      <c r="B786" s="51" t="s">
        <v>103</v>
      </c>
      <c r="C786" s="51" t="s">
        <v>693</v>
      </c>
      <c r="D786" s="206" t="s">
        <v>1347</v>
      </c>
      <c r="E786" s="207"/>
      <c r="F786" s="52" t="s">
        <v>84</v>
      </c>
      <c r="G786" s="52" t="s">
        <v>84</v>
      </c>
      <c r="H786" s="52" t="s">
        <v>84</v>
      </c>
      <c r="I786" s="27">
        <f>SUM(I787:I840)</f>
        <v>0</v>
      </c>
      <c r="J786" s="34" t="s">
        <v>10</v>
      </c>
      <c r="K786" s="34" t="s">
        <v>10</v>
      </c>
      <c r="L786" s="27">
        <f>SUM(L787:L840)</f>
        <v>19.20354661</v>
      </c>
      <c r="M786" s="53" t="s">
        <v>10</v>
      </c>
      <c r="AI786" s="34" t="s">
        <v>103</v>
      </c>
      <c r="AS786" s="27">
        <f>SUM(AJ787:AJ840)</f>
        <v>0</v>
      </c>
      <c r="AT786" s="27">
        <f>SUM(AK787:AK840)</f>
        <v>0</v>
      </c>
      <c r="AU786" s="27">
        <f>SUM(AL787:AL840)</f>
        <v>0</v>
      </c>
    </row>
    <row r="787" spans="1:76" ht="14.5" x14ac:dyDescent="0.35">
      <c r="A787" s="1" t="s">
        <v>1348</v>
      </c>
      <c r="B787" s="2" t="s">
        <v>103</v>
      </c>
      <c r="C787" s="2" t="s">
        <v>1349</v>
      </c>
      <c r="D787" s="155" t="s">
        <v>1350</v>
      </c>
      <c r="E787" s="153"/>
      <c r="F787" s="2" t="s">
        <v>196</v>
      </c>
      <c r="G787" s="54">
        <f>'Stavební rozpočet'!G625</f>
        <v>29</v>
      </c>
      <c r="H787" s="94">
        <f>'Stavební rozpočet'!H625</f>
        <v>0</v>
      </c>
      <c r="I787" s="54">
        <f>G787*H787</f>
        <v>0</v>
      </c>
      <c r="J787" s="54">
        <f>'Stavební rozpočet'!J625</f>
        <v>0</v>
      </c>
      <c r="K787" s="54">
        <f>'Stavební rozpočet'!K625</f>
        <v>0</v>
      </c>
      <c r="L787" s="54">
        <f>G787*J787</f>
        <v>0</v>
      </c>
      <c r="M787" s="55" t="s">
        <v>111</v>
      </c>
      <c r="Z787" s="54">
        <f>IF(AQ787="5",BJ787,0)</f>
        <v>0</v>
      </c>
      <c r="AB787" s="54">
        <f>IF(AQ787="1",BH787,0)</f>
        <v>0</v>
      </c>
      <c r="AC787" s="54">
        <f>IF(AQ787="1",BI787,0)</f>
        <v>0</v>
      </c>
      <c r="AD787" s="54">
        <f>IF(AQ787="7",BH787,0)</f>
        <v>0</v>
      </c>
      <c r="AE787" s="54">
        <f>IF(AQ787="7",BI787,0)</f>
        <v>0</v>
      </c>
      <c r="AF787" s="54">
        <f>IF(AQ787="2",BH787,0)</f>
        <v>0</v>
      </c>
      <c r="AG787" s="54">
        <f>IF(AQ787="2",BI787,0)</f>
        <v>0</v>
      </c>
      <c r="AH787" s="54">
        <f>IF(AQ787="0",BJ787,0)</f>
        <v>0</v>
      </c>
      <c r="AI787" s="34" t="s">
        <v>103</v>
      </c>
      <c r="AJ787" s="54">
        <f>IF(AN787=0,I787,0)</f>
        <v>0</v>
      </c>
      <c r="AK787" s="54">
        <f>IF(AN787=12,I787,0)</f>
        <v>0</v>
      </c>
      <c r="AL787" s="54">
        <f>IF(AN787=21,I787,0)</f>
        <v>0</v>
      </c>
      <c r="AN787" s="54">
        <v>21</v>
      </c>
      <c r="AO787" s="54">
        <f>H787*0</f>
        <v>0</v>
      </c>
      <c r="AP787" s="54">
        <f>H787*(1-0)</f>
        <v>0</v>
      </c>
      <c r="AQ787" s="56" t="s">
        <v>107</v>
      </c>
      <c r="AV787" s="54">
        <f>AW787+AX787</f>
        <v>0</v>
      </c>
      <c r="AW787" s="54">
        <f>G787*AO787</f>
        <v>0</v>
      </c>
      <c r="AX787" s="54">
        <f>G787*AP787</f>
        <v>0</v>
      </c>
      <c r="AY787" s="56" t="s">
        <v>1351</v>
      </c>
      <c r="AZ787" s="56" t="s">
        <v>1343</v>
      </c>
      <c r="BA787" s="34" t="s">
        <v>114</v>
      </c>
      <c r="BC787" s="54">
        <f>AW787+AX787</f>
        <v>0</v>
      </c>
      <c r="BD787" s="54">
        <f>H787/(100-BE787)*100</f>
        <v>0</v>
      </c>
      <c r="BE787" s="54">
        <v>0</v>
      </c>
      <c r="BF787" s="54">
        <f>L787</f>
        <v>0</v>
      </c>
      <c r="BH787" s="54">
        <f>G787*AO787</f>
        <v>0</v>
      </c>
      <c r="BI787" s="54">
        <f>G787*AP787</f>
        <v>0</v>
      </c>
      <c r="BJ787" s="54">
        <f>G787*H787</f>
        <v>0</v>
      </c>
      <c r="BK787" s="54"/>
      <c r="BL787" s="54">
        <v>96</v>
      </c>
      <c r="BW787" s="54">
        <v>21</v>
      </c>
      <c r="BX787" s="3" t="s">
        <v>1350</v>
      </c>
    </row>
    <row r="788" spans="1:76" ht="14.5" x14ac:dyDescent="0.35">
      <c r="A788" s="57"/>
      <c r="D788" s="58" t="s">
        <v>922</v>
      </c>
      <c r="E788" s="59" t="s">
        <v>943</v>
      </c>
      <c r="G788" s="60">
        <v>29</v>
      </c>
      <c r="M788" s="61"/>
    </row>
    <row r="789" spans="1:76" ht="39" x14ac:dyDescent="0.35">
      <c r="A789" s="57"/>
      <c r="C789" s="62" t="s">
        <v>156</v>
      </c>
      <c r="D789" s="211" t="s">
        <v>1352</v>
      </c>
      <c r="E789" s="212"/>
      <c r="F789" s="212"/>
      <c r="G789" s="212"/>
      <c r="H789" s="212"/>
      <c r="I789" s="212"/>
      <c r="J789" s="212"/>
      <c r="K789" s="212"/>
      <c r="L789" s="212"/>
      <c r="M789" s="213"/>
      <c r="BX789" s="63" t="s">
        <v>1352</v>
      </c>
    </row>
    <row r="790" spans="1:76" ht="14.5" x14ac:dyDescent="0.35">
      <c r="A790" s="1" t="s">
        <v>1353</v>
      </c>
      <c r="B790" s="2" t="s">
        <v>103</v>
      </c>
      <c r="C790" s="2" t="s">
        <v>1354</v>
      </c>
      <c r="D790" s="155" t="s">
        <v>1355</v>
      </c>
      <c r="E790" s="153"/>
      <c r="F790" s="2" t="s">
        <v>110</v>
      </c>
      <c r="G790" s="54">
        <f>'Stavební rozpočet'!G627</f>
        <v>156.82900000000001</v>
      </c>
      <c r="H790" s="94">
        <f>'Stavební rozpočet'!H627</f>
        <v>0</v>
      </c>
      <c r="I790" s="54">
        <f>G790*H790</f>
        <v>0</v>
      </c>
      <c r="J790" s="54">
        <f>'Stavební rozpočet'!J627</f>
        <v>1.26E-2</v>
      </c>
      <c r="K790" s="54">
        <f>'Stavební rozpočet'!K627</f>
        <v>1.26E-2</v>
      </c>
      <c r="L790" s="54">
        <f>G790*J790</f>
        <v>1.9760454000000001</v>
      </c>
      <c r="M790" s="55" t="s">
        <v>111</v>
      </c>
      <c r="Z790" s="54">
        <f>IF(AQ790="5",BJ790,0)</f>
        <v>0</v>
      </c>
      <c r="AB790" s="54">
        <f>IF(AQ790="1",BH790,0)</f>
        <v>0</v>
      </c>
      <c r="AC790" s="54">
        <f>IF(AQ790="1",BI790,0)</f>
        <v>0</v>
      </c>
      <c r="AD790" s="54">
        <f>IF(AQ790="7",BH790,0)</f>
        <v>0</v>
      </c>
      <c r="AE790" s="54">
        <f>IF(AQ790="7",BI790,0)</f>
        <v>0</v>
      </c>
      <c r="AF790" s="54">
        <f>IF(AQ790="2",BH790,0)</f>
        <v>0</v>
      </c>
      <c r="AG790" s="54">
        <f>IF(AQ790="2",BI790,0)</f>
        <v>0</v>
      </c>
      <c r="AH790" s="54">
        <f>IF(AQ790="0",BJ790,0)</f>
        <v>0</v>
      </c>
      <c r="AI790" s="34" t="s">
        <v>103</v>
      </c>
      <c r="AJ790" s="54">
        <f>IF(AN790=0,I790,0)</f>
        <v>0</v>
      </c>
      <c r="AK790" s="54">
        <f>IF(AN790=12,I790,0)</f>
        <v>0</v>
      </c>
      <c r="AL790" s="54">
        <f>IF(AN790=21,I790,0)</f>
        <v>0</v>
      </c>
      <c r="AN790" s="54">
        <v>21</v>
      </c>
      <c r="AO790" s="54">
        <f>H790*0</f>
        <v>0</v>
      </c>
      <c r="AP790" s="54">
        <f>H790*(1-0)</f>
        <v>0</v>
      </c>
      <c r="AQ790" s="56" t="s">
        <v>107</v>
      </c>
      <c r="AV790" s="54">
        <f>AW790+AX790</f>
        <v>0</v>
      </c>
      <c r="AW790" s="54">
        <f>G790*AO790</f>
        <v>0</v>
      </c>
      <c r="AX790" s="54">
        <f>G790*AP790</f>
        <v>0</v>
      </c>
      <c r="AY790" s="56" t="s">
        <v>1351</v>
      </c>
      <c r="AZ790" s="56" t="s">
        <v>1343</v>
      </c>
      <c r="BA790" s="34" t="s">
        <v>114</v>
      </c>
      <c r="BC790" s="54">
        <f>AW790+AX790</f>
        <v>0</v>
      </c>
      <c r="BD790" s="54">
        <f>H790/(100-BE790)*100</f>
        <v>0</v>
      </c>
      <c r="BE790" s="54">
        <v>0</v>
      </c>
      <c r="BF790" s="54">
        <f>L790</f>
        <v>1.9760454000000001</v>
      </c>
      <c r="BH790" s="54">
        <f>G790*AO790</f>
        <v>0</v>
      </c>
      <c r="BI790" s="54">
        <f>G790*AP790</f>
        <v>0</v>
      </c>
      <c r="BJ790" s="54">
        <f>G790*H790</f>
        <v>0</v>
      </c>
      <c r="BK790" s="54"/>
      <c r="BL790" s="54">
        <v>96</v>
      </c>
      <c r="BW790" s="54">
        <v>21</v>
      </c>
      <c r="BX790" s="3" t="s">
        <v>1355</v>
      </c>
    </row>
    <row r="791" spans="1:76" ht="14.5" x14ac:dyDescent="0.35">
      <c r="A791" s="57"/>
      <c r="D791" s="58" t="s">
        <v>208</v>
      </c>
      <c r="E791" s="59" t="s">
        <v>1356</v>
      </c>
      <c r="G791" s="60">
        <v>0</v>
      </c>
      <c r="M791" s="61"/>
    </row>
    <row r="792" spans="1:76" ht="14.5" x14ac:dyDescent="0.35">
      <c r="A792" s="57"/>
      <c r="D792" s="58" t="s">
        <v>1077</v>
      </c>
      <c r="E792" s="59" t="s">
        <v>1357</v>
      </c>
      <c r="G792" s="60">
        <v>51.12</v>
      </c>
      <c r="M792" s="61"/>
    </row>
    <row r="793" spans="1:76" ht="14.5" x14ac:dyDescent="0.35">
      <c r="A793" s="57"/>
      <c r="D793" s="58" t="s">
        <v>1358</v>
      </c>
      <c r="E793" s="59" t="s">
        <v>1359</v>
      </c>
      <c r="G793" s="60">
        <v>77.304000000000002</v>
      </c>
      <c r="M793" s="61"/>
    </row>
    <row r="794" spans="1:76" ht="14.5" x14ac:dyDescent="0.35">
      <c r="A794" s="57"/>
      <c r="D794" s="58" t="s">
        <v>1360</v>
      </c>
      <c r="E794" s="59" t="s">
        <v>1361</v>
      </c>
      <c r="G794" s="60">
        <v>4</v>
      </c>
      <c r="M794" s="61"/>
    </row>
    <row r="795" spans="1:76" ht="14.5" x14ac:dyDescent="0.35">
      <c r="A795" s="57"/>
      <c r="D795" s="58" t="s">
        <v>208</v>
      </c>
      <c r="E795" s="59" t="s">
        <v>1362</v>
      </c>
      <c r="G795" s="60">
        <v>0</v>
      </c>
      <c r="M795" s="61"/>
    </row>
    <row r="796" spans="1:76" ht="14.5" x14ac:dyDescent="0.35">
      <c r="A796" s="57"/>
      <c r="D796" s="58" t="s">
        <v>1363</v>
      </c>
      <c r="E796" s="59" t="s">
        <v>1364</v>
      </c>
      <c r="G796" s="60">
        <v>4.5199999999999996</v>
      </c>
      <c r="M796" s="61"/>
    </row>
    <row r="797" spans="1:76" ht="14.5" x14ac:dyDescent="0.35">
      <c r="A797" s="57"/>
      <c r="D797" s="58" t="s">
        <v>1365</v>
      </c>
      <c r="E797" s="59" t="s">
        <v>1366</v>
      </c>
      <c r="G797" s="60">
        <v>11.27</v>
      </c>
      <c r="M797" s="61"/>
    </row>
    <row r="798" spans="1:76" ht="14.5" x14ac:dyDescent="0.35">
      <c r="A798" s="57"/>
      <c r="D798" s="58" t="s">
        <v>1367</v>
      </c>
      <c r="E798" s="59" t="s">
        <v>1368</v>
      </c>
      <c r="G798" s="60">
        <v>8.6150000000000002</v>
      </c>
      <c r="M798" s="61"/>
    </row>
    <row r="799" spans="1:76" ht="39" x14ac:dyDescent="0.35">
      <c r="A799" s="57"/>
      <c r="C799" s="62" t="s">
        <v>156</v>
      </c>
      <c r="D799" s="211" t="s">
        <v>1369</v>
      </c>
      <c r="E799" s="212"/>
      <c r="F799" s="212"/>
      <c r="G799" s="212"/>
      <c r="H799" s="212"/>
      <c r="I799" s="212"/>
      <c r="J799" s="212"/>
      <c r="K799" s="212"/>
      <c r="L799" s="212"/>
      <c r="M799" s="213"/>
      <c r="BX799" s="63" t="s">
        <v>1369</v>
      </c>
    </row>
    <row r="800" spans="1:76" ht="14.5" x14ac:dyDescent="0.35">
      <c r="A800" s="1" t="s">
        <v>1370</v>
      </c>
      <c r="B800" s="2" t="s">
        <v>103</v>
      </c>
      <c r="C800" s="2" t="s">
        <v>1371</v>
      </c>
      <c r="D800" s="155" t="s">
        <v>1372</v>
      </c>
      <c r="E800" s="153"/>
      <c r="F800" s="2" t="s">
        <v>110</v>
      </c>
      <c r="G800" s="54">
        <f>'Stavební rozpočet'!G636</f>
        <v>335.07799999999997</v>
      </c>
      <c r="H800" s="94">
        <f>'Stavební rozpočet'!H636</f>
        <v>0</v>
      </c>
      <c r="I800" s="54">
        <f>G800*H800</f>
        <v>0</v>
      </c>
      <c r="J800" s="54">
        <f>'Stavební rozpočet'!J636</f>
        <v>2.5200000000000001E-3</v>
      </c>
      <c r="K800" s="54">
        <f>'Stavební rozpočet'!K636</f>
        <v>2.5200000000000001E-3</v>
      </c>
      <c r="L800" s="54">
        <f>G800*J800</f>
        <v>0.84439655999999996</v>
      </c>
      <c r="M800" s="55" t="s">
        <v>111</v>
      </c>
      <c r="Z800" s="54">
        <f>IF(AQ800="5",BJ800,0)</f>
        <v>0</v>
      </c>
      <c r="AB800" s="54">
        <f>IF(AQ800="1",BH800,0)</f>
        <v>0</v>
      </c>
      <c r="AC800" s="54">
        <f>IF(AQ800="1",BI800,0)</f>
        <v>0</v>
      </c>
      <c r="AD800" s="54">
        <f>IF(AQ800="7",BH800,0)</f>
        <v>0</v>
      </c>
      <c r="AE800" s="54">
        <f>IF(AQ800="7",BI800,0)</f>
        <v>0</v>
      </c>
      <c r="AF800" s="54">
        <f>IF(AQ800="2",BH800,0)</f>
        <v>0</v>
      </c>
      <c r="AG800" s="54">
        <f>IF(AQ800="2",BI800,0)</f>
        <v>0</v>
      </c>
      <c r="AH800" s="54">
        <f>IF(AQ800="0",BJ800,0)</f>
        <v>0</v>
      </c>
      <c r="AI800" s="34" t="s">
        <v>103</v>
      </c>
      <c r="AJ800" s="54">
        <f>IF(AN800=0,I800,0)</f>
        <v>0</v>
      </c>
      <c r="AK800" s="54">
        <f>IF(AN800=12,I800,0)</f>
        <v>0</v>
      </c>
      <c r="AL800" s="54">
        <f>IF(AN800=21,I800,0)</f>
        <v>0</v>
      </c>
      <c r="AN800" s="54">
        <v>21</v>
      </c>
      <c r="AO800" s="54">
        <f>H800*0</f>
        <v>0</v>
      </c>
      <c r="AP800" s="54">
        <f>H800*(1-0)</f>
        <v>0</v>
      </c>
      <c r="AQ800" s="56" t="s">
        <v>107</v>
      </c>
      <c r="AV800" s="54">
        <f>AW800+AX800</f>
        <v>0</v>
      </c>
      <c r="AW800" s="54">
        <f>G800*AO800</f>
        <v>0</v>
      </c>
      <c r="AX800" s="54">
        <f>G800*AP800</f>
        <v>0</v>
      </c>
      <c r="AY800" s="56" t="s">
        <v>1351</v>
      </c>
      <c r="AZ800" s="56" t="s">
        <v>1343</v>
      </c>
      <c r="BA800" s="34" t="s">
        <v>114</v>
      </c>
      <c r="BC800" s="54">
        <f>AW800+AX800</f>
        <v>0</v>
      </c>
      <c r="BD800" s="54">
        <f>H800/(100-BE800)*100</f>
        <v>0</v>
      </c>
      <c r="BE800" s="54">
        <v>0</v>
      </c>
      <c r="BF800" s="54">
        <f>L800</f>
        <v>0.84439655999999996</v>
      </c>
      <c r="BH800" s="54">
        <f>G800*AO800</f>
        <v>0</v>
      </c>
      <c r="BI800" s="54">
        <f>G800*AP800</f>
        <v>0</v>
      </c>
      <c r="BJ800" s="54">
        <f>G800*H800</f>
        <v>0</v>
      </c>
      <c r="BK800" s="54"/>
      <c r="BL800" s="54">
        <v>96</v>
      </c>
      <c r="BW800" s="54">
        <v>21</v>
      </c>
      <c r="BX800" s="3" t="s">
        <v>1372</v>
      </c>
    </row>
    <row r="801" spans="1:76" ht="13.5" customHeight="1" x14ac:dyDescent="0.35">
      <c r="A801" s="57"/>
      <c r="C801" s="62" t="s">
        <v>122</v>
      </c>
      <c r="D801" s="214" t="s">
        <v>1373</v>
      </c>
      <c r="E801" s="215"/>
      <c r="F801" s="215"/>
      <c r="G801" s="215"/>
      <c r="H801" s="215"/>
      <c r="I801" s="215"/>
      <c r="J801" s="215"/>
      <c r="K801" s="215"/>
      <c r="L801" s="215"/>
      <c r="M801" s="216"/>
    </row>
    <row r="802" spans="1:76" ht="14.5" x14ac:dyDescent="0.35">
      <c r="A802" s="57"/>
      <c r="D802" s="58" t="s">
        <v>10</v>
      </c>
      <c r="E802" s="59" t="s">
        <v>1356</v>
      </c>
      <c r="G802" s="60">
        <v>0</v>
      </c>
      <c r="M802" s="61"/>
    </row>
    <row r="803" spans="1:76" ht="14.5" x14ac:dyDescent="0.35">
      <c r="A803" s="57"/>
      <c r="D803" s="58" t="s">
        <v>1374</v>
      </c>
      <c r="E803" s="59" t="s">
        <v>1375</v>
      </c>
      <c r="G803" s="60">
        <v>51.12</v>
      </c>
      <c r="M803" s="61"/>
    </row>
    <row r="804" spans="1:76" ht="14.5" x14ac:dyDescent="0.35">
      <c r="A804" s="57"/>
      <c r="D804" s="58" t="s">
        <v>1376</v>
      </c>
      <c r="E804" s="59" t="s">
        <v>1377</v>
      </c>
      <c r="G804" s="60">
        <v>154.608</v>
      </c>
      <c r="M804" s="61"/>
    </row>
    <row r="805" spans="1:76" ht="14.5" x14ac:dyDescent="0.35">
      <c r="A805" s="57"/>
      <c r="D805" s="58" t="s">
        <v>1378</v>
      </c>
      <c r="E805" s="59" t="s">
        <v>1379</v>
      </c>
      <c r="G805" s="60">
        <v>8</v>
      </c>
      <c r="M805" s="61"/>
    </row>
    <row r="806" spans="1:76" ht="14.5" x14ac:dyDescent="0.35">
      <c r="A806" s="57"/>
      <c r="D806" s="58" t="s">
        <v>10</v>
      </c>
      <c r="E806" s="59" t="s">
        <v>1362</v>
      </c>
      <c r="G806" s="60">
        <v>0</v>
      </c>
      <c r="M806" s="61"/>
    </row>
    <row r="807" spans="1:76" ht="14.5" x14ac:dyDescent="0.35">
      <c r="A807" s="57"/>
      <c r="D807" s="58" t="s">
        <v>1380</v>
      </c>
      <c r="E807" s="59" t="s">
        <v>1381</v>
      </c>
      <c r="G807" s="60">
        <v>22.6</v>
      </c>
      <c r="M807" s="61"/>
    </row>
    <row r="808" spans="1:76" ht="14.5" x14ac:dyDescent="0.35">
      <c r="A808" s="57"/>
      <c r="D808" s="58" t="s">
        <v>1382</v>
      </c>
      <c r="E808" s="59" t="s">
        <v>1383</v>
      </c>
      <c r="G808" s="60">
        <v>56</v>
      </c>
      <c r="M808" s="61"/>
    </row>
    <row r="809" spans="1:76" ht="14.5" x14ac:dyDescent="0.35">
      <c r="A809" s="57"/>
      <c r="D809" s="58" t="s">
        <v>1384</v>
      </c>
      <c r="E809" s="59" t="s">
        <v>1385</v>
      </c>
      <c r="G809" s="60">
        <v>42.75</v>
      </c>
      <c r="M809" s="61"/>
    </row>
    <row r="810" spans="1:76" ht="39" x14ac:dyDescent="0.35">
      <c r="A810" s="57"/>
      <c r="C810" s="62" t="s">
        <v>156</v>
      </c>
      <c r="D810" s="211" t="s">
        <v>1369</v>
      </c>
      <c r="E810" s="212"/>
      <c r="F810" s="212"/>
      <c r="G810" s="212"/>
      <c r="H810" s="212"/>
      <c r="I810" s="212"/>
      <c r="J810" s="212"/>
      <c r="K810" s="212"/>
      <c r="L810" s="212"/>
      <c r="M810" s="213"/>
      <c r="BX810" s="63" t="s">
        <v>1369</v>
      </c>
    </row>
    <row r="811" spans="1:76" ht="14.5" x14ac:dyDescent="0.35">
      <c r="A811" s="1" t="s">
        <v>1386</v>
      </c>
      <c r="B811" s="2" t="s">
        <v>103</v>
      </c>
      <c r="C811" s="2" t="s">
        <v>1387</v>
      </c>
      <c r="D811" s="155" t="s">
        <v>1388</v>
      </c>
      <c r="E811" s="153"/>
      <c r="F811" s="2" t="s">
        <v>153</v>
      </c>
      <c r="G811" s="54">
        <f>'Stavební rozpočet'!G645</f>
        <v>94.95</v>
      </c>
      <c r="H811" s="94">
        <f>'Stavební rozpočet'!H645</f>
        <v>0</v>
      </c>
      <c r="I811" s="54">
        <f>G811*H811</f>
        <v>0</v>
      </c>
      <c r="J811" s="54">
        <f>'Stavební rozpočet'!J645</f>
        <v>4.0000000000000002E-4</v>
      </c>
      <c r="K811" s="54">
        <f>'Stavební rozpočet'!K645</f>
        <v>4.0000000000000002E-4</v>
      </c>
      <c r="L811" s="54">
        <f>G811*J811</f>
        <v>3.798E-2</v>
      </c>
      <c r="M811" s="55" t="s">
        <v>111</v>
      </c>
      <c r="Z811" s="54">
        <f>IF(AQ811="5",BJ811,0)</f>
        <v>0</v>
      </c>
      <c r="AB811" s="54">
        <f>IF(AQ811="1",BH811,0)</f>
        <v>0</v>
      </c>
      <c r="AC811" s="54">
        <f>IF(AQ811="1",BI811,0)</f>
        <v>0</v>
      </c>
      <c r="AD811" s="54">
        <f>IF(AQ811="7",BH811,0)</f>
        <v>0</v>
      </c>
      <c r="AE811" s="54">
        <f>IF(AQ811="7",BI811,0)</f>
        <v>0</v>
      </c>
      <c r="AF811" s="54">
        <f>IF(AQ811="2",BH811,0)</f>
        <v>0</v>
      </c>
      <c r="AG811" s="54">
        <f>IF(AQ811="2",BI811,0)</f>
        <v>0</v>
      </c>
      <c r="AH811" s="54">
        <f>IF(AQ811="0",BJ811,0)</f>
        <v>0</v>
      </c>
      <c r="AI811" s="34" t="s">
        <v>103</v>
      </c>
      <c r="AJ811" s="54">
        <f>IF(AN811=0,I811,0)</f>
        <v>0</v>
      </c>
      <c r="AK811" s="54">
        <f>IF(AN811=12,I811,0)</f>
        <v>0</v>
      </c>
      <c r="AL811" s="54">
        <f>IF(AN811=21,I811,0)</f>
        <v>0</v>
      </c>
      <c r="AN811" s="54">
        <v>21</v>
      </c>
      <c r="AO811" s="54">
        <f>H811*0</f>
        <v>0</v>
      </c>
      <c r="AP811" s="54">
        <f>H811*(1-0)</f>
        <v>0</v>
      </c>
      <c r="AQ811" s="56" t="s">
        <v>107</v>
      </c>
      <c r="AV811" s="54">
        <f>AW811+AX811</f>
        <v>0</v>
      </c>
      <c r="AW811" s="54">
        <f>G811*AO811</f>
        <v>0</v>
      </c>
      <c r="AX811" s="54">
        <f>G811*AP811</f>
        <v>0</v>
      </c>
      <c r="AY811" s="56" t="s">
        <v>1351</v>
      </c>
      <c r="AZ811" s="56" t="s">
        <v>1343</v>
      </c>
      <c r="BA811" s="34" t="s">
        <v>114</v>
      </c>
      <c r="BC811" s="54">
        <f>AW811+AX811</f>
        <v>0</v>
      </c>
      <c r="BD811" s="54">
        <f>H811/(100-BE811)*100</f>
        <v>0</v>
      </c>
      <c r="BE811" s="54">
        <v>0</v>
      </c>
      <c r="BF811" s="54">
        <f>L811</f>
        <v>3.798E-2</v>
      </c>
      <c r="BH811" s="54">
        <f>G811*AO811</f>
        <v>0</v>
      </c>
      <c r="BI811" s="54">
        <f>G811*AP811</f>
        <v>0</v>
      </c>
      <c r="BJ811" s="54">
        <f>G811*H811</f>
        <v>0</v>
      </c>
      <c r="BK811" s="54"/>
      <c r="BL811" s="54">
        <v>96</v>
      </c>
      <c r="BW811" s="54">
        <v>21</v>
      </c>
      <c r="BX811" s="3" t="s">
        <v>1388</v>
      </c>
    </row>
    <row r="812" spans="1:76" ht="14.5" x14ac:dyDescent="0.35">
      <c r="A812" s="57"/>
      <c r="D812" s="58" t="s">
        <v>208</v>
      </c>
      <c r="E812" s="59" t="s">
        <v>1389</v>
      </c>
      <c r="G812" s="60">
        <v>0</v>
      </c>
      <c r="M812" s="61"/>
    </row>
    <row r="813" spans="1:76" ht="14.5" x14ac:dyDescent="0.35">
      <c r="A813" s="57"/>
      <c r="D813" s="58" t="s">
        <v>1004</v>
      </c>
      <c r="E813" s="59" t="s">
        <v>1390</v>
      </c>
      <c r="G813" s="60">
        <v>60.86</v>
      </c>
      <c r="M813" s="61"/>
    </row>
    <row r="814" spans="1:76" ht="14.5" x14ac:dyDescent="0.35">
      <c r="A814" s="57"/>
      <c r="D814" s="58" t="s">
        <v>1006</v>
      </c>
      <c r="E814" s="59" t="s">
        <v>1007</v>
      </c>
      <c r="G814" s="60">
        <v>20.190000000000001</v>
      </c>
      <c r="M814" s="61"/>
    </row>
    <row r="815" spans="1:76" ht="39" x14ac:dyDescent="0.35">
      <c r="A815" s="57"/>
      <c r="C815" s="62" t="s">
        <v>156</v>
      </c>
      <c r="D815" s="211" t="s">
        <v>1391</v>
      </c>
      <c r="E815" s="212"/>
      <c r="F815" s="212"/>
      <c r="G815" s="212"/>
      <c r="H815" s="212"/>
      <c r="I815" s="212"/>
      <c r="J815" s="212"/>
      <c r="K815" s="212"/>
      <c r="L815" s="212"/>
      <c r="M815" s="213"/>
      <c r="BX815" s="63" t="s">
        <v>1391</v>
      </c>
    </row>
    <row r="816" spans="1:76" ht="14.5" x14ac:dyDescent="0.35">
      <c r="A816" s="57"/>
      <c r="D816" s="58" t="s">
        <v>1008</v>
      </c>
      <c r="E816" s="59" t="s">
        <v>1009</v>
      </c>
      <c r="G816" s="60">
        <v>13.9</v>
      </c>
      <c r="M816" s="61"/>
    </row>
    <row r="817" spans="1:76" ht="39" x14ac:dyDescent="0.35">
      <c r="A817" s="57"/>
      <c r="C817" s="62" t="s">
        <v>156</v>
      </c>
      <c r="D817" s="211" t="s">
        <v>1391</v>
      </c>
      <c r="E817" s="212"/>
      <c r="F817" s="212"/>
      <c r="G817" s="212"/>
      <c r="H817" s="212"/>
      <c r="I817" s="212"/>
      <c r="J817" s="212"/>
      <c r="K817" s="212"/>
      <c r="L817" s="212"/>
      <c r="M817" s="213"/>
      <c r="BX817" s="63" t="s">
        <v>1391</v>
      </c>
    </row>
    <row r="818" spans="1:76" ht="14.5" x14ac:dyDescent="0.35">
      <c r="A818" s="1" t="s">
        <v>1392</v>
      </c>
      <c r="B818" s="2" t="s">
        <v>103</v>
      </c>
      <c r="C818" s="2" t="s">
        <v>1393</v>
      </c>
      <c r="D818" s="155" t="s">
        <v>1394</v>
      </c>
      <c r="E818" s="153"/>
      <c r="F818" s="2" t="s">
        <v>110</v>
      </c>
      <c r="G818" s="54">
        <f>'Stavební rozpočet'!G650</f>
        <v>129.86000000000001</v>
      </c>
      <c r="H818" s="94">
        <f>'Stavební rozpočet'!H650</f>
        <v>0</v>
      </c>
      <c r="I818" s="54">
        <f>G818*H818</f>
        <v>0</v>
      </c>
      <c r="J818" s="54">
        <f>'Stavební rozpočet'!J650</f>
        <v>0.02</v>
      </c>
      <c r="K818" s="54">
        <f>'Stavební rozpočet'!K650</f>
        <v>0.02</v>
      </c>
      <c r="L818" s="54">
        <f>G818*J818</f>
        <v>2.5972000000000004</v>
      </c>
      <c r="M818" s="55" t="s">
        <v>111</v>
      </c>
      <c r="Z818" s="54">
        <f>IF(AQ818="5",BJ818,0)</f>
        <v>0</v>
      </c>
      <c r="AB818" s="54">
        <f>IF(AQ818="1",BH818,0)</f>
        <v>0</v>
      </c>
      <c r="AC818" s="54">
        <f>IF(AQ818="1",BI818,0)</f>
        <v>0</v>
      </c>
      <c r="AD818" s="54">
        <f>IF(AQ818="7",BH818,0)</f>
        <v>0</v>
      </c>
      <c r="AE818" s="54">
        <f>IF(AQ818="7",BI818,0)</f>
        <v>0</v>
      </c>
      <c r="AF818" s="54">
        <f>IF(AQ818="2",BH818,0)</f>
        <v>0</v>
      </c>
      <c r="AG818" s="54">
        <f>IF(AQ818="2",BI818,0)</f>
        <v>0</v>
      </c>
      <c r="AH818" s="54">
        <f>IF(AQ818="0",BJ818,0)</f>
        <v>0</v>
      </c>
      <c r="AI818" s="34" t="s">
        <v>103</v>
      </c>
      <c r="AJ818" s="54">
        <f>IF(AN818=0,I818,0)</f>
        <v>0</v>
      </c>
      <c r="AK818" s="54">
        <f>IF(AN818=12,I818,0)</f>
        <v>0</v>
      </c>
      <c r="AL818" s="54">
        <f>IF(AN818=21,I818,0)</f>
        <v>0</v>
      </c>
      <c r="AN818" s="54">
        <v>21</v>
      </c>
      <c r="AO818" s="54">
        <f>H818*0</f>
        <v>0</v>
      </c>
      <c r="AP818" s="54">
        <f>H818*(1-0)</f>
        <v>0</v>
      </c>
      <c r="AQ818" s="56" t="s">
        <v>107</v>
      </c>
      <c r="AV818" s="54">
        <f>AW818+AX818</f>
        <v>0</v>
      </c>
      <c r="AW818" s="54">
        <f>G818*AO818</f>
        <v>0</v>
      </c>
      <c r="AX818" s="54">
        <f>G818*AP818</f>
        <v>0</v>
      </c>
      <c r="AY818" s="56" t="s">
        <v>1351</v>
      </c>
      <c r="AZ818" s="56" t="s">
        <v>1343</v>
      </c>
      <c r="BA818" s="34" t="s">
        <v>114</v>
      </c>
      <c r="BC818" s="54">
        <f>AW818+AX818</f>
        <v>0</v>
      </c>
      <c r="BD818" s="54">
        <f>H818/(100-BE818)*100</f>
        <v>0</v>
      </c>
      <c r="BE818" s="54">
        <v>0</v>
      </c>
      <c r="BF818" s="54">
        <f>L818</f>
        <v>2.5972000000000004</v>
      </c>
      <c r="BH818" s="54">
        <f>G818*AO818</f>
        <v>0</v>
      </c>
      <c r="BI818" s="54">
        <f>G818*AP818</f>
        <v>0</v>
      </c>
      <c r="BJ818" s="54">
        <f>G818*H818</f>
        <v>0</v>
      </c>
      <c r="BK818" s="54"/>
      <c r="BL818" s="54">
        <v>96</v>
      </c>
      <c r="BW818" s="54">
        <v>21</v>
      </c>
      <c r="BX818" s="3" t="s">
        <v>1394</v>
      </c>
    </row>
    <row r="819" spans="1:76" ht="13.5" customHeight="1" x14ac:dyDescent="0.35">
      <c r="A819" s="57"/>
      <c r="C819" s="62" t="s">
        <v>122</v>
      </c>
      <c r="D819" s="214" t="s">
        <v>1395</v>
      </c>
      <c r="E819" s="215"/>
      <c r="F819" s="215"/>
      <c r="G819" s="215"/>
      <c r="H819" s="215"/>
      <c r="I819" s="215"/>
      <c r="J819" s="215"/>
      <c r="K819" s="215"/>
      <c r="L819" s="215"/>
      <c r="M819" s="216"/>
    </row>
    <row r="820" spans="1:76" ht="14.5" x14ac:dyDescent="0.35">
      <c r="A820" s="57"/>
      <c r="D820" s="58" t="s">
        <v>208</v>
      </c>
      <c r="E820" s="59" t="s">
        <v>1389</v>
      </c>
      <c r="G820" s="60">
        <v>0</v>
      </c>
      <c r="M820" s="61"/>
    </row>
    <row r="821" spans="1:76" ht="14.5" x14ac:dyDescent="0.35">
      <c r="A821" s="57"/>
      <c r="D821" s="58" t="s">
        <v>996</v>
      </c>
      <c r="E821" s="59" t="s">
        <v>1396</v>
      </c>
      <c r="G821" s="60">
        <v>88.58</v>
      </c>
      <c r="M821" s="61"/>
    </row>
    <row r="822" spans="1:76" ht="14.5" x14ac:dyDescent="0.35">
      <c r="A822" s="57"/>
      <c r="D822" s="58" t="s">
        <v>336</v>
      </c>
      <c r="E822" s="59" t="s">
        <v>337</v>
      </c>
      <c r="G822" s="60">
        <v>22.54</v>
      </c>
      <c r="M822" s="61"/>
    </row>
    <row r="823" spans="1:76" ht="14.5" x14ac:dyDescent="0.35">
      <c r="A823" s="57"/>
      <c r="D823" s="58" t="s">
        <v>338</v>
      </c>
      <c r="E823" s="59" t="s">
        <v>339</v>
      </c>
      <c r="G823" s="60">
        <v>17.23</v>
      </c>
      <c r="M823" s="61"/>
    </row>
    <row r="824" spans="1:76" ht="39" x14ac:dyDescent="0.35">
      <c r="A824" s="57"/>
      <c r="C824" s="62" t="s">
        <v>156</v>
      </c>
      <c r="D824" s="211" t="s">
        <v>1397</v>
      </c>
      <c r="E824" s="212"/>
      <c r="F824" s="212"/>
      <c r="G824" s="212"/>
      <c r="H824" s="212"/>
      <c r="I824" s="212"/>
      <c r="J824" s="212"/>
      <c r="K824" s="212"/>
      <c r="L824" s="212"/>
      <c r="M824" s="213"/>
      <c r="BX824" s="63" t="s">
        <v>1397</v>
      </c>
    </row>
    <row r="825" spans="1:76" ht="14.5" x14ac:dyDescent="0.35">
      <c r="A825" s="57"/>
      <c r="D825" s="58" t="s">
        <v>341</v>
      </c>
      <c r="E825" s="59" t="s">
        <v>342</v>
      </c>
      <c r="G825" s="60">
        <v>1.51</v>
      </c>
      <c r="M825" s="61"/>
    </row>
    <row r="826" spans="1:76" ht="39" x14ac:dyDescent="0.35">
      <c r="A826" s="57"/>
      <c r="C826" s="62" t="s">
        <v>156</v>
      </c>
      <c r="D826" s="211" t="s">
        <v>1397</v>
      </c>
      <c r="E826" s="212"/>
      <c r="F826" s="212"/>
      <c r="G826" s="212"/>
      <c r="H826" s="212"/>
      <c r="I826" s="212"/>
      <c r="J826" s="212"/>
      <c r="K826" s="212"/>
      <c r="L826" s="212"/>
      <c r="M826" s="213"/>
      <c r="BX826" s="63" t="s">
        <v>1397</v>
      </c>
    </row>
    <row r="827" spans="1:76" ht="14.5" x14ac:dyDescent="0.35">
      <c r="A827" s="1" t="s">
        <v>1398</v>
      </c>
      <c r="B827" s="2" t="s">
        <v>103</v>
      </c>
      <c r="C827" s="2" t="s">
        <v>1399</v>
      </c>
      <c r="D827" s="155" t="s">
        <v>1400</v>
      </c>
      <c r="E827" s="153"/>
      <c r="F827" s="2" t="s">
        <v>110</v>
      </c>
      <c r="G827" s="54">
        <f>'Stavební rozpočet'!G656</f>
        <v>811.08699999999999</v>
      </c>
      <c r="H827" s="94">
        <f>'Stavební rozpočet'!H656</f>
        <v>0</v>
      </c>
      <c r="I827" s="54">
        <f>G827*H827</f>
        <v>0</v>
      </c>
      <c r="J827" s="54">
        <f>'Stavební rozpočet'!J656</f>
        <v>1.695E-2</v>
      </c>
      <c r="K827" s="54">
        <f>'Stavební rozpočet'!K656</f>
        <v>1.695E-2</v>
      </c>
      <c r="L827" s="54">
        <f>G827*J827</f>
        <v>13.74792465</v>
      </c>
      <c r="M827" s="55" t="s">
        <v>111</v>
      </c>
      <c r="Z827" s="54">
        <f>IF(AQ827="5",BJ827,0)</f>
        <v>0</v>
      </c>
      <c r="AB827" s="54">
        <f>IF(AQ827="1",BH827,0)</f>
        <v>0</v>
      </c>
      <c r="AC827" s="54">
        <f>IF(AQ827="1",BI827,0)</f>
        <v>0</v>
      </c>
      <c r="AD827" s="54">
        <f>IF(AQ827="7",BH827,0)</f>
        <v>0</v>
      </c>
      <c r="AE827" s="54">
        <f>IF(AQ827="7",BI827,0)</f>
        <v>0</v>
      </c>
      <c r="AF827" s="54">
        <f>IF(AQ827="2",BH827,0)</f>
        <v>0</v>
      </c>
      <c r="AG827" s="54">
        <f>IF(AQ827="2",BI827,0)</f>
        <v>0</v>
      </c>
      <c r="AH827" s="54">
        <f>IF(AQ827="0",BJ827,0)</f>
        <v>0</v>
      </c>
      <c r="AI827" s="34" t="s">
        <v>103</v>
      </c>
      <c r="AJ827" s="54">
        <f>IF(AN827=0,I827,0)</f>
        <v>0</v>
      </c>
      <c r="AK827" s="54">
        <f>IF(AN827=12,I827,0)</f>
        <v>0</v>
      </c>
      <c r="AL827" s="54">
        <f>IF(AN827=21,I827,0)</f>
        <v>0</v>
      </c>
      <c r="AN827" s="54">
        <v>21</v>
      </c>
      <c r="AO827" s="54">
        <f>H827*0</f>
        <v>0</v>
      </c>
      <c r="AP827" s="54">
        <f>H827*(1-0)</f>
        <v>0</v>
      </c>
      <c r="AQ827" s="56" t="s">
        <v>107</v>
      </c>
      <c r="AV827" s="54">
        <f>AW827+AX827</f>
        <v>0</v>
      </c>
      <c r="AW827" s="54">
        <f>G827*AO827</f>
        <v>0</v>
      </c>
      <c r="AX827" s="54">
        <f>G827*AP827</f>
        <v>0</v>
      </c>
      <c r="AY827" s="56" t="s">
        <v>1351</v>
      </c>
      <c r="AZ827" s="56" t="s">
        <v>1343</v>
      </c>
      <c r="BA827" s="34" t="s">
        <v>114</v>
      </c>
      <c r="BC827" s="54">
        <f>AW827+AX827</f>
        <v>0</v>
      </c>
      <c r="BD827" s="54">
        <f>H827/(100-BE827)*100</f>
        <v>0</v>
      </c>
      <c r="BE827" s="54">
        <v>0</v>
      </c>
      <c r="BF827" s="54">
        <f>L827</f>
        <v>13.74792465</v>
      </c>
      <c r="BH827" s="54">
        <f>G827*AO827</f>
        <v>0</v>
      </c>
      <c r="BI827" s="54">
        <f>G827*AP827</f>
        <v>0</v>
      </c>
      <c r="BJ827" s="54">
        <f>G827*H827</f>
        <v>0</v>
      </c>
      <c r="BK827" s="54"/>
      <c r="BL827" s="54">
        <v>96</v>
      </c>
      <c r="BW827" s="54">
        <v>21</v>
      </c>
      <c r="BX827" s="3" t="s">
        <v>1400</v>
      </c>
    </row>
    <row r="828" spans="1:76" ht="27" customHeight="1" x14ac:dyDescent="0.35">
      <c r="A828" s="57"/>
      <c r="C828" s="62" t="s">
        <v>122</v>
      </c>
      <c r="D828" s="214" t="s">
        <v>1401</v>
      </c>
      <c r="E828" s="215"/>
      <c r="F828" s="215"/>
      <c r="G828" s="215"/>
      <c r="H828" s="215"/>
      <c r="I828" s="215"/>
      <c r="J828" s="215"/>
      <c r="K828" s="215"/>
      <c r="L828" s="215"/>
      <c r="M828" s="216"/>
    </row>
    <row r="829" spans="1:76" ht="14.5" x14ac:dyDescent="0.35">
      <c r="A829" s="57"/>
      <c r="D829" s="58" t="s">
        <v>1402</v>
      </c>
      <c r="E829" s="59" t="s">
        <v>1403</v>
      </c>
      <c r="G829" s="60">
        <v>9.1</v>
      </c>
      <c r="M829" s="61"/>
    </row>
    <row r="830" spans="1:76" ht="14.5" x14ac:dyDescent="0.35">
      <c r="A830" s="57"/>
      <c r="D830" s="58" t="s">
        <v>1404</v>
      </c>
      <c r="E830" s="59" t="s">
        <v>1405</v>
      </c>
      <c r="G830" s="60">
        <v>7.59</v>
      </c>
      <c r="M830" s="61"/>
    </row>
    <row r="831" spans="1:76" ht="14.5" x14ac:dyDescent="0.35">
      <c r="A831" s="57"/>
      <c r="D831" s="58" t="s">
        <v>1406</v>
      </c>
      <c r="E831" s="59" t="s">
        <v>1407</v>
      </c>
      <c r="G831" s="60">
        <v>9.89</v>
      </c>
      <c r="M831" s="61"/>
    </row>
    <row r="832" spans="1:76" ht="14.5" x14ac:dyDescent="0.35">
      <c r="A832" s="57"/>
      <c r="D832" s="58" t="s">
        <v>1408</v>
      </c>
      <c r="E832" s="59" t="s">
        <v>1409</v>
      </c>
      <c r="G832" s="60">
        <v>4.048</v>
      </c>
      <c r="M832" s="61"/>
    </row>
    <row r="833" spans="1:76" ht="14.5" x14ac:dyDescent="0.35">
      <c r="A833" s="57"/>
      <c r="D833" s="58" t="s">
        <v>1410</v>
      </c>
      <c r="E833" s="59" t="s">
        <v>1411</v>
      </c>
      <c r="G833" s="60">
        <v>2.94</v>
      </c>
      <c r="M833" s="61"/>
    </row>
    <row r="834" spans="1:76" ht="14.5" x14ac:dyDescent="0.35">
      <c r="A834" s="57"/>
      <c r="D834" s="58" t="s">
        <v>1412</v>
      </c>
      <c r="E834" s="59" t="s">
        <v>1413</v>
      </c>
      <c r="G834" s="60">
        <v>33.567999999999998</v>
      </c>
      <c r="M834" s="61"/>
    </row>
    <row r="835" spans="1:76" ht="14.5" x14ac:dyDescent="0.35">
      <c r="A835" s="57"/>
      <c r="D835" s="58" t="s">
        <v>1414</v>
      </c>
      <c r="E835" s="59" t="s">
        <v>1415</v>
      </c>
      <c r="G835" s="60">
        <v>805.62699999999995</v>
      </c>
      <c r="M835" s="61"/>
    </row>
    <row r="836" spans="1:76" ht="39" x14ac:dyDescent="0.35">
      <c r="A836" s="57"/>
      <c r="C836" s="62" t="s">
        <v>156</v>
      </c>
      <c r="D836" s="211" t="s">
        <v>1416</v>
      </c>
      <c r="E836" s="212"/>
      <c r="F836" s="212"/>
      <c r="G836" s="212"/>
      <c r="H836" s="212"/>
      <c r="I836" s="212"/>
      <c r="J836" s="212"/>
      <c r="K836" s="212"/>
      <c r="L836" s="212"/>
      <c r="M836" s="213"/>
      <c r="BX836" s="63" t="s">
        <v>1416</v>
      </c>
    </row>
    <row r="837" spans="1:76" ht="14.5" x14ac:dyDescent="0.35">
      <c r="A837" s="57"/>
      <c r="D837" s="58" t="s">
        <v>1417</v>
      </c>
      <c r="E837" s="59" t="s">
        <v>1418</v>
      </c>
      <c r="G837" s="60">
        <v>5.46</v>
      </c>
      <c r="M837" s="61"/>
    </row>
    <row r="838" spans="1:76" ht="39" x14ac:dyDescent="0.35">
      <c r="A838" s="57"/>
      <c r="C838" s="62" t="s">
        <v>156</v>
      </c>
      <c r="D838" s="211" t="s">
        <v>1416</v>
      </c>
      <c r="E838" s="212"/>
      <c r="F838" s="212"/>
      <c r="G838" s="212"/>
      <c r="H838" s="212"/>
      <c r="I838" s="212"/>
      <c r="J838" s="212"/>
      <c r="K838" s="212"/>
      <c r="L838" s="212"/>
      <c r="M838" s="213"/>
      <c r="BX838" s="63" t="s">
        <v>1416</v>
      </c>
    </row>
    <row r="839" spans="1:76" ht="14.5" x14ac:dyDescent="0.35">
      <c r="A839" s="1" t="s">
        <v>1419</v>
      </c>
      <c r="B839" s="2" t="s">
        <v>103</v>
      </c>
      <c r="C839" s="2" t="s">
        <v>1420</v>
      </c>
      <c r="D839" s="155" t="s">
        <v>1421</v>
      </c>
      <c r="E839" s="153"/>
      <c r="F839" s="2" t="s">
        <v>412</v>
      </c>
      <c r="G839" s="54">
        <f>'Stavební rozpočet'!G665</f>
        <v>15.672000000000001</v>
      </c>
      <c r="H839" s="94">
        <f>'Stavební rozpočet'!H665</f>
        <v>0</v>
      </c>
      <c r="I839" s="54">
        <f>G839*H839</f>
        <v>0</v>
      </c>
      <c r="J839" s="54">
        <f>'Stavební rozpočet'!J665</f>
        <v>0</v>
      </c>
      <c r="K839" s="54">
        <f>'Stavební rozpočet'!K665</f>
        <v>0</v>
      </c>
      <c r="L839" s="54">
        <f>G839*J839</f>
        <v>0</v>
      </c>
      <c r="M839" s="55" t="s">
        <v>111</v>
      </c>
      <c r="Z839" s="54">
        <f>IF(AQ839="5",BJ839,0)</f>
        <v>0</v>
      </c>
      <c r="AB839" s="54">
        <f>IF(AQ839="1",BH839,0)</f>
        <v>0</v>
      </c>
      <c r="AC839" s="54">
        <f>IF(AQ839="1",BI839,0)</f>
        <v>0</v>
      </c>
      <c r="AD839" s="54">
        <f>IF(AQ839="7",BH839,0)</f>
        <v>0</v>
      </c>
      <c r="AE839" s="54">
        <f>IF(AQ839="7",BI839,0)</f>
        <v>0</v>
      </c>
      <c r="AF839" s="54">
        <f>IF(AQ839="2",BH839,0)</f>
        <v>0</v>
      </c>
      <c r="AG839" s="54">
        <f>IF(AQ839="2",BI839,0)</f>
        <v>0</v>
      </c>
      <c r="AH839" s="54">
        <f>IF(AQ839="0",BJ839,0)</f>
        <v>0</v>
      </c>
      <c r="AI839" s="34" t="s">
        <v>103</v>
      </c>
      <c r="AJ839" s="54">
        <f>IF(AN839=0,I839,0)</f>
        <v>0</v>
      </c>
      <c r="AK839" s="54">
        <f>IF(AN839=12,I839,0)</f>
        <v>0</v>
      </c>
      <c r="AL839" s="54">
        <f>IF(AN839=21,I839,0)</f>
        <v>0</v>
      </c>
      <c r="AN839" s="54">
        <v>21</v>
      </c>
      <c r="AO839" s="54">
        <f>H839*0</f>
        <v>0</v>
      </c>
      <c r="AP839" s="54">
        <f>H839*(1-0)</f>
        <v>0</v>
      </c>
      <c r="AQ839" s="56" t="s">
        <v>150</v>
      </c>
      <c r="AV839" s="54">
        <f>AW839+AX839</f>
        <v>0</v>
      </c>
      <c r="AW839" s="54">
        <f>G839*AO839</f>
        <v>0</v>
      </c>
      <c r="AX839" s="54">
        <f>G839*AP839</f>
        <v>0</v>
      </c>
      <c r="AY839" s="56" t="s">
        <v>1351</v>
      </c>
      <c r="AZ839" s="56" t="s">
        <v>1343</v>
      </c>
      <c r="BA839" s="34" t="s">
        <v>114</v>
      </c>
      <c r="BC839" s="54">
        <f>AW839+AX839</f>
        <v>0</v>
      </c>
      <c r="BD839" s="54">
        <f>H839/(100-BE839)*100</f>
        <v>0</v>
      </c>
      <c r="BE839" s="54">
        <v>0</v>
      </c>
      <c r="BF839" s="54">
        <f>L839</f>
        <v>0</v>
      </c>
      <c r="BH839" s="54">
        <f>G839*AO839</f>
        <v>0</v>
      </c>
      <c r="BI839" s="54">
        <f>G839*AP839</f>
        <v>0</v>
      </c>
      <c r="BJ839" s="54">
        <f>G839*H839</f>
        <v>0</v>
      </c>
      <c r="BK839" s="54"/>
      <c r="BL839" s="54">
        <v>96</v>
      </c>
      <c r="BW839" s="54">
        <v>21</v>
      </c>
      <c r="BX839" s="3" t="s">
        <v>1421</v>
      </c>
    </row>
    <row r="840" spans="1:76" ht="14.5" x14ac:dyDescent="0.35">
      <c r="A840" s="1" t="s">
        <v>1422</v>
      </c>
      <c r="B840" s="2" t="s">
        <v>103</v>
      </c>
      <c r="C840" s="2" t="s">
        <v>1423</v>
      </c>
      <c r="D840" s="155" t="s">
        <v>1424</v>
      </c>
      <c r="E840" s="153"/>
      <c r="F840" s="2" t="s">
        <v>412</v>
      </c>
      <c r="G840" s="54">
        <f>'Stavební rozpočet'!G666</f>
        <v>31.344000000000001</v>
      </c>
      <c r="H840" s="94">
        <f>'Stavební rozpočet'!H666</f>
        <v>0</v>
      </c>
      <c r="I840" s="54">
        <f>G840*H840</f>
        <v>0</v>
      </c>
      <c r="J840" s="54">
        <f>'Stavební rozpočet'!J666</f>
        <v>0</v>
      </c>
      <c r="K840" s="54">
        <f>'Stavební rozpočet'!K666</f>
        <v>0</v>
      </c>
      <c r="L840" s="54">
        <f>G840*J840</f>
        <v>0</v>
      </c>
      <c r="M840" s="55" t="s">
        <v>111</v>
      </c>
      <c r="Z840" s="54">
        <f>IF(AQ840="5",BJ840,0)</f>
        <v>0</v>
      </c>
      <c r="AB840" s="54">
        <f>IF(AQ840="1",BH840,0)</f>
        <v>0</v>
      </c>
      <c r="AC840" s="54">
        <f>IF(AQ840="1",BI840,0)</f>
        <v>0</v>
      </c>
      <c r="AD840" s="54">
        <f>IF(AQ840="7",BH840,0)</f>
        <v>0</v>
      </c>
      <c r="AE840" s="54">
        <f>IF(AQ840="7",BI840,0)</f>
        <v>0</v>
      </c>
      <c r="AF840" s="54">
        <f>IF(AQ840="2",BH840,0)</f>
        <v>0</v>
      </c>
      <c r="AG840" s="54">
        <f>IF(AQ840="2",BI840,0)</f>
        <v>0</v>
      </c>
      <c r="AH840" s="54">
        <f>IF(AQ840="0",BJ840,0)</f>
        <v>0</v>
      </c>
      <c r="AI840" s="34" t="s">
        <v>103</v>
      </c>
      <c r="AJ840" s="54">
        <f>IF(AN840=0,I840,0)</f>
        <v>0</v>
      </c>
      <c r="AK840" s="54">
        <f>IF(AN840=12,I840,0)</f>
        <v>0</v>
      </c>
      <c r="AL840" s="54">
        <f>IF(AN840=21,I840,0)</f>
        <v>0</v>
      </c>
      <c r="AN840" s="54">
        <v>21</v>
      </c>
      <c r="AO840" s="54">
        <f>H840*0</f>
        <v>0</v>
      </c>
      <c r="AP840" s="54">
        <f>H840*(1-0)</f>
        <v>0</v>
      </c>
      <c r="AQ840" s="56" t="s">
        <v>150</v>
      </c>
      <c r="AV840" s="54">
        <f>AW840+AX840</f>
        <v>0</v>
      </c>
      <c r="AW840" s="54">
        <f>G840*AO840</f>
        <v>0</v>
      </c>
      <c r="AX840" s="54">
        <f>G840*AP840</f>
        <v>0</v>
      </c>
      <c r="AY840" s="56" t="s">
        <v>1351</v>
      </c>
      <c r="AZ840" s="56" t="s">
        <v>1343</v>
      </c>
      <c r="BA840" s="34" t="s">
        <v>114</v>
      </c>
      <c r="BC840" s="54">
        <f>AW840+AX840</f>
        <v>0</v>
      </c>
      <c r="BD840" s="54">
        <f>H840/(100-BE840)*100</f>
        <v>0</v>
      </c>
      <c r="BE840" s="54">
        <v>0</v>
      </c>
      <c r="BF840" s="54">
        <f>L840</f>
        <v>0</v>
      </c>
      <c r="BH840" s="54">
        <f>G840*AO840</f>
        <v>0</v>
      </c>
      <c r="BI840" s="54">
        <f>G840*AP840</f>
        <v>0</v>
      </c>
      <c r="BJ840" s="54">
        <f>G840*H840</f>
        <v>0</v>
      </c>
      <c r="BK840" s="54"/>
      <c r="BL840" s="54">
        <v>96</v>
      </c>
      <c r="BW840" s="54">
        <v>21</v>
      </c>
      <c r="BX840" s="3" t="s">
        <v>1424</v>
      </c>
    </row>
    <row r="841" spans="1:76" ht="14.5" x14ac:dyDescent="0.35">
      <c r="A841" s="57"/>
      <c r="D841" s="58" t="s">
        <v>1425</v>
      </c>
      <c r="E841" s="59" t="s">
        <v>10</v>
      </c>
      <c r="G841" s="60">
        <v>31.344000000000001</v>
      </c>
      <c r="M841" s="61"/>
    </row>
    <row r="842" spans="1:76" ht="14.5" x14ac:dyDescent="0.35">
      <c r="A842" s="50" t="s">
        <v>10</v>
      </c>
      <c r="B842" s="51" t="s">
        <v>103</v>
      </c>
      <c r="C842" s="51" t="s">
        <v>698</v>
      </c>
      <c r="D842" s="206" t="s">
        <v>1426</v>
      </c>
      <c r="E842" s="207"/>
      <c r="F842" s="52" t="s">
        <v>84</v>
      </c>
      <c r="G842" s="52" t="s">
        <v>84</v>
      </c>
      <c r="H842" s="52" t="s">
        <v>84</v>
      </c>
      <c r="I842" s="27">
        <f>SUM(I843:I862)</f>
        <v>0</v>
      </c>
      <c r="J842" s="34" t="s">
        <v>10</v>
      </c>
      <c r="K842" s="34" t="s">
        <v>10</v>
      </c>
      <c r="L842" s="27">
        <f>SUM(L843:L862)</f>
        <v>3.7513214000000001</v>
      </c>
      <c r="M842" s="53" t="s">
        <v>10</v>
      </c>
      <c r="AI842" s="34" t="s">
        <v>103</v>
      </c>
      <c r="AS842" s="27">
        <f>SUM(AJ843:AJ862)</f>
        <v>0</v>
      </c>
      <c r="AT842" s="27">
        <f>SUM(AK843:AK862)</f>
        <v>0</v>
      </c>
      <c r="AU842" s="27">
        <f>SUM(AL843:AL862)</f>
        <v>0</v>
      </c>
    </row>
    <row r="843" spans="1:76" ht="14.5" x14ac:dyDescent="0.35">
      <c r="A843" s="1" t="s">
        <v>1427</v>
      </c>
      <c r="B843" s="2" t="s">
        <v>103</v>
      </c>
      <c r="C843" s="2" t="s">
        <v>1428</v>
      </c>
      <c r="D843" s="155" t="s">
        <v>1429</v>
      </c>
      <c r="E843" s="153"/>
      <c r="F843" s="2" t="s">
        <v>153</v>
      </c>
      <c r="G843" s="54">
        <f>'Stavební rozpočet'!G669</f>
        <v>65</v>
      </c>
      <c r="H843" s="94">
        <f>'Stavební rozpočet'!H669</f>
        <v>0</v>
      </c>
      <c r="I843" s="54">
        <f>G843*H843</f>
        <v>0</v>
      </c>
      <c r="J843" s="54">
        <f>'Stavební rozpočet'!J669</f>
        <v>6.2E-4</v>
      </c>
      <c r="K843" s="54">
        <f>'Stavební rozpočet'!K669</f>
        <v>6.2E-4</v>
      </c>
      <c r="L843" s="54">
        <f>G843*J843</f>
        <v>4.0300000000000002E-2</v>
      </c>
      <c r="M843" s="55" t="s">
        <v>111</v>
      </c>
      <c r="Z843" s="54">
        <f>IF(AQ843="5",BJ843,0)</f>
        <v>0</v>
      </c>
      <c r="AB843" s="54">
        <f>IF(AQ843="1",BH843,0)</f>
        <v>0</v>
      </c>
      <c r="AC843" s="54">
        <f>IF(AQ843="1",BI843,0)</f>
        <v>0</v>
      </c>
      <c r="AD843" s="54">
        <f>IF(AQ843="7",BH843,0)</f>
        <v>0</v>
      </c>
      <c r="AE843" s="54">
        <f>IF(AQ843="7",BI843,0)</f>
        <v>0</v>
      </c>
      <c r="AF843" s="54">
        <f>IF(AQ843="2",BH843,0)</f>
        <v>0</v>
      </c>
      <c r="AG843" s="54">
        <f>IF(AQ843="2",BI843,0)</f>
        <v>0</v>
      </c>
      <c r="AH843" s="54">
        <f>IF(AQ843="0",BJ843,0)</f>
        <v>0</v>
      </c>
      <c r="AI843" s="34" t="s">
        <v>103</v>
      </c>
      <c r="AJ843" s="54">
        <f>IF(AN843=0,I843,0)</f>
        <v>0</v>
      </c>
      <c r="AK843" s="54">
        <f>IF(AN843=12,I843,0)</f>
        <v>0</v>
      </c>
      <c r="AL843" s="54">
        <f>IF(AN843=21,I843,0)</f>
        <v>0</v>
      </c>
      <c r="AN843" s="54">
        <v>21</v>
      </c>
      <c r="AO843" s="54">
        <f>H843*0.207022799</f>
        <v>0</v>
      </c>
      <c r="AP843" s="54">
        <f>H843*(1-0.207022799)</f>
        <v>0</v>
      </c>
      <c r="AQ843" s="56" t="s">
        <v>107</v>
      </c>
      <c r="AV843" s="54">
        <f>AW843+AX843</f>
        <v>0</v>
      </c>
      <c r="AW843" s="54">
        <f>G843*AO843</f>
        <v>0</v>
      </c>
      <c r="AX843" s="54">
        <f>G843*AP843</f>
        <v>0</v>
      </c>
      <c r="AY843" s="56" t="s">
        <v>1430</v>
      </c>
      <c r="AZ843" s="56" t="s">
        <v>1343</v>
      </c>
      <c r="BA843" s="34" t="s">
        <v>114</v>
      </c>
      <c r="BC843" s="54">
        <f>AW843+AX843</f>
        <v>0</v>
      </c>
      <c r="BD843" s="54">
        <f>H843/(100-BE843)*100</f>
        <v>0</v>
      </c>
      <c r="BE843" s="54">
        <v>0</v>
      </c>
      <c r="BF843" s="54">
        <f>L843</f>
        <v>4.0300000000000002E-2</v>
      </c>
      <c r="BH843" s="54">
        <f>G843*AO843</f>
        <v>0</v>
      </c>
      <c r="BI843" s="54">
        <f>G843*AP843</f>
        <v>0</v>
      </c>
      <c r="BJ843" s="54">
        <f>G843*H843</f>
        <v>0</v>
      </c>
      <c r="BK843" s="54"/>
      <c r="BL843" s="54">
        <v>97</v>
      </c>
      <c r="BW843" s="54">
        <v>21</v>
      </c>
      <c r="BX843" s="3" t="s">
        <v>1429</v>
      </c>
    </row>
    <row r="844" spans="1:76" ht="14.5" x14ac:dyDescent="0.35">
      <c r="A844" s="57"/>
      <c r="D844" s="58" t="s">
        <v>1431</v>
      </c>
      <c r="E844" s="59" t="s">
        <v>1432</v>
      </c>
      <c r="G844" s="60">
        <v>54.6</v>
      </c>
      <c r="M844" s="61"/>
    </row>
    <row r="845" spans="1:76" ht="14.5" x14ac:dyDescent="0.35">
      <c r="A845" s="57"/>
      <c r="D845" s="58" t="s">
        <v>179</v>
      </c>
      <c r="E845" s="59" t="s">
        <v>1433</v>
      </c>
      <c r="G845" s="60">
        <v>5.2</v>
      </c>
      <c r="M845" s="61"/>
    </row>
    <row r="846" spans="1:76" ht="26" x14ac:dyDescent="0.35">
      <c r="A846" s="57"/>
      <c r="C846" s="62" t="s">
        <v>156</v>
      </c>
      <c r="D846" s="211" t="s">
        <v>1434</v>
      </c>
      <c r="E846" s="212"/>
      <c r="F846" s="212"/>
      <c r="G846" s="212"/>
      <c r="H846" s="212"/>
      <c r="I846" s="212"/>
      <c r="J846" s="212"/>
      <c r="K846" s="212"/>
      <c r="L846" s="212"/>
      <c r="M846" s="213"/>
      <c r="BX846" s="63" t="s">
        <v>1434</v>
      </c>
    </row>
    <row r="847" spans="1:76" ht="14.5" x14ac:dyDescent="0.35">
      <c r="A847" s="57"/>
      <c r="D847" s="58" t="s">
        <v>179</v>
      </c>
      <c r="E847" s="59" t="s">
        <v>1435</v>
      </c>
      <c r="G847" s="60">
        <v>5.2</v>
      </c>
      <c r="M847" s="61"/>
    </row>
    <row r="848" spans="1:76" ht="26" x14ac:dyDescent="0.35">
      <c r="A848" s="57"/>
      <c r="C848" s="62" t="s">
        <v>156</v>
      </c>
      <c r="D848" s="211" t="s">
        <v>1434</v>
      </c>
      <c r="E848" s="212"/>
      <c r="F848" s="212"/>
      <c r="G848" s="212"/>
      <c r="H848" s="212"/>
      <c r="I848" s="212"/>
      <c r="J848" s="212"/>
      <c r="K848" s="212"/>
      <c r="L848" s="212"/>
      <c r="M848" s="213"/>
      <c r="BX848" s="63" t="s">
        <v>1434</v>
      </c>
    </row>
    <row r="849" spans="1:76" ht="14.5" x14ac:dyDescent="0.35">
      <c r="A849" s="1" t="s">
        <v>1436</v>
      </c>
      <c r="B849" s="2" t="s">
        <v>103</v>
      </c>
      <c r="C849" s="2" t="s">
        <v>1437</v>
      </c>
      <c r="D849" s="155" t="s">
        <v>1438</v>
      </c>
      <c r="E849" s="153"/>
      <c r="F849" s="2" t="s">
        <v>153</v>
      </c>
      <c r="G849" s="54">
        <f>'Stavební rozpočet'!G673</f>
        <v>194</v>
      </c>
      <c r="H849" s="94">
        <f>'Stavební rozpočet'!H673</f>
        <v>0</v>
      </c>
      <c r="I849" s="54">
        <f>G849*H849</f>
        <v>0</v>
      </c>
      <c r="J849" s="54">
        <f>'Stavební rozpočet'!J673</f>
        <v>2.1700000000000001E-3</v>
      </c>
      <c r="K849" s="54">
        <f>'Stavební rozpočet'!K673</f>
        <v>2.16E-3</v>
      </c>
      <c r="L849" s="54">
        <f>G849*J849</f>
        <v>0.42098000000000002</v>
      </c>
      <c r="M849" s="55" t="s">
        <v>111</v>
      </c>
      <c r="Z849" s="54">
        <f>IF(AQ849="5",BJ849,0)</f>
        <v>0</v>
      </c>
      <c r="AB849" s="54">
        <f>IF(AQ849="1",BH849,0)</f>
        <v>0</v>
      </c>
      <c r="AC849" s="54">
        <f>IF(AQ849="1",BI849,0)</f>
        <v>0</v>
      </c>
      <c r="AD849" s="54">
        <f>IF(AQ849="7",BH849,0)</f>
        <v>0</v>
      </c>
      <c r="AE849" s="54">
        <f>IF(AQ849="7",BI849,0)</f>
        <v>0</v>
      </c>
      <c r="AF849" s="54">
        <f>IF(AQ849="2",BH849,0)</f>
        <v>0</v>
      </c>
      <c r="AG849" s="54">
        <f>IF(AQ849="2",BI849,0)</f>
        <v>0</v>
      </c>
      <c r="AH849" s="54">
        <f>IF(AQ849="0",BJ849,0)</f>
        <v>0</v>
      </c>
      <c r="AI849" s="34" t="s">
        <v>103</v>
      </c>
      <c r="AJ849" s="54">
        <f>IF(AN849=0,I849,0)</f>
        <v>0</v>
      </c>
      <c r="AK849" s="54">
        <f>IF(AN849=12,I849,0)</f>
        <v>0</v>
      </c>
      <c r="AL849" s="54">
        <f>IF(AN849=21,I849,0)</f>
        <v>0</v>
      </c>
      <c r="AN849" s="54">
        <v>21</v>
      </c>
      <c r="AO849" s="54">
        <f>H849*0.157468354</f>
        <v>0</v>
      </c>
      <c r="AP849" s="54">
        <f>H849*(1-0.157468354)</f>
        <v>0</v>
      </c>
      <c r="AQ849" s="56" t="s">
        <v>107</v>
      </c>
      <c r="AV849" s="54">
        <f>AW849+AX849</f>
        <v>0</v>
      </c>
      <c r="AW849" s="54">
        <f>G849*AO849</f>
        <v>0</v>
      </c>
      <c r="AX849" s="54">
        <f>G849*AP849</f>
        <v>0</v>
      </c>
      <c r="AY849" s="56" t="s">
        <v>1430</v>
      </c>
      <c r="AZ849" s="56" t="s">
        <v>1343</v>
      </c>
      <c r="BA849" s="34" t="s">
        <v>114</v>
      </c>
      <c r="BC849" s="54">
        <f>AW849+AX849</f>
        <v>0</v>
      </c>
      <c r="BD849" s="54">
        <f>H849/(100-BE849)*100</f>
        <v>0</v>
      </c>
      <c r="BE849" s="54">
        <v>0</v>
      </c>
      <c r="BF849" s="54">
        <f>L849</f>
        <v>0.42098000000000002</v>
      </c>
      <c r="BH849" s="54">
        <f>G849*AO849</f>
        <v>0</v>
      </c>
      <c r="BI849" s="54">
        <f>G849*AP849</f>
        <v>0</v>
      </c>
      <c r="BJ849" s="54">
        <f>G849*H849</f>
        <v>0</v>
      </c>
      <c r="BK849" s="54"/>
      <c r="BL849" s="54">
        <v>97</v>
      </c>
      <c r="BW849" s="54">
        <v>21</v>
      </c>
      <c r="BX849" s="3" t="s">
        <v>1438</v>
      </c>
    </row>
    <row r="850" spans="1:76" ht="39" x14ac:dyDescent="0.35">
      <c r="A850" s="57"/>
      <c r="C850" s="62" t="s">
        <v>156</v>
      </c>
      <c r="D850" s="211" t="s">
        <v>1439</v>
      </c>
      <c r="E850" s="212"/>
      <c r="F850" s="212"/>
      <c r="G850" s="212"/>
      <c r="H850" s="212"/>
      <c r="I850" s="212"/>
      <c r="J850" s="212"/>
      <c r="K850" s="212"/>
      <c r="L850" s="212"/>
      <c r="M850" s="213"/>
      <c r="BX850" s="63" t="s">
        <v>1439</v>
      </c>
    </row>
    <row r="851" spans="1:76" ht="14.5" x14ac:dyDescent="0.35">
      <c r="A851" s="1" t="s">
        <v>1440</v>
      </c>
      <c r="B851" s="2" t="s">
        <v>103</v>
      </c>
      <c r="C851" s="2" t="s">
        <v>1441</v>
      </c>
      <c r="D851" s="155" t="s">
        <v>1442</v>
      </c>
      <c r="E851" s="153"/>
      <c r="F851" s="2" t="s">
        <v>153</v>
      </c>
      <c r="G851" s="54">
        <f>'Stavební rozpočet'!G674</f>
        <v>216</v>
      </c>
      <c r="H851" s="94">
        <f>'Stavební rozpočet'!H674</f>
        <v>0</v>
      </c>
      <c r="I851" s="54">
        <f>G851*H851</f>
        <v>0</v>
      </c>
      <c r="J851" s="54">
        <f>'Stavební rozpočet'!J674</f>
        <v>6.0099999999999997E-3</v>
      </c>
      <c r="K851" s="54">
        <f>'Stavební rozpočet'!K674</f>
        <v>6.0000000000000001E-3</v>
      </c>
      <c r="L851" s="54">
        <f>G851*J851</f>
        <v>1.29816</v>
      </c>
      <c r="M851" s="55" t="s">
        <v>111</v>
      </c>
      <c r="Z851" s="54">
        <f>IF(AQ851="5",BJ851,0)</f>
        <v>0</v>
      </c>
      <c r="AB851" s="54">
        <f>IF(AQ851="1",BH851,0)</f>
        <v>0</v>
      </c>
      <c r="AC851" s="54">
        <f>IF(AQ851="1",BI851,0)</f>
        <v>0</v>
      </c>
      <c r="AD851" s="54">
        <f>IF(AQ851="7",BH851,0)</f>
        <v>0</v>
      </c>
      <c r="AE851" s="54">
        <f>IF(AQ851="7",BI851,0)</f>
        <v>0</v>
      </c>
      <c r="AF851" s="54">
        <f>IF(AQ851="2",BH851,0)</f>
        <v>0</v>
      </c>
      <c r="AG851" s="54">
        <f>IF(AQ851="2",BI851,0)</f>
        <v>0</v>
      </c>
      <c r="AH851" s="54">
        <f>IF(AQ851="0",BJ851,0)</f>
        <v>0</v>
      </c>
      <c r="AI851" s="34" t="s">
        <v>103</v>
      </c>
      <c r="AJ851" s="54">
        <f>IF(AN851=0,I851,0)</f>
        <v>0</v>
      </c>
      <c r="AK851" s="54">
        <f>IF(AN851=12,I851,0)</f>
        <v>0</v>
      </c>
      <c r="AL851" s="54">
        <f>IF(AN851=21,I851,0)</f>
        <v>0</v>
      </c>
      <c r="AN851" s="54">
        <v>21</v>
      </c>
      <c r="AO851" s="54">
        <f>H851*0.130610531</f>
        <v>0</v>
      </c>
      <c r="AP851" s="54">
        <f>H851*(1-0.130610531)</f>
        <v>0</v>
      </c>
      <c r="AQ851" s="56" t="s">
        <v>107</v>
      </c>
      <c r="AV851" s="54">
        <f>AW851+AX851</f>
        <v>0</v>
      </c>
      <c r="AW851" s="54">
        <f>G851*AO851</f>
        <v>0</v>
      </c>
      <c r="AX851" s="54">
        <f>G851*AP851</f>
        <v>0</v>
      </c>
      <c r="AY851" s="56" t="s">
        <v>1430</v>
      </c>
      <c r="AZ851" s="56" t="s">
        <v>1343</v>
      </c>
      <c r="BA851" s="34" t="s">
        <v>114</v>
      </c>
      <c r="BC851" s="54">
        <f>AW851+AX851</f>
        <v>0</v>
      </c>
      <c r="BD851" s="54">
        <f>H851/(100-BE851)*100</f>
        <v>0</v>
      </c>
      <c r="BE851" s="54">
        <v>0</v>
      </c>
      <c r="BF851" s="54">
        <f>L851</f>
        <v>1.29816</v>
      </c>
      <c r="BH851" s="54">
        <f>G851*AO851</f>
        <v>0</v>
      </c>
      <c r="BI851" s="54">
        <f>G851*AP851</f>
        <v>0</v>
      </c>
      <c r="BJ851" s="54">
        <f>G851*H851</f>
        <v>0</v>
      </c>
      <c r="BK851" s="54"/>
      <c r="BL851" s="54">
        <v>97</v>
      </c>
      <c r="BW851" s="54">
        <v>21</v>
      </c>
      <c r="BX851" s="3" t="s">
        <v>1442</v>
      </c>
    </row>
    <row r="852" spans="1:76" ht="39" x14ac:dyDescent="0.35">
      <c r="A852" s="57"/>
      <c r="C852" s="62" t="s">
        <v>156</v>
      </c>
      <c r="D852" s="211" t="s">
        <v>1443</v>
      </c>
      <c r="E852" s="212"/>
      <c r="F852" s="212"/>
      <c r="G852" s="212"/>
      <c r="H852" s="212"/>
      <c r="I852" s="212"/>
      <c r="J852" s="212"/>
      <c r="K852" s="212"/>
      <c r="L852" s="212"/>
      <c r="M852" s="213"/>
      <c r="BX852" s="63" t="s">
        <v>1443</v>
      </c>
    </row>
    <row r="853" spans="1:76" ht="14.5" x14ac:dyDescent="0.35">
      <c r="A853" s="1" t="s">
        <v>1444</v>
      </c>
      <c r="B853" s="2" t="s">
        <v>103</v>
      </c>
      <c r="C853" s="2" t="s">
        <v>1445</v>
      </c>
      <c r="D853" s="155" t="s">
        <v>1446</v>
      </c>
      <c r="E853" s="153"/>
      <c r="F853" s="2" t="s">
        <v>153</v>
      </c>
      <c r="G853" s="54">
        <f>'Stavební rozpočet'!G675</f>
        <v>312.14</v>
      </c>
      <c r="H853" s="94">
        <f>'Stavební rozpočet'!H675</f>
        <v>0</v>
      </c>
      <c r="I853" s="54">
        <f>G853*H853</f>
        <v>0</v>
      </c>
      <c r="J853" s="54">
        <f>'Stavební rozpočet'!J675</f>
        <v>6.0099999999999997E-3</v>
      </c>
      <c r="K853" s="54">
        <f>'Stavební rozpočet'!K675</f>
        <v>6.0000000000000001E-3</v>
      </c>
      <c r="L853" s="54">
        <f>G853*J853</f>
        <v>1.8759613999999998</v>
      </c>
      <c r="M853" s="55" t="s">
        <v>111</v>
      </c>
      <c r="Z853" s="54">
        <f>IF(AQ853="5",BJ853,0)</f>
        <v>0</v>
      </c>
      <c r="AB853" s="54">
        <f>IF(AQ853="1",BH853,0)</f>
        <v>0</v>
      </c>
      <c r="AC853" s="54">
        <f>IF(AQ853="1",BI853,0)</f>
        <v>0</v>
      </c>
      <c r="AD853" s="54">
        <f>IF(AQ853="7",BH853,0)</f>
        <v>0</v>
      </c>
      <c r="AE853" s="54">
        <f>IF(AQ853="7",BI853,0)</f>
        <v>0</v>
      </c>
      <c r="AF853" s="54">
        <f>IF(AQ853="2",BH853,0)</f>
        <v>0</v>
      </c>
      <c r="AG853" s="54">
        <f>IF(AQ853="2",BI853,0)</f>
        <v>0</v>
      </c>
      <c r="AH853" s="54">
        <f>IF(AQ853="0",BJ853,0)</f>
        <v>0</v>
      </c>
      <c r="AI853" s="34" t="s">
        <v>103</v>
      </c>
      <c r="AJ853" s="54">
        <f>IF(AN853=0,I853,0)</f>
        <v>0</v>
      </c>
      <c r="AK853" s="54">
        <f>IF(AN853=12,I853,0)</f>
        <v>0</v>
      </c>
      <c r="AL853" s="54">
        <f>IF(AN853=21,I853,0)</f>
        <v>0</v>
      </c>
      <c r="AN853" s="54">
        <v>21</v>
      </c>
      <c r="AO853" s="54">
        <f>H853*0.145923754</f>
        <v>0</v>
      </c>
      <c r="AP853" s="54">
        <f>H853*(1-0.145923754)</f>
        <v>0</v>
      </c>
      <c r="AQ853" s="56" t="s">
        <v>107</v>
      </c>
      <c r="AV853" s="54">
        <f>AW853+AX853</f>
        <v>0</v>
      </c>
      <c r="AW853" s="54">
        <f>G853*AO853</f>
        <v>0</v>
      </c>
      <c r="AX853" s="54">
        <f>G853*AP853</f>
        <v>0</v>
      </c>
      <c r="AY853" s="56" t="s">
        <v>1430</v>
      </c>
      <c r="AZ853" s="56" t="s">
        <v>1343</v>
      </c>
      <c r="BA853" s="34" t="s">
        <v>114</v>
      </c>
      <c r="BC853" s="54">
        <f>AW853+AX853</f>
        <v>0</v>
      </c>
      <c r="BD853" s="54">
        <f>H853/(100-BE853)*100</f>
        <v>0</v>
      </c>
      <c r="BE853" s="54">
        <v>0</v>
      </c>
      <c r="BF853" s="54">
        <f>L853</f>
        <v>1.8759613999999998</v>
      </c>
      <c r="BH853" s="54">
        <f>G853*AO853</f>
        <v>0</v>
      </c>
      <c r="BI853" s="54">
        <f>G853*AP853</f>
        <v>0</v>
      </c>
      <c r="BJ853" s="54">
        <f>G853*H853</f>
        <v>0</v>
      </c>
      <c r="BK853" s="54"/>
      <c r="BL853" s="54">
        <v>97</v>
      </c>
      <c r="BW853" s="54">
        <v>21</v>
      </c>
      <c r="BX853" s="3" t="s">
        <v>1446</v>
      </c>
    </row>
    <row r="854" spans="1:76" ht="14.5" x14ac:dyDescent="0.35">
      <c r="A854" s="57"/>
      <c r="D854" s="58" t="s">
        <v>1447</v>
      </c>
      <c r="E854" s="59" t="s">
        <v>1448</v>
      </c>
      <c r="G854" s="60">
        <v>122.64</v>
      </c>
      <c r="M854" s="61"/>
    </row>
    <row r="855" spans="1:76" ht="14.5" x14ac:dyDescent="0.35">
      <c r="A855" s="57"/>
      <c r="D855" s="58" t="s">
        <v>1449</v>
      </c>
      <c r="E855" s="59" t="s">
        <v>1450</v>
      </c>
      <c r="G855" s="60">
        <v>167.6</v>
      </c>
      <c r="M855" s="61"/>
    </row>
    <row r="856" spans="1:76" ht="14.5" x14ac:dyDescent="0.35">
      <c r="A856" s="57"/>
      <c r="D856" s="58" t="s">
        <v>1451</v>
      </c>
      <c r="E856" s="59" t="s">
        <v>1452</v>
      </c>
      <c r="G856" s="60">
        <v>12.5</v>
      </c>
      <c r="M856" s="61"/>
    </row>
    <row r="857" spans="1:76" ht="39" x14ac:dyDescent="0.35">
      <c r="A857" s="57"/>
      <c r="C857" s="62" t="s">
        <v>156</v>
      </c>
      <c r="D857" s="211" t="s">
        <v>1453</v>
      </c>
      <c r="E857" s="212"/>
      <c r="F857" s="212"/>
      <c r="G857" s="212"/>
      <c r="H857" s="212"/>
      <c r="I857" s="212"/>
      <c r="J857" s="212"/>
      <c r="K857" s="212"/>
      <c r="L857" s="212"/>
      <c r="M857" s="213"/>
      <c r="BX857" s="63" t="s">
        <v>1453</v>
      </c>
    </row>
    <row r="858" spans="1:76" ht="14.5" x14ac:dyDescent="0.35">
      <c r="A858" s="57"/>
      <c r="D858" s="58" t="s">
        <v>1454</v>
      </c>
      <c r="E858" s="59" t="s">
        <v>1455</v>
      </c>
      <c r="G858" s="60">
        <v>9.4</v>
      </c>
      <c r="M858" s="61"/>
    </row>
    <row r="859" spans="1:76" ht="39" x14ac:dyDescent="0.35">
      <c r="A859" s="57"/>
      <c r="C859" s="62" t="s">
        <v>156</v>
      </c>
      <c r="D859" s="211" t="s">
        <v>1453</v>
      </c>
      <c r="E859" s="212"/>
      <c r="F859" s="212"/>
      <c r="G859" s="212"/>
      <c r="H859" s="212"/>
      <c r="I859" s="212"/>
      <c r="J859" s="212"/>
      <c r="K859" s="212"/>
      <c r="L859" s="212"/>
      <c r="M859" s="213"/>
      <c r="BX859" s="63" t="s">
        <v>1453</v>
      </c>
    </row>
    <row r="860" spans="1:76" ht="14.5" x14ac:dyDescent="0.35">
      <c r="A860" s="1" t="s">
        <v>1456</v>
      </c>
      <c r="B860" s="2" t="s">
        <v>103</v>
      </c>
      <c r="C860" s="2" t="s">
        <v>1457</v>
      </c>
      <c r="D860" s="155" t="s">
        <v>1458</v>
      </c>
      <c r="E860" s="153"/>
      <c r="F860" s="2" t="s">
        <v>196</v>
      </c>
      <c r="G860" s="54">
        <f>'Stavební rozpočet'!G680</f>
        <v>207</v>
      </c>
      <c r="H860" s="94">
        <f>'Stavební rozpočet'!H680</f>
        <v>0</v>
      </c>
      <c r="I860" s="54">
        <f>G860*H860</f>
        <v>0</v>
      </c>
      <c r="J860" s="54">
        <f>'Stavební rozpočet'!J680</f>
        <v>5.5999999999999995E-4</v>
      </c>
      <c r="K860" s="54">
        <f>'Stavební rozpočet'!K680</f>
        <v>5.5000000000000003E-4</v>
      </c>
      <c r="L860" s="54">
        <f>G860*J860</f>
        <v>0.11592</v>
      </c>
      <c r="M860" s="55" t="s">
        <v>111</v>
      </c>
      <c r="Z860" s="54">
        <f>IF(AQ860="5",BJ860,0)</f>
        <v>0</v>
      </c>
      <c r="AB860" s="54">
        <f>IF(AQ860="1",BH860,0)</f>
        <v>0</v>
      </c>
      <c r="AC860" s="54">
        <f>IF(AQ860="1",BI860,0)</f>
        <v>0</v>
      </c>
      <c r="AD860" s="54">
        <f>IF(AQ860="7",BH860,0)</f>
        <v>0</v>
      </c>
      <c r="AE860" s="54">
        <f>IF(AQ860="7",BI860,0)</f>
        <v>0</v>
      </c>
      <c r="AF860" s="54">
        <f>IF(AQ860="2",BH860,0)</f>
        <v>0</v>
      </c>
      <c r="AG860" s="54">
        <f>IF(AQ860="2",BI860,0)</f>
        <v>0</v>
      </c>
      <c r="AH860" s="54">
        <f>IF(AQ860="0",BJ860,0)</f>
        <v>0</v>
      </c>
      <c r="AI860" s="34" t="s">
        <v>103</v>
      </c>
      <c r="AJ860" s="54">
        <f>IF(AN860=0,I860,0)</f>
        <v>0</v>
      </c>
      <c r="AK860" s="54">
        <f>IF(AN860=12,I860,0)</f>
        <v>0</v>
      </c>
      <c r="AL860" s="54">
        <f>IF(AN860=21,I860,0)</f>
        <v>0</v>
      </c>
      <c r="AN860" s="54">
        <v>21</v>
      </c>
      <c r="AO860" s="54">
        <f>H860*0.129344262</f>
        <v>0</v>
      </c>
      <c r="AP860" s="54">
        <f>H860*(1-0.129344262)</f>
        <v>0</v>
      </c>
      <c r="AQ860" s="56" t="s">
        <v>107</v>
      </c>
      <c r="AV860" s="54">
        <f>AW860+AX860</f>
        <v>0</v>
      </c>
      <c r="AW860" s="54">
        <f>G860*AO860</f>
        <v>0</v>
      </c>
      <c r="AX860" s="54">
        <f>G860*AP860</f>
        <v>0</v>
      </c>
      <c r="AY860" s="56" t="s">
        <v>1430</v>
      </c>
      <c r="AZ860" s="56" t="s">
        <v>1343</v>
      </c>
      <c r="BA860" s="34" t="s">
        <v>114</v>
      </c>
      <c r="BC860" s="54">
        <f>AW860+AX860</f>
        <v>0</v>
      </c>
      <c r="BD860" s="54">
        <f>H860/(100-BE860)*100</f>
        <v>0</v>
      </c>
      <c r="BE860" s="54">
        <v>0</v>
      </c>
      <c r="BF860" s="54">
        <f>L860</f>
        <v>0.11592</v>
      </c>
      <c r="BH860" s="54">
        <f>G860*AO860</f>
        <v>0</v>
      </c>
      <c r="BI860" s="54">
        <f>G860*AP860</f>
        <v>0</v>
      </c>
      <c r="BJ860" s="54">
        <f>G860*H860</f>
        <v>0</v>
      </c>
      <c r="BK860" s="54"/>
      <c r="BL860" s="54">
        <v>97</v>
      </c>
      <c r="BW860" s="54">
        <v>21</v>
      </c>
      <c r="BX860" s="3" t="s">
        <v>1458</v>
      </c>
    </row>
    <row r="861" spans="1:76" ht="39" x14ac:dyDescent="0.35">
      <c r="A861" s="57"/>
      <c r="C861" s="62" t="s">
        <v>156</v>
      </c>
      <c r="D861" s="211" t="s">
        <v>1459</v>
      </c>
      <c r="E861" s="212"/>
      <c r="F861" s="212"/>
      <c r="G861" s="212"/>
      <c r="H861" s="212"/>
      <c r="I861" s="212"/>
      <c r="J861" s="212"/>
      <c r="K861" s="212"/>
      <c r="L861" s="212"/>
      <c r="M861" s="213"/>
      <c r="BX861" s="63" t="s">
        <v>1459</v>
      </c>
    </row>
    <row r="862" spans="1:76" ht="14.5" x14ac:dyDescent="0.35">
      <c r="A862" s="1" t="s">
        <v>1460</v>
      </c>
      <c r="B862" s="2" t="s">
        <v>103</v>
      </c>
      <c r="C862" s="2" t="s">
        <v>1461</v>
      </c>
      <c r="D862" s="155" t="s">
        <v>1462</v>
      </c>
      <c r="E862" s="153"/>
      <c r="F862" s="2" t="s">
        <v>412</v>
      </c>
      <c r="G862" s="54">
        <f>'Stavební rozpočet'!G681</f>
        <v>9.7240000000000002</v>
      </c>
      <c r="H862" s="94">
        <f>'Stavební rozpočet'!H681</f>
        <v>0</v>
      </c>
      <c r="I862" s="54">
        <f>G862*H862</f>
        <v>0</v>
      </c>
      <c r="J862" s="54">
        <f>'Stavební rozpočet'!J681</f>
        <v>0</v>
      </c>
      <c r="K862" s="54">
        <f>'Stavební rozpočet'!K681</f>
        <v>0</v>
      </c>
      <c r="L862" s="54">
        <f>G862*J862</f>
        <v>0</v>
      </c>
      <c r="M862" s="55" t="s">
        <v>111</v>
      </c>
      <c r="Z862" s="54">
        <f>IF(AQ862="5",BJ862,0)</f>
        <v>0</v>
      </c>
      <c r="AB862" s="54">
        <f>IF(AQ862="1",BH862,0)</f>
        <v>0</v>
      </c>
      <c r="AC862" s="54">
        <f>IF(AQ862="1",BI862,0)</f>
        <v>0</v>
      </c>
      <c r="AD862" s="54">
        <f>IF(AQ862="7",BH862,0)</f>
        <v>0</v>
      </c>
      <c r="AE862" s="54">
        <f>IF(AQ862="7",BI862,0)</f>
        <v>0</v>
      </c>
      <c r="AF862" s="54">
        <f>IF(AQ862="2",BH862,0)</f>
        <v>0</v>
      </c>
      <c r="AG862" s="54">
        <f>IF(AQ862="2",BI862,0)</f>
        <v>0</v>
      </c>
      <c r="AH862" s="54">
        <f>IF(AQ862="0",BJ862,0)</f>
        <v>0</v>
      </c>
      <c r="AI862" s="34" t="s">
        <v>103</v>
      </c>
      <c r="AJ862" s="54">
        <f>IF(AN862=0,I862,0)</f>
        <v>0</v>
      </c>
      <c r="AK862" s="54">
        <f>IF(AN862=12,I862,0)</f>
        <v>0</v>
      </c>
      <c r="AL862" s="54">
        <f>IF(AN862=21,I862,0)</f>
        <v>0</v>
      </c>
      <c r="AN862" s="54">
        <v>21</v>
      </c>
      <c r="AO862" s="54">
        <f>H862*0</f>
        <v>0</v>
      </c>
      <c r="AP862" s="54">
        <f>H862*(1-0)</f>
        <v>0</v>
      </c>
      <c r="AQ862" s="56" t="s">
        <v>150</v>
      </c>
      <c r="AV862" s="54">
        <f>AW862+AX862</f>
        <v>0</v>
      </c>
      <c r="AW862" s="54">
        <f>G862*AO862</f>
        <v>0</v>
      </c>
      <c r="AX862" s="54">
        <f>G862*AP862</f>
        <v>0</v>
      </c>
      <c r="AY862" s="56" t="s">
        <v>1430</v>
      </c>
      <c r="AZ862" s="56" t="s">
        <v>1343</v>
      </c>
      <c r="BA862" s="34" t="s">
        <v>114</v>
      </c>
      <c r="BC862" s="54">
        <f>AW862+AX862</f>
        <v>0</v>
      </c>
      <c r="BD862" s="54">
        <f>H862/(100-BE862)*100</f>
        <v>0</v>
      </c>
      <c r="BE862" s="54">
        <v>0</v>
      </c>
      <c r="BF862" s="54">
        <f>L862</f>
        <v>0</v>
      </c>
      <c r="BH862" s="54">
        <f>G862*AO862</f>
        <v>0</v>
      </c>
      <c r="BI862" s="54">
        <f>G862*AP862</f>
        <v>0</v>
      </c>
      <c r="BJ862" s="54">
        <f>G862*H862</f>
        <v>0</v>
      </c>
      <c r="BK862" s="54"/>
      <c r="BL862" s="54">
        <v>97</v>
      </c>
      <c r="BW862" s="54">
        <v>21</v>
      </c>
      <c r="BX862" s="3" t="s">
        <v>1462</v>
      </c>
    </row>
    <row r="863" spans="1:76" ht="13.5" customHeight="1" x14ac:dyDescent="0.35">
      <c r="A863" s="57"/>
      <c r="C863" s="62" t="s">
        <v>122</v>
      </c>
      <c r="D863" s="214" t="s">
        <v>1463</v>
      </c>
      <c r="E863" s="215"/>
      <c r="F863" s="215"/>
      <c r="G863" s="215"/>
      <c r="H863" s="215"/>
      <c r="I863" s="215"/>
      <c r="J863" s="215"/>
      <c r="K863" s="215"/>
      <c r="L863" s="215"/>
      <c r="M863" s="216"/>
    </row>
    <row r="864" spans="1:76" ht="26" x14ac:dyDescent="0.35">
      <c r="A864" s="57"/>
      <c r="C864" s="62" t="s">
        <v>156</v>
      </c>
      <c r="D864" s="211" t="s">
        <v>1464</v>
      </c>
      <c r="E864" s="212"/>
      <c r="F864" s="212"/>
      <c r="G864" s="212"/>
      <c r="H864" s="212"/>
      <c r="I864" s="212"/>
      <c r="J864" s="212"/>
      <c r="K864" s="212"/>
      <c r="L864" s="212"/>
      <c r="M864" s="213"/>
      <c r="BX864" s="63" t="s">
        <v>1464</v>
      </c>
    </row>
    <row r="865" spans="1:76" ht="14.5" x14ac:dyDescent="0.35">
      <c r="A865" s="50" t="s">
        <v>10</v>
      </c>
      <c r="B865" s="51" t="s">
        <v>103</v>
      </c>
      <c r="C865" s="51" t="s">
        <v>709</v>
      </c>
      <c r="D865" s="206" t="s">
        <v>1465</v>
      </c>
      <c r="E865" s="207"/>
      <c r="F865" s="52" t="s">
        <v>84</v>
      </c>
      <c r="G865" s="52" t="s">
        <v>84</v>
      </c>
      <c r="H865" s="52" t="s">
        <v>84</v>
      </c>
      <c r="I865" s="27">
        <f>SUM(I866:I866)</f>
        <v>0</v>
      </c>
      <c r="J865" s="34" t="s">
        <v>10</v>
      </c>
      <c r="K865" s="34" t="s">
        <v>10</v>
      </c>
      <c r="L865" s="27">
        <f>SUM(L866:L866)</f>
        <v>0</v>
      </c>
      <c r="M865" s="53" t="s">
        <v>10</v>
      </c>
      <c r="AI865" s="34" t="s">
        <v>103</v>
      </c>
      <c r="AS865" s="27">
        <f>SUM(AJ866:AJ866)</f>
        <v>0</v>
      </c>
      <c r="AT865" s="27">
        <f>SUM(AK866:AK866)</f>
        <v>0</v>
      </c>
      <c r="AU865" s="27">
        <f>SUM(AL866:AL866)</f>
        <v>0</v>
      </c>
    </row>
    <row r="866" spans="1:76" ht="14.5" x14ac:dyDescent="0.35">
      <c r="A866" s="1" t="s">
        <v>1466</v>
      </c>
      <c r="B866" s="2" t="s">
        <v>103</v>
      </c>
      <c r="C866" s="2" t="s">
        <v>1467</v>
      </c>
      <c r="D866" s="155" t="s">
        <v>1468</v>
      </c>
      <c r="E866" s="153"/>
      <c r="F866" s="2" t="s">
        <v>412</v>
      </c>
      <c r="G866" s="54">
        <f>'Stavební rozpočet'!G683</f>
        <v>64.001999999999995</v>
      </c>
      <c r="H866" s="94">
        <f>'Stavební rozpočet'!H683</f>
        <v>0</v>
      </c>
      <c r="I866" s="54">
        <f>G866*H866</f>
        <v>0</v>
      </c>
      <c r="J866" s="54">
        <f>'Stavební rozpočet'!J683</f>
        <v>0</v>
      </c>
      <c r="K866" s="54">
        <f>'Stavební rozpočet'!K683</f>
        <v>0</v>
      </c>
      <c r="L866" s="54">
        <f>G866*J866</f>
        <v>0</v>
      </c>
      <c r="M866" s="55" t="s">
        <v>111</v>
      </c>
      <c r="Z866" s="54">
        <f>IF(AQ866="5",BJ866,0)</f>
        <v>0</v>
      </c>
      <c r="AB866" s="54">
        <f>IF(AQ866="1",BH866,0)</f>
        <v>0</v>
      </c>
      <c r="AC866" s="54">
        <f>IF(AQ866="1",BI866,0)</f>
        <v>0</v>
      </c>
      <c r="AD866" s="54">
        <f>IF(AQ866="7",BH866,0)</f>
        <v>0</v>
      </c>
      <c r="AE866" s="54">
        <f>IF(AQ866="7",BI866,0)</f>
        <v>0</v>
      </c>
      <c r="AF866" s="54">
        <f>IF(AQ866="2",BH866,0)</f>
        <v>0</v>
      </c>
      <c r="AG866" s="54">
        <f>IF(AQ866="2",BI866,0)</f>
        <v>0</v>
      </c>
      <c r="AH866" s="54">
        <f>IF(AQ866="0",BJ866,0)</f>
        <v>0</v>
      </c>
      <c r="AI866" s="34" t="s">
        <v>103</v>
      </c>
      <c r="AJ866" s="54">
        <f>IF(AN866=0,I866,0)</f>
        <v>0</v>
      </c>
      <c r="AK866" s="54">
        <f>IF(AN866=12,I866,0)</f>
        <v>0</v>
      </c>
      <c r="AL866" s="54">
        <f>IF(AN866=21,I866,0)</f>
        <v>0</v>
      </c>
      <c r="AN866" s="54">
        <v>21</v>
      </c>
      <c r="AO866" s="54">
        <f>H866*0</f>
        <v>0</v>
      </c>
      <c r="AP866" s="54">
        <f>H866*(1-0)</f>
        <v>0</v>
      </c>
      <c r="AQ866" s="56" t="s">
        <v>150</v>
      </c>
      <c r="AV866" s="54">
        <f>AW866+AX866</f>
        <v>0</v>
      </c>
      <c r="AW866" s="54">
        <f>G866*AO866</f>
        <v>0</v>
      </c>
      <c r="AX866" s="54">
        <f>G866*AP866</f>
        <v>0</v>
      </c>
      <c r="AY866" s="56" t="s">
        <v>1469</v>
      </c>
      <c r="AZ866" s="56" t="s">
        <v>1343</v>
      </c>
      <c r="BA866" s="34" t="s">
        <v>114</v>
      </c>
      <c r="BC866" s="54">
        <f>AW866+AX866</f>
        <v>0</v>
      </c>
      <c r="BD866" s="54">
        <f>H866/(100-BE866)*100</f>
        <v>0</v>
      </c>
      <c r="BE866" s="54">
        <v>0</v>
      </c>
      <c r="BF866" s="54">
        <f>L866</f>
        <v>0</v>
      </c>
      <c r="BH866" s="54">
        <f>G866*AO866</f>
        <v>0</v>
      </c>
      <c r="BI866" s="54">
        <f>G866*AP866</f>
        <v>0</v>
      </c>
      <c r="BJ866" s="54">
        <f>G866*H866</f>
        <v>0</v>
      </c>
      <c r="BK866" s="54"/>
      <c r="BL866" s="54">
        <v>99</v>
      </c>
      <c r="BW866" s="54">
        <v>21</v>
      </c>
      <c r="BX866" s="3" t="s">
        <v>1468</v>
      </c>
    </row>
    <row r="867" spans="1:76" ht="14.5" x14ac:dyDescent="0.35">
      <c r="A867" s="50" t="s">
        <v>10</v>
      </c>
      <c r="B867" s="51" t="s">
        <v>103</v>
      </c>
      <c r="C867" s="51" t="s">
        <v>1470</v>
      </c>
      <c r="D867" s="206" t="s">
        <v>1471</v>
      </c>
      <c r="E867" s="207"/>
      <c r="F867" s="52" t="s">
        <v>84</v>
      </c>
      <c r="G867" s="52" t="s">
        <v>84</v>
      </c>
      <c r="H867" s="52" t="s">
        <v>84</v>
      </c>
      <c r="I867" s="27">
        <f>SUM(I868:I877)</f>
        <v>0</v>
      </c>
      <c r="J867" s="34" t="s">
        <v>10</v>
      </c>
      <c r="K867" s="34" t="s">
        <v>10</v>
      </c>
      <c r="L867" s="27">
        <f>SUM(L868:L877)</f>
        <v>0</v>
      </c>
      <c r="M867" s="53" t="s">
        <v>10</v>
      </c>
      <c r="AI867" s="34" t="s">
        <v>103</v>
      </c>
      <c r="AS867" s="27">
        <f>SUM(AJ868:AJ877)</f>
        <v>0</v>
      </c>
      <c r="AT867" s="27">
        <f>SUM(AK868:AK877)</f>
        <v>0</v>
      </c>
      <c r="AU867" s="27">
        <f>SUM(AL868:AL877)</f>
        <v>0</v>
      </c>
    </row>
    <row r="868" spans="1:76" ht="14.5" x14ac:dyDescent="0.35">
      <c r="A868" s="1" t="s">
        <v>1472</v>
      </c>
      <c r="B868" s="2" t="s">
        <v>103</v>
      </c>
      <c r="C868" s="2" t="s">
        <v>1473</v>
      </c>
      <c r="D868" s="155" t="s">
        <v>1474</v>
      </c>
      <c r="E868" s="153"/>
      <c r="F868" s="2" t="s">
        <v>412</v>
      </c>
      <c r="G868" s="54">
        <f>'Stavební rozpočet'!G685</f>
        <v>25.975000000000001</v>
      </c>
      <c r="H868" s="94">
        <f>'Stavební rozpočet'!H685</f>
        <v>0</v>
      </c>
      <c r="I868" s="54">
        <f>G868*H868</f>
        <v>0</v>
      </c>
      <c r="J868" s="54">
        <f>'Stavební rozpočet'!J685</f>
        <v>0</v>
      </c>
      <c r="K868" s="54">
        <f>'Stavební rozpočet'!K685</f>
        <v>0</v>
      </c>
      <c r="L868" s="54">
        <f>G868*J868</f>
        <v>0</v>
      </c>
      <c r="M868" s="55" t="s">
        <v>111</v>
      </c>
      <c r="Z868" s="54">
        <f>IF(AQ868="5",BJ868,0)</f>
        <v>0</v>
      </c>
      <c r="AB868" s="54">
        <f>IF(AQ868="1",BH868,0)</f>
        <v>0</v>
      </c>
      <c r="AC868" s="54">
        <f>IF(AQ868="1",BI868,0)</f>
        <v>0</v>
      </c>
      <c r="AD868" s="54">
        <f>IF(AQ868="7",BH868,0)</f>
        <v>0</v>
      </c>
      <c r="AE868" s="54">
        <f>IF(AQ868="7",BI868,0)</f>
        <v>0</v>
      </c>
      <c r="AF868" s="54">
        <f>IF(AQ868="2",BH868,0)</f>
        <v>0</v>
      </c>
      <c r="AG868" s="54">
        <f>IF(AQ868="2",BI868,0)</f>
        <v>0</v>
      </c>
      <c r="AH868" s="54">
        <f>IF(AQ868="0",BJ868,0)</f>
        <v>0</v>
      </c>
      <c r="AI868" s="34" t="s">
        <v>103</v>
      </c>
      <c r="AJ868" s="54">
        <f>IF(AN868=0,I868,0)</f>
        <v>0</v>
      </c>
      <c r="AK868" s="54">
        <f>IF(AN868=12,I868,0)</f>
        <v>0</v>
      </c>
      <c r="AL868" s="54">
        <f>IF(AN868=21,I868,0)</f>
        <v>0</v>
      </c>
      <c r="AN868" s="54">
        <v>21</v>
      </c>
      <c r="AO868" s="54">
        <f>H868*0</f>
        <v>0</v>
      </c>
      <c r="AP868" s="54">
        <f>H868*(1-0)</f>
        <v>0</v>
      </c>
      <c r="AQ868" s="56" t="s">
        <v>150</v>
      </c>
      <c r="AV868" s="54">
        <f>AW868+AX868</f>
        <v>0</v>
      </c>
      <c r="AW868" s="54">
        <f>G868*AO868</f>
        <v>0</v>
      </c>
      <c r="AX868" s="54">
        <f>G868*AP868</f>
        <v>0</v>
      </c>
      <c r="AY868" s="56" t="s">
        <v>1475</v>
      </c>
      <c r="AZ868" s="56" t="s">
        <v>1343</v>
      </c>
      <c r="BA868" s="34" t="s">
        <v>114</v>
      </c>
      <c r="BC868" s="54">
        <f>AW868+AX868</f>
        <v>0</v>
      </c>
      <c r="BD868" s="54">
        <f>H868/(100-BE868)*100</f>
        <v>0</v>
      </c>
      <c r="BE868" s="54">
        <v>0</v>
      </c>
      <c r="BF868" s="54">
        <f>L868</f>
        <v>0</v>
      </c>
      <c r="BH868" s="54">
        <f>G868*AO868</f>
        <v>0</v>
      </c>
      <c r="BI868" s="54">
        <f>G868*AP868</f>
        <v>0</v>
      </c>
      <c r="BJ868" s="54">
        <f>G868*H868</f>
        <v>0</v>
      </c>
      <c r="BK868" s="54"/>
      <c r="BL868" s="54"/>
      <c r="BW868" s="54">
        <v>21</v>
      </c>
      <c r="BX868" s="3" t="s">
        <v>1474</v>
      </c>
    </row>
    <row r="869" spans="1:76" ht="27" customHeight="1" x14ac:dyDescent="0.35">
      <c r="A869" s="57"/>
      <c r="C869" s="62" t="s">
        <v>122</v>
      </c>
      <c r="D869" s="214" t="s">
        <v>1476</v>
      </c>
      <c r="E869" s="215"/>
      <c r="F869" s="215"/>
      <c r="G869" s="215"/>
      <c r="H869" s="215"/>
      <c r="I869" s="215"/>
      <c r="J869" s="215"/>
      <c r="K869" s="215"/>
      <c r="L869" s="215"/>
      <c r="M869" s="216"/>
    </row>
    <row r="870" spans="1:76" ht="14.5" x14ac:dyDescent="0.35">
      <c r="A870" s="1" t="s">
        <v>1477</v>
      </c>
      <c r="B870" s="2" t="s">
        <v>103</v>
      </c>
      <c r="C870" s="2" t="s">
        <v>1478</v>
      </c>
      <c r="D870" s="155" t="s">
        <v>1479</v>
      </c>
      <c r="E870" s="153"/>
      <c r="F870" s="2" t="s">
        <v>412</v>
      </c>
      <c r="G870" s="54">
        <f>'Stavební rozpočet'!G686</f>
        <v>623.4</v>
      </c>
      <c r="H870" s="94">
        <f>'Stavební rozpočet'!H686</f>
        <v>0</v>
      </c>
      <c r="I870" s="54">
        <f>G870*H870</f>
        <v>0</v>
      </c>
      <c r="J870" s="54">
        <f>'Stavební rozpočet'!J686</f>
        <v>0</v>
      </c>
      <c r="K870" s="54">
        <f>'Stavební rozpočet'!K686</f>
        <v>0</v>
      </c>
      <c r="L870" s="54">
        <f>G870*J870</f>
        <v>0</v>
      </c>
      <c r="M870" s="55" t="s">
        <v>111</v>
      </c>
      <c r="Z870" s="54">
        <f>IF(AQ870="5",BJ870,0)</f>
        <v>0</v>
      </c>
      <c r="AB870" s="54">
        <f>IF(AQ870="1",BH870,0)</f>
        <v>0</v>
      </c>
      <c r="AC870" s="54">
        <f>IF(AQ870="1",BI870,0)</f>
        <v>0</v>
      </c>
      <c r="AD870" s="54">
        <f>IF(AQ870="7",BH870,0)</f>
        <v>0</v>
      </c>
      <c r="AE870" s="54">
        <f>IF(AQ870="7",BI870,0)</f>
        <v>0</v>
      </c>
      <c r="AF870" s="54">
        <f>IF(AQ870="2",BH870,0)</f>
        <v>0</v>
      </c>
      <c r="AG870" s="54">
        <f>IF(AQ870="2",BI870,0)</f>
        <v>0</v>
      </c>
      <c r="AH870" s="54">
        <f>IF(AQ870="0",BJ870,0)</f>
        <v>0</v>
      </c>
      <c r="AI870" s="34" t="s">
        <v>103</v>
      </c>
      <c r="AJ870" s="54">
        <f>IF(AN870=0,I870,0)</f>
        <v>0</v>
      </c>
      <c r="AK870" s="54">
        <f>IF(AN870=12,I870,0)</f>
        <v>0</v>
      </c>
      <c r="AL870" s="54">
        <f>IF(AN870=21,I870,0)</f>
        <v>0</v>
      </c>
      <c r="AN870" s="54">
        <v>21</v>
      </c>
      <c r="AO870" s="54">
        <f>H870*0</f>
        <v>0</v>
      </c>
      <c r="AP870" s="54">
        <f>H870*(1-0)</f>
        <v>0</v>
      </c>
      <c r="AQ870" s="56" t="s">
        <v>150</v>
      </c>
      <c r="AV870" s="54">
        <f>AW870+AX870</f>
        <v>0</v>
      </c>
      <c r="AW870" s="54">
        <f>G870*AO870</f>
        <v>0</v>
      </c>
      <c r="AX870" s="54">
        <f>G870*AP870</f>
        <v>0</v>
      </c>
      <c r="AY870" s="56" t="s">
        <v>1475</v>
      </c>
      <c r="AZ870" s="56" t="s">
        <v>1343</v>
      </c>
      <c r="BA870" s="34" t="s">
        <v>114</v>
      </c>
      <c r="BC870" s="54">
        <f>AW870+AX870</f>
        <v>0</v>
      </c>
      <c r="BD870" s="54">
        <f>H870/(100-BE870)*100</f>
        <v>0</v>
      </c>
      <c r="BE870" s="54">
        <v>0</v>
      </c>
      <c r="BF870" s="54">
        <f>L870</f>
        <v>0</v>
      </c>
      <c r="BH870" s="54">
        <f>G870*AO870</f>
        <v>0</v>
      </c>
      <c r="BI870" s="54">
        <f>G870*AP870</f>
        <v>0</v>
      </c>
      <c r="BJ870" s="54">
        <f>G870*H870</f>
        <v>0</v>
      </c>
      <c r="BK870" s="54"/>
      <c r="BL870" s="54"/>
      <c r="BW870" s="54">
        <v>21</v>
      </c>
      <c r="BX870" s="3" t="s">
        <v>1479</v>
      </c>
    </row>
    <row r="871" spans="1:76" ht="13.5" customHeight="1" x14ac:dyDescent="0.35">
      <c r="A871" s="57"/>
      <c r="C871" s="62" t="s">
        <v>122</v>
      </c>
      <c r="D871" s="214" t="s">
        <v>1480</v>
      </c>
      <c r="E871" s="215"/>
      <c r="F871" s="215"/>
      <c r="G871" s="215"/>
      <c r="H871" s="215"/>
      <c r="I871" s="215"/>
      <c r="J871" s="215"/>
      <c r="K871" s="215"/>
      <c r="L871" s="215"/>
      <c r="M871" s="216"/>
    </row>
    <row r="872" spans="1:76" ht="14.5" x14ac:dyDescent="0.35">
      <c r="A872" s="57"/>
      <c r="D872" s="58" t="s">
        <v>1481</v>
      </c>
      <c r="E872" s="59" t="s">
        <v>1482</v>
      </c>
      <c r="G872" s="60">
        <v>623.4</v>
      </c>
      <c r="M872" s="61"/>
    </row>
    <row r="873" spans="1:76" ht="14.5" x14ac:dyDescent="0.35">
      <c r="A873" s="1" t="s">
        <v>1483</v>
      </c>
      <c r="B873" s="2" t="s">
        <v>103</v>
      </c>
      <c r="C873" s="2" t="s">
        <v>1484</v>
      </c>
      <c r="D873" s="155" t="s">
        <v>1485</v>
      </c>
      <c r="E873" s="153"/>
      <c r="F873" s="2" t="s">
        <v>412</v>
      </c>
      <c r="G873" s="54">
        <f>'Stavební rozpočet'!G688</f>
        <v>9.7240000000000002</v>
      </c>
      <c r="H873" s="94">
        <v>0</v>
      </c>
      <c r="I873" s="54">
        <f>G873*H873</f>
        <v>0</v>
      </c>
      <c r="J873" s="54">
        <f>'Stavební rozpočet'!J688</f>
        <v>0</v>
      </c>
      <c r="K873" s="54">
        <f>'Stavební rozpočet'!K688</f>
        <v>0</v>
      </c>
      <c r="L873" s="54">
        <f>G873*J873</f>
        <v>0</v>
      </c>
      <c r="M873" s="55" t="s">
        <v>111</v>
      </c>
      <c r="Z873" s="54">
        <f>IF(AQ873="5",BJ873,0)</f>
        <v>0</v>
      </c>
      <c r="AB873" s="54">
        <f>IF(AQ873="1",BH873,0)</f>
        <v>0</v>
      </c>
      <c r="AC873" s="54">
        <f>IF(AQ873="1",BI873,0)</f>
        <v>0</v>
      </c>
      <c r="AD873" s="54">
        <f>IF(AQ873="7",BH873,0)</f>
        <v>0</v>
      </c>
      <c r="AE873" s="54">
        <f>IF(AQ873="7",BI873,0)</f>
        <v>0</v>
      </c>
      <c r="AF873" s="54">
        <f>IF(AQ873="2",BH873,0)</f>
        <v>0</v>
      </c>
      <c r="AG873" s="54">
        <f>IF(AQ873="2",BI873,0)</f>
        <v>0</v>
      </c>
      <c r="AH873" s="54">
        <f>IF(AQ873="0",BJ873,0)</f>
        <v>0</v>
      </c>
      <c r="AI873" s="34" t="s">
        <v>103</v>
      </c>
      <c r="AJ873" s="54">
        <f>IF(AN873=0,I873,0)</f>
        <v>0</v>
      </c>
      <c r="AK873" s="54">
        <f>IF(AN873=12,I873,0)</f>
        <v>0</v>
      </c>
      <c r="AL873" s="54">
        <f>IF(AN873=21,I873,0)</f>
        <v>0</v>
      </c>
      <c r="AN873" s="54">
        <v>21</v>
      </c>
      <c r="AO873" s="54">
        <f>H873*0</f>
        <v>0</v>
      </c>
      <c r="AP873" s="54">
        <f>H873*(1-0)</f>
        <v>0</v>
      </c>
      <c r="AQ873" s="56" t="s">
        <v>150</v>
      </c>
      <c r="AV873" s="54">
        <f>AW873+AX873</f>
        <v>0</v>
      </c>
      <c r="AW873" s="54">
        <f>G873*AO873</f>
        <v>0</v>
      </c>
      <c r="AX873" s="54">
        <f>G873*AP873</f>
        <v>0</v>
      </c>
      <c r="AY873" s="56" t="s">
        <v>1475</v>
      </c>
      <c r="AZ873" s="56" t="s">
        <v>1343</v>
      </c>
      <c r="BA873" s="34" t="s">
        <v>114</v>
      </c>
      <c r="BC873" s="54">
        <f>AW873+AX873</f>
        <v>0</v>
      </c>
      <c r="BD873" s="54">
        <f>H873/(100-BE873)*100</f>
        <v>0</v>
      </c>
      <c r="BE873" s="54">
        <v>0</v>
      </c>
      <c r="BF873" s="54">
        <f>L873</f>
        <v>0</v>
      </c>
      <c r="BH873" s="54">
        <f>G873*AO873</f>
        <v>0</v>
      </c>
      <c r="BI873" s="54">
        <f>G873*AP873</f>
        <v>0</v>
      </c>
      <c r="BJ873" s="54">
        <f>G873*H873</f>
        <v>0</v>
      </c>
      <c r="BK873" s="54"/>
      <c r="BL873" s="54"/>
      <c r="BW873" s="54">
        <v>21</v>
      </c>
      <c r="BX873" s="3" t="s">
        <v>1485</v>
      </c>
    </row>
    <row r="874" spans="1:76" ht="39" x14ac:dyDescent="0.35">
      <c r="A874" s="57"/>
      <c r="C874" s="62" t="s">
        <v>156</v>
      </c>
      <c r="D874" s="211" t="s">
        <v>1486</v>
      </c>
      <c r="E874" s="212"/>
      <c r="F874" s="212"/>
      <c r="G874" s="212"/>
      <c r="H874" s="212"/>
      <c r="I874" s="212"/>
      <c r="J874" s="212"/>
      <c r="K874" s="212"/>
      <c r="L874" s="212"/>
      <c r="M874" s="213"/>
      <c r="BX874" s="63" t="s">
        <v>1486</v>
      </c>
    </row>
    <row r="875" spans="1:76" ht="14.5" x14ac:dyDescent="0.35">
      <c r="A875" s="1" t="s">
        <v>1487</v>
      </c>
      <c r="B875" s="2" t="s">
        <v>103</v>
      </c>
      <c r="C875" s="2" t="s">
        <v>1488</v>
      </c>
      <c r="D875" s="155" t="s">
        <v>1489</v>
      </c>
      <c r="E875" s="153"/>
      <c r="F875" s="2" t="s">
        <v>412</v>
      </c>
      <c r="G875" s="54">
        <f>'Stavební rozpočet'!G689</f>
        <v>1.9239999999999999</v>
      </c>
      <c r="H875" s="94">
        <f>'Stavební rozpočet'!H689</f>
        <v>0</v>
      </c>
      <c r="I875" s="54">
        <f>G875*H875</f>
        <v>0</v>
      </c>
      <c r="J875" s="54">
        <f>'Stavební rozpočet'!J689</f>
        <v>0</v>
      </c>
      <c r="K875" s="54">
        <f>'Stavební rozpočet'!K689</f>
        <v>0</v>
      </c>
      <c r="L875" s="54">
        <f>G875*J875</f>
        <v>0</v>
      </c>
      <c r="M875" s="55" t="s">
        <v>111</v>
      </c>
      <c r="Z875" s="54">
        <f>IF(AQ875="5",BJ875,0)</f>
        <v>0</v>
      </c>
      <c r="AB875" s="54">
        <f>IF(AQ875="1",BH875,0)</f>
        <v>0</v>
      </c>
      <c r="AC875" s="54">
        <f>IF(AQ875="1",BI875,0)</f>
        <v>0</v>
      </c>
      <c r="AD875" s="54">
        <f>IF(AQ875="7",BH875,0)</f>
        <v>0</v>
      </c>
      <c r="AE875" s="54">
        <f>IF(AQ875="7",BI875,0)</f>
        <v>0</v>
      </c>
      <c r="AF875" s="54">
        <f>IF(AQ875="2",BH875,0)</f>
        <v>0</v>
      </c>
      <c r="AG875" s="54">
        <f>IF(AQ875="2",BI875,0)</f>
        <v>0</v>
      </c>
      <c r="AH875" s="54">
        <f>IF(AQ875="0",BJ875,0)</f>
        <v>0</v>
      </c>
      <c r="AI875" s="34" t="s">
        <v>103</v>
      </c>
      <c r="AJ875" s="54">
        <f>IF(AN875=0,I875,0)</f>
        <v>0</v>
      </c>
      <c r="AK875" s="54">
        <f>IF(AN875=12,I875,0)</f>
        <v>0</v>
      </c>
      <c r="AL875" s="54">
        <f>IF(AN875=21,I875,0)</f>
        <v>0</v>
      </c>
      <c r="AN875" s="54">
        <v>21</v>
      </c>
      <c r="AO875" s="54">
        <f>H875*0</f>
        <v>0</v>
      </c>
      <c r="AP875" s="54">
        <f>H875*(1-0)</f>
        <v>0</v>
      </c>
      <c r="AQ875" s="56" t="s">
        <v>150</v>
      </c>
      <c r="AV875" s="54">
        <f>AW875+AX875</f>
        <v>0</v>
      </c>
      <c r="AW875" s="54">
        <f>G875*AO875</f>
        <v>0</v>
      </c>
      <c r="AX875" s="54">
        <f>G875*AP875</f>
        <v>0</v>
      </c>
      <c r="AY875" s="56" t="s">
        <v>1475</v>
      </c>
      <c r="AZ875" s="56" t="s">
        <v>1343</v>
      </c>
      <c r="BA875" s="34" t="s">
        <v>114</v>
      </c>
      <c r="BC875" s="54">
        <f>AW875+AX875</f>
        <v>0</v>
      </c>
      <c r="BD875" s="54">
        <f>H875/(100-BE875)*100</f>
        <v>0</v>
      </c>
      <c r="BE875" s="54">
        <v>0</v>
      </c>
      <c r="BF875" s="54">
        <f>L875</f>
        <v>0</v>
      </c>
      <c r="BH875" s="54">
        <f>G875*AO875</f>
        <v>0</v>
      </c>
      <c r="BI875" s="54">
        <f>G875*AP875</f>
        <v>0</v>
      </c>
      <c r="BJ875" s="54">
        <f>G875*H875</f>
        <v>0</v>
      </c>
      <c r="BK875" s="54"/>
      <c r="BL875" s="54"/>
      <c r="BW875" s="54">
        <v>21</v>
      </c>
      <c r="BX875" s="3" t="s">
        <v>1489</v>
      </c>
    </row>
    <row r="876" spans="1:76" ht="39" x14ac:dyDescent="0.35">
      <c r="A876" s="57"/>
      <c r="C876" s="62" t="s">
        <v>156</v>
      </c>
      <c r="D876" s="211" t="s">
        <v>1486</v>
      </c>
      <c r="E876" s="212"/>
      <c r="F876" s="212"/>
      <c r="G876" s="212"/>
      <c r="H876" s="212"/>
      <c r="I876" s="212"/>
      <c r="J876" s="212"/>
      <c r="K876" s="212"/>
      <c r="L876" s="212"/>
      <c r="M876" s="213"/>
      <c r="BX876" s="63" t="s">
        <v>1486</v>
      </c>
    </row>
    <row r="877" spans="1:76" ht="14.5" x14ac:dyDescent="0.35">
      <c r="A877" s="1" t="s">
        <v>1490</v>
      </c>
      <c r="B877" s="2" t="s">
        <v>103</v>
      </c>
      <c r="C877" s="2" t="s">
        <v>1491</v>
      </c>
      <c r="D877" s="155" t="s">
        <v>1492</v>
      </c>
      <c r="E877" s="153"/>
      <c r="F877" s="2" t="s">
        <v>412</v>
      </c>
      <c r="G877" s="54">
        <f>'Stavební rozpočet'!G690</f>
        <v>14.327</v>
      </c>
      <c r="H877" s="94">
        <f>'Stavební rozpočet'!H690</f>
        <v>0</v>
      </c>
      <c r="I877" s="54">
        <f>G877*H877</f>
        <v>0</v>
      </c>
      <c r="J877" s="54">
        <f>'Stavební rozpočet'!J690</f>
        <v>0</v>
      </c>
      <c r="K877" s="54">
        <f>'Stavební rozpočet'!K690</f>
        <v>0</v>
      </c>
      <c r="L877" s="54">
        <f>G877*J877</f>
        <v>0</v>
      </c>
      <c r="M877" s="55" t="s">
        <v>111</v>
      </c>
      <c r="Z877" s="54">
        <f>IF(AQ877="5",BJ877,0)</f>
        <v>0</v>
      </c>
      <c r="AB877" s="54">
        <f>IF(AQ877="1",BH877,0)</f>
        <v>0</v>
      </c>
      <c r="AC877" s="54">
        <f>IF(AQ877="1",BI877,0)</f>
        <v>0</v>
      </c>
      <c r="AD877" s="54">
        <f>IF(AQ877="7",BH877,0)</f>
        <v>0</v>
      </c>
      <c r="AE877" s="54">
        <f>IF(AQ877="7",BI877,0)</f>
        <v>0</v>
      </c>
      <c r="AF877" s="54">
        <f>IF(AQ877="2",BH877,0)</f>
        <v>0</v>
      </c>
      <c r="AG877" s="54">
        <f>IF(AQ877="2",BI877,0)</f>
        <v>0</v>
      </c>
      <c r="AH877" s="54">
        <f>IF(AQ877="0",BJ877,0)</f>
        <v>0</v>
      </c>
      <c r="AI877" s="34" t="s">
        <v>103</v>
      </c>
      <c r="AJ877" s="54">
        <f>IF(AN877=0,I877,0)</f>
        <v>0</v>
      </c>
      <c r="AK877" s="54">
        <f>IF(AN877=12,I877,0)</f>
        <v>0</v>
      </c>
      <c r="AL877" s="54">
        <f>IF(AN877=21,I877,0)</f>
        <v>0</v>
      </c>
      <c r="AN877" s="54">
        <v>21</v>
      </c>
      <c r="AO877" s="54">
        <f>H877*0</f>
        <v>0</v>
      </c>
      <c r="AP877" s="54">
        <f>H877*(1-0)</f>
        <v>0</v>
      </c>
      <c r="AQ877" s="56" t="s">
        <v>150</v>
      </c>
      <c r="AV877" s="54">
        <f>AW877+AX877</f>
        <v>0</v>
      </c>
      <c r="AW877" s="54">
        <f>G877*AO877</f>
        <v>0</v>
      </c>
      <c r="AX877" s="54">
        <f>G877*AP877</f>
        <v>0</v>
      </c>
      <c r="AY877" s="56" t="s">
        <v>1475</v>
      </c>
      <c r="AZ877" s="56" t="s">
        <v>1343</v>
      </c>
      <c r="BA877" s="34" t="s">
        <v>114</v>
      </c>
      <c r="BC877" s="54">
        <f>AW877+AX877</f>
        <v>0</v>
      </c>
      <c r="BD877" s="54">
        <f>H877/(100-BE877)*100</f>
        <v>0</v>
      </c>
      <c r="BE877" s="54">
        <v>0</v>
      </c>
      <c r="BF877" s="54">
        <f>L877</f>
        <v>0</v>
      </c>
      <c r="BH877" s="54">
        <f>G877*AO877</f>
        <v>0</v>
      </c>
      <c r="BI877" s="54">
        <f>G877*AP877</f>
        <v>0</v>
      </c>
      <c r="BJ877" s="54">
        <f>G877*H877</f>
        <v>0</v>
      </c>
      <c r="BK877" s="54"/>
      <c r="BL877" s="54"/>
      <c r="BW877" s="54">
        <v>21</v>
      </c>
      <c r="BX877" s="3" t="s">
        <v>1492</v>
      </c>
    </row>
    <row r="878" spans="1:76" ht="26" x14ac:dyDescent="0.35">
      <c r="A878" s="57"/>
      <c r="C878" s="62" t="s">
        <v>156</v>
      </c>
      <c r="D878" s="211" t="s">
        <v>1493</v>
      </c>
      <c r="E878" s="212"/>
      <c r="F878" s="212"/>
      <c r="G878" s="212"/>
      <c r="H878" s="212"/>
      <c r="I878" s="212"/>
      <c r="J878" s="212"/>
      <c r="K878" s="212"/>
      <c r="L878" s="212"/>
      <c r="M878" s="213"/>
      <c r="BX878" s="63" t="s">
        <v>1493</v>
      </c>
    </row>
    <row r="879" spans="1:76" ht="14.5" x14ac:dyDescent="0.35">
      <c r="A879" s="50" t="s">
        <v>10</v>
      </c>
      <c r="B879" s="51" t="s">
        <v>103</v>
      </c>
      <c r="C879" s="51" t="s">
        <v>10</v>
      </c>
      <c r="D879" s="206" t="s">
        <v>1494</v>
      </c>
      <c r="E879" s="207"/>
      <c r="F879" s="52" t="s">
        <v>84</v>
      </c>
      <c r="G879" s="52" t="s">
        <v>84</v>
      </c>
      <c r="H879" s="52" t="s">
        <v>84</v>
      </c>
      <c r="I879" s="27">
        <f>SUM(I880:I884)</f>
        <v>0</v>
      </c>
      <c r="J879" s="34" t="s">
        <v>10</v>
      </c>
      <c r="K879" s="34" t="s">
        <v>10</v>
      </c>
      <c r="L879" s="27">
        <f>SUM(L880:L884)</f>
        <v>0</v>
      </c>
      <c r="M879" s="53" t="s">
        <v>10</v>
      </c>
      <c r="AI879" s="34" t="s">
        <v>103</v>
      </c>
      <c r="AS879" s="27">
        <f>SUM(AJ880:AJ884)</f>
        <v>0</v>
      </c>
      <c r="AT879" s="27">
        <f>SUM(AK880:AK884)</f>
        <v>0</v>
      </c>
      <c r="AU879" s="27">
        <f>SUM(AL880:AL884)</f>
        <v>0</v>
      </c>
    </row>
    <row r="880" spans="1:76" ht="25" x14ac:dyDescent="0.35">
      <c r="A880" s="1" t="s">
        <v>1495</v>
      </c>
      <c r="B880" s="2" t="s">
        <v>103</v>
      </c>
      <c r="C880" s="2" t="s">
        <v>1496</v>
      </c>
      <c r="D880" s="155" t="s">
        <v>1497</v>
      </c>
      <c r="E880" s="153"/>
      <c r="F880" s="2" t="s">
        <v>581</v>
      </c>
      <c r="G880" s="54">
        <f>'Stavební rozpočet'!G692</f>
        <v>24</v>
      </c>
      <c r="H880" s="94">
        <f>'Stavební rozpočet'!H692</f>
        <v>0</v>
      </c>
      <c r="I880" s="54">
        <f>G880*H880</f>
        <v>0</v>
      </c>
      <c r="J880" s="54">
        <f>'Stavební rozpočet'!J692</f>
        <v>0</v>
      </c>
      <c r="K880" s="54">
        <f>'Stavební rozpočet'!K692</f>
        <v>0</v>
      </c>
      <c r="L880" s="54">
        <f>G880*J880</f>
        <v>0</v>
      </c>
      <c r="M880" s="55" t="s">
        <v>10</v>
      </c>
      <c r="Z880" s="54">
        <f>IF(AQ880="5",BJ880,0)</f>
        <v>0</v>
      </c>
      <c r="AB880" s="54">
        <f>IF(AQ880="1",BH880,0)</f>
        <v>0</v>
      </c>
      <c r="AC880" s="54">
        <f>IF(AQ880="1",BI880,0)</f>
        <v>0</v>
      </c>
      <c r="AD880" s="54">
        <f>IF(AQ880="7",BH880,0)</f>
        <v>0</v>
      </c>
      <c r="AE880" s="54">
        <f>IF(AQ880="7",BI880,0)</f>
        <v>0</v>
      </c>
      <c r="AF880" s="54">
        <f>IF(AQ880="2",BH880,0)</f>
        <v>0</v>
      </c>
      <c r="AG880" s="54">
        <f>IF(AQ880="2",BI880,0)</f>
        <v>0</v>
      </c>
      <c r="AH880" s="54">
        <f>IF(AQ880="0",BJ880,0)</f>
        <v>0</v>
      </c>
      <c r="AI880" s="34" t="s">
        <v>103</v>
      </c>
      <c r="AJ880" s="54">
        <f>IF(AN880=0,I880,0)</f>
        <v>0</v>
      </c>
      <c r="AK880" s="54">
        <f>IF(AN880=12,I880,0)</f>
        <v>0</v>
      </c>
      <c r="AL880" s="54">
        <f>IF(AN880=21,I880,0)</f>
        <v>0</v>
      </c>
      <c r="AN880" s="54">
        <v>21</v>
      </c>
      <c r="AO880" s="54">
        <f>H880*0</f>
        <v>0</v>
      </c>
      <c r="AP880" s="54">
        <f>H880*(1-0)</f>
        <v>0</v>
      </c>
      <c r="AQ880" s="56" t="s">
        <v>107</v>
      </c>
      <c r="AV880" s="54">
        <f>AW880+AX880</f>
        <v>0</v>
      </c>
      <c r="AW880" s="54">
        <f>G880*AO880</f>
        <v>0</v>
      </c>
      <c r="AX880" s="54">
        <f>G880*AP880</f>
        <v>0</v>
      </c>
      <c r="AY880" s="56" t="s">
        <v>1498</v>
      </c>
      <c r="AZ880" s="56" t="s">
        <v>1499</v>
      </c>
      <c r="BA880" s="34" t="s">
        <v>114</v>
      </c>
      <c r="BC880" s="54">
        <f>AW880+AX880</f>
        <v>0</v>
      </c>
      <c r="BD880" s="54">
        <f>H880/(100-BE880)*100</f>
        <v>0</v>
      </c>
      <c r="BE880" s="54">
        <v>0</v>
      </c>
      <c r="BF880" s="54">
        <f>L880</f>
        <v>0</v>
      </c>
      <c r="BH880" s="54">
        <f>G880*AO880</f>
        <v>0</v>
      </c>
      <c r="BI880" s="54">
        <f>G880*AP880</f>
        <v>0</v>
      </c>
      <c r="BJ880" s="54">
        <f>G880*H880</f>
        <v>0</v>
      </c>
      <c r="BK880" s="54"/>
      <c r="BL880" s="54"/>
      <c r="BW880" s="54">
        <v>21</v>
      </c>
      <c r="BX880" s="3" t="s">
        <v>1497</v>
      </c>
    </row>
    <row r="881" spans="1:76" ht="13.5" customHeight="1" x14ac:dyDescent="0.35">
      <c r="A881" s="57"/>
      <c r="C881" s="62" t="s">
        <v>122</v>
      </c>
      <c r="D881" s="214" t="s">
        <v>1500</v>
      </c>
      <c r="E881" s="215"/>
      <c r="F881" s="215"/>
      <c r="G881" s="215"/>
      <c r="H881" s="215"/>
      <c r="I881" s="215"/>
      <c r="J881" s="215"/>
      <c r="K881" s="215"/>
      <c r="L881" s="215"/>
      <c r="M881" s="216"/>
    </row>
    <row r="882" spans="1:76" ht="25" x14ac:dyDescent="0.35">
      <c r="A882" s="1" t="s">
        <v>1501</v>
      </c>
      <c r="B882" s="2" t="s">
        <v>103</v>
      </c>
      <c r="C882" s="2" t="s">
        <v>1502</v>
      </c>
      <c r="D882" s="155" t="s">
        <v>1503</v>
      </c>
      <c r="E882" s="153"/>
      <c r="F882" s="2" t="s">
        <v>581</v>
      </c>
      <c r="G882" s="54">
        <f>'Stavební rozpočet'!G693</f>
        <v>1</v>
      </c>
      <c r="H882" s="94">
        <f>'Stavební rozpočet'!H693</f>
        <v>0</v>
      </c>
      <c r="I882" s="54">
        <f>G882*H882</f>
        <v>0</v>
      </c>
      <c r="J882" s="54">
        <f>'Stavební rozpočet'!J693</f>
        <v>0</v>
      </c>
      <c r="K882" s="54">
        <f>'Stavební rozpočet'!K693</f>
        <v>0</v>
      </c>
      <c r="L882" s="54">
        <f>G882*J882</f>
        <v>0</v>
      </c>
      <c r="M882" s="55" t="s">
        <v>10</v>
      </c>
      <c r="Z882" s="54">
        <f>IF(AQ882="5",BJ882,0)</f>
        <v>0</v>
      </c>
      <c r="AB882" s="54">
        <f>IF(AQ882="1",BH882,0)</f>
        <v>0</v>
      </c>
      <c r="AC882" s="54">
        <f>IF(AQ882="1",BI882,0)</f>
        <v>0</v>
      </c>
      <c r="AD882" s="54">
        <f>IF(AQ882="7",BH882,0)</f>
        <v>0</v>
      </c>
      <c r="AE882" s="54">
        <f>IF(AQ882="7",BI882,0)</f>
        <v>0</v>
      </c>
      <c r="AF882" s="54">
        <f>IF(AQ882="2",BH882,0)</f>
        <v>0</v>
      </c>
      <c r="AG882" s="54">
        <f>IF(AQ882="2",BI882,0)</f>
        <v>0</v>
      </c>
      <c r="AH882" s="54">
        <f>IF(AQ882="0",BJ882,0)</f>
        <v>0</v>
      </c>
      <c r="AI882" s="34" t="s">
        <v>103</v>
      </c>
      <c r="AJ882" s="54">
        <f>IF(AN882=0,I882,0)</f>
        <v>0</v>
      </c>
      <c r="AK882" s="54">
        <f>IF(AN882=12,I882,0)</f>
        <v>0</v>
      </c>
      <c r="AL882" s="54">
        <f>IF(AN882=21,I882,0)</f>
        <v>0</v>
      </c>
      <c r="AN882" s="54">
        <v>21</v>
      </c>
      <c r="AO882" s="54">
        <f>H882*0</f>
        <v>0</v>
      </c>
      <c r="AP882" s="54">
        <f>H882*(1-0)</f>
        <v>0</v>
      </c>
      <c r="AQ882" s="56" t="s">
        <v>107</v>
      </c>
      <c r="AV882" s="54">
        <f>AW882+AX882</f>
        <v>0</v>
      </c>
      <c r="AW882" s="54">
        <f>G882*AO882</f>
        <v>0</v>
      </c>
      <c r="AX882" s="54">
        <f>G882*AP882</f>
        <v>0</v>
      </c>
      <c r="AY882" s="56" t="s">
        <v>1498</v>
      </c>
      <c r="AZ882" s="56" t="s">
        <v>1499</v>
      </c>
      <c r="BA882" s="34" t="s">
        <v>114</v>
      </c>
      <c r="BC882" s="54">
        <f>AW882+AX882</f>
        <v>0</v>
      </c>
      <c r="BD882" s="54">
        <f>H882/(100-BE882)*100</f>
        <v>0</v>
      </c>
      <c r="BE882" s="54">
        <v>0</v>
      </c>
      <c r="BF882" s="54">
        <f>L882</f>
        <v>0</v>
      </c>
      <c r="BH882" s="54">
        <f>G882*AO882</f>
        <v>0</v>
      </c>
      <c r="BI882" s="54">
        <f>G882*AP882</f>
        <v>0</v>
      </c>
      <c r="BJ882" s="54">
        <f>G882*H882</f>
        <v>0</v>
      </c>
      <c r="BK882" s="54"/>
      <c r="BL882" s="54"/>
      <c r="BW882" s="54">
        <v>21</v>
      </c>
      <c r="BX882" s="3" t="s">
        <v>1503</v>
      </c>
    </row>
    <row r="883" spans="1:76" ht="27" customHeight="1" x14ac:dyDescent="0.35">
      <c r="A883" s="57"/>
      <c r="C883" s="62" t="s">
        <v>122</v>
      </c>
      <c r="D883" s="214" t="s">
        <v>1504</v>
      </c>
      <c r="E883" s="215"/>
      <c r="F883" s="215"/>
      <c r="G883" s="215"/>
      <c r="H883" s="215"/>
      <c r="I883" s="215"/>
      <c r="J883" s="215"/>
      <c r="K883" s="215"/>
      <c r="L883" s="215"/>
      <c r="M883" s="216"/>
    </row>
    <row r="884" spans="1:76" ht="14.5" x14ac:dyDescent="0.35">
      <c r="A884" s="1" t="s">
        <v>1505</v>
      </c>
      <c r="B884" s="2" t="s">
        <v>103</v>
      </c>
      <c r="C884" s="2" t="s">
        <v>1506</v>
      </c>
      <c r="D884" s="155" t="s">
        <v>1507</v>
      </c>
      <c r="E884" s="153"/>
      <c r="F884" s="2" t="s">
        <v>581</v>
      </c>
      <c r="G884" s="54">
        <f>'Stavební rozpočet'!G694</f>
        <v>1</v>
      </c>
      <c r="H884" s="94">
        <f>'Stavební rozpočet'!H694</f>
        <v>0</v>
      </c>
      <c r="I884" s="54">
        <f>G884*H884</f>
        <v>0</v>
      </c>
      <c r="J884" s="54">
        <f>'Stavební rozpočet'!J694</f>
        <v>0</v>
      </c>
      <c r="K884" s="54">
        <f>'Stavební rozpočet'!K694</f>
        <v>0</v>
      </c>
      <c r="L884" s="54">
        <f>G884*J884</f>
        <v>0</v>
      </c>
      <c r="M884" s="55" t="s">
        <v>10</v>
      </c>
      <c r="Z884" s="54">
        <f>IF(AQ884="5",BJ884,0)</f>
        <v>0</v>
      </c>
      <c r="AB884" s="54">
        <f>IF(AQ884="1",BH884,0)</f>
        <v>0</v>
      </c>
      <c r="AC884" s="54">
        <f>IF(AQ884="1",BI884,0)</f>
        <v>0</v>
      </c>
      <c r="AD884" s="54">
        <f>IF(AQ884="7",BH884,0)</f>
        <v>0</v>
      </c>
      <c r="AE884" s="54">
        <f>IF(AQ884="7",BI884,0)</f>
        <v>0</v>
      </c>
      <c r="AF884" s="54">
        <f>IF(AQ884="2",BH884,0)</f>
        <v>0</v>
      </c>
      <c r="AG884" s="54">
        <f>IF(AQ884="2",BI884,0)</f>
        <v>0</v>
      </c>
      <c r="AH884" s="54">
        <f>IF(AQ884="0",BJ884,0)</f>
        <v>0</v>
      </c>
      <c r="AI884" s="34" t="s">
        <v>103</v>
      </c>
      <c r="AJ884" s="54">
        <f>IF(AN884=0,I884,0)</f>
        <v>0</v>
      </c>
      <c r="AK884" s="54">
        <f>IF(AN884=12,I884,0)</f>
        <v>0</v>
      </c>
      <c r="AL884" s="54">
        <f>IF(AN884=21,I884,0)</f>
        <v>0</v>
      </c>
      <c r="AN884" s="54">
        <v>21</v>
      </c>
      <c r="AO884" s="54">
        <f>H884*0</f>
        <v>0</v>
      </c>
      <c r="AP884" s="54">
        <f>H884*(1-0)</f>
        <v>0</v>
      </c>
      <c r="AQ884" s="56" t="s">
        <v>107</v>
      </c>
      <c r="AV884" s="54">
        <f>AW884+AX884</f>
        <v>0</v>
      </c>
      <c r="AW884" s="54">
        <f>G884*AO884</f>
        <v>0</v>
      </c>
      <c r="AX884" s="54">
        <f>G884*AP884</f>
        <v>0</v>
      </c>
      <c r="AY884" s="56" t="s">
        <v>1498</v>
      </c>
      <c r="AZ884" s="56" t="s">
        <v>1499</v>
      </c>
      <c r="BA884" s="34" t="s">
        <v>114</v>
      </c>
      <c r="BC884" s="54">
        <f>AW884+AX884</f>
        <v>0</v>
      </c>
      <c r="BD884" s="54">
        <f>H884/(100-BE884)*100</f>
        <v>0</v>
      </c>
      <c r="BE884" s="54">
        <v>0</v>
      </c>
      <c r="BF884" s="54">
        <f>L884</f>
        <v>0</v>
      </c>
      <c r="BH884" s="54">
        <f>G884*AO884</f>
        <v>0</v>
      </c>
      <c r="BI884" s="54">
        <f>G884*AP884</f>
        <v>0</v>
      </c>
      <c r="BJ884" s="54">
        <f>G884*H884</f>
        <v>0</v>
      </c>
      <c r="BK884" s="54"/>
      <c r="BL884" s="54"/>
      <c r="BW884" s="54">
        <v>21</v>
      </c>
      <c r="BX884" s="3" t="s">
        <v>1507</v>
      </c>
    </row>
    <row r="885" spans="1:76" ht="13.5" customHeight="1" x14ac:dyDescent="0.35">
      <c r="A885" s="73"/>
      <c r="B885" s="74"/>
      <c r="C885" s="75" t="s">
        <v>122</v>
      </c>
      <c r="D885" s="222" t="s">
        <v>1508</v>
      </c>
      <c r="E885" s="223"/>
      <c r="F885" s="223"/>
      <c r="G885" s="223"/>
      <c r="H885" s="223"/>
      <c r="I885" s="223"/>
      <c r="J885" s="223"/>
      <c r="K885" s="223"/>
      <c r="L885" s="223"/>
      <c r="M885" s="224"/>
    </row>
    <row r="886" spans="1:76" ht="14.5" x14ac:dyDescent="0.35">
      <c r="I886" s="76">
        <f>I13+I61+I95+I135+I149+I164+I192+I240+I347+I398+I406+I433+I483+I488+I554+I560+I620+I676+I713+I735+I771+I782+I786+I842+I865+I867+I879</f>
        <v>0</v>
      </c>
    </row>
    <row r="887" spans="1:76" ht="14.5" x14ac:dyDescent="0.35">
      <c r="A887" s="77" t="s">
        <v>55</v>
      </c>
    </row>
    <row r="888" spans="1:76" ht="12.75" customHeight="1" x14ac:dyDescent="0.35">
      <c r="A888" s="155" t="s">
        <v>10</v>
      </c>
      <c r="B888" s="153"/>
      <c r="C888" s="153"/>
      <c r="D888" s="153"/>
      <c r="E888" s="153"/>
      <c r="F888" s="153"/>
      <c r="G888" s="153"/>
      <c r="H888" s="153"/>
      <c r="I888" s="153"/>
      <c r="J888" s="153"/>
      <c r="K888" s="153"/>
      <c r="L888" s="153"/>
      <c r="M888" s="153"/>
    </row>
  </sheetData>
  <mergeCells count="454">
    <mergeCell ref="D884:E884"/>
    <mergeCell ref="D885:M885"/>
    <mergeCell ref="A888:M888"/>
    <mergeCell ref="D879:E879"/>
    <mergeCell ref="D880:E880"/>
    <mergeCell ref="D881:M881"/>
    <mergeCell ref="D882:E882"/>
    <mergeCell ref="D883:M883"/>
    <mergeCell ref="D874:M874"/>
    <mergeCell ref="D875:E875"/>
    <mergeCell ref="D876:M876"/>
    <mergeCell ref="D877:E877"/>
    <mergeCell ref="D878:M878"/>
    <mergeCell ref="D868:E868"/>
    <mergeCell ref="D869:M869"/>
    <mergeCell ref="D870:E870"/>
    <mergeCell ref="D871:M871"/>
    <mergeCell ref="D873:E873"/>
    <mergeCell ref="D863:M863"/>
    <mergeCell ref="D864:M864"/>
    <mergeCell ref="D865:E865"/>
    <mergeCell ref="D866:E866"/>
    <mergeCell ref="D867:E867"/>
    <mergeCell ref="D857:M857"/>
    <mergeCell ref="D859:M859"/>
    <mergeCell ref="D860:E860"/>
    <mergeCell ref="D861:M861"/>
    <mergeCell ref="D862:E862"/>
    <mergeCell ref="D849:E849"/>
    <mergeCell ref="D850:M850"/>
    <mergeCell ref="D851:E851"/>
    <mergeCell ref="D852:M852"/>
    <mergeCell ref="D853:E853"/>
    <mergeCell ref="D840:E840"/>
    <mergeCell ref="D842:E842"/>
    <mergeCell ref="D843:E843"/>
    <mergeCell ref="D846:M846"/>
    <mergeCell ref="D848:M848"/>
    <mergeCell ref="D827:E827"/>
    <mergeCell ref="D828:M828"/>
    <mergeCell ref="D836:M836"/>
    <mergeCell ref="D838:M838"/>
    <mergeCell ref="D839:E839"/>
    <mergeCell ref="D817:M817"/>
    <mergeCell ref="D818:E818"/>
    <mergeCell ref="D819:M819"/>
    <mergeCell ref="D824:M824"/>
    <mergeCell ref="D826:M826"/>
    <mergeCell ref="D800:E800"/>
    <mergeCell ref="D801:M801"/>
    <mergeCell ref="D810:M810"/>
    <mergeCell ref="D811:E811"/>
    <mergeCell ref="D815:M815"/>
    <mergeCell ref="D786:E786"/>
    <mergeCell ref="D787:E787"/>
    <mergeCell ref="D789:M789"/>
    <mergeCell ref="D790:E790"/>
    <mergeCell ref="D799:M799"/>
    <mergeCell ref="D779:M779"/>
    <mergeCell ref="D780:E780"/>
    <mergeCell ref="D782:E782"/>
    <mergeCell ref="D783:E783"/>
    <mergeCell ref="D785:M785"/>
    <mergeCell ref="D747:E747"/>
    <mergeCell ref="D768:E768"/>
    <mergeCell ref="D771:E771"/>
    <mergeCell ref="D772:E772"/>
    <mergeCell ref="D776:E776"/>
    <mergeCell ref="D720:M720"/>
    <mergeCell ref="D726:E726"/>
    <mergeCell ref="D735:E735"/>
    <mergeCell ref="D736:E736"/>
    <mergeCell ref="D746:M746"/>
    <mergeCell ref="D712:E712"/>
    <mergeCell ref="D713:E713"/>
    <mergeCell ref="D714:E714"/>
    <mergeCell ref="D715:M715"/>
    <mergeCell ref="D719:E719"/>
    <mergeCell ref="D697:M697"/>
    <mergeCell ref="D698:E698"/>
    <mergeCell ref="D700:E700"/>
    <mergeCell ref="D701:M701"/>
    <mergeCell ref="D706:E706"/>
    <mergeCell ref="D683:M683"/>
    <mergeCell ref="D684:E684"/>
    <mergeCell ref="D686:M686"/>
    <mergeCell ref="D687:E687"/>
    <mergeCell ref="D688:M688"/>
    <mergeCell ref="D666:E666"/>
    <mergeCell ref="D674:M674"/>
    <mergeCell ref="D675:E675"/>
    <mergeCell ref="D676:E676"/>
    <mergeCell ref="D677:E677"/>
    <mergeCell ref="D658:M658"/>
    <mergeCell ref="D660:M660"/>
    <mergeCell ref="D661:E661"/>
    <mergeCell ref="D662:M662"/>
    <mergeCell ref="D665:M665"/>
    <mergeCell ref="D642:M642"/>
    <mergeCell ref="D645:E645"/>
    <mergeCell ref="D646:M646"/>
    <mergeCell ref="D651:E651"/>
    <mergeCell ref="D652:M652"/>
    <mergeCell ref="D628:E628"/>
    <mergeCell ref="D629:M629"/>
    <mergeCell ref="D636:E636"/>
    <mergeCell ref="D637:M637"/>
    <mergeCell ref="D641:E641"/>
    <mergeCell ref="D616:M616"/>
    <mergeCell ref="D619:E619"/>
    <mergeCell ref="D620:E620"/>
    <mergeCell ref="D621:E621"/>
    <mergeCell ref="D622:M622"/>
    <mergeCell ref="D604:E604"/>
    <mergeCell ref="D605:M605"/>
    <mergeCell ref="D611:E611"/>
    <mergeCell ref="D612:M612"/>
    <mergeCell ref="D615:E615"/>
    <mergeCell ref="D595:M595"/>
    <mergeCell ref="D596:E596"/>
    <mergeCell ref="D597:M597"/>
    <mergeCell ref="D600:E600"/>
    <mergeCell ref="D601:M601"/>
    <mergeCell ref="D576:E576"/>
    <mergeCell ref="D577:M577"/>
    <mergeCell ref="D582:E582"/>
    <mergeCell ref="D583:M583"/>
    <mergeCell ref="D587:E587"/>
    <mergeCell ref="D561:E561"/>
    <mergeCell ref="D562:M562"/>
    <mergeCell ref="D569:M569"/>
    <mergeCell ref="D570:E570"/>
    <mergeCell ref="D571:M571"/>
    <mergeCell ref="D551:E551"/>
    <mergeCell ref="D552:M552"/>
    <mergeCell ref="D554:E554"/>
    <mergeCell ref="D555:E555"/>
    <mergeCell ref="D560:E560"/>
    <mergeCell ref="D541:M541"/>
    <mergeCell ref="D543:E543"/>
    <mergeCell ref="D544:M544"/>
    <mergeCell ref="D548:E548"/>
    <mergeCell ref="D550:E550"/>
    <mergeCell ref="D534:E534"/>
    <mergeCell ref="D535:M535"/>
    <mergeCell ref="D537:E537"/>
    <mergeCell ref="D538:M538"/>
    <mergeCell ref="D540:E540"/>
    <mergeCell ref="D526:M526"/>
    <mergeCell ref="D528:E528"/>
    <mergeCell ref="D529:M529"/>
    <mergeCell ref="D531:E531"/>
    <mergeCell ref="D532:M532"/>
    <mergeCell ref="D519:E519"/>
    <mergeCell ref="D521:M521"/>
    <mergeCell ref="D522:M522"/>
    <mergeCell ref="D523:E523"/>
    <mergeCell ref="D525:E525"/>
    <mergeCell ref="D513:M513"/>
    <mergeCell ref="D514:M514"/>
    <mergeCell ref="D515:E515"/>
    <mergeCell ref="D516:M516"/>
    <mergeCell ref="D518:M518"/>
    <mergeCell ref="D504:E504"/>
    <mergeCell ref="D507:E507"/>
    <mergeCell ref="D508:M508"/>
    <mergeCell ref="D510:M510"/>
    <mergeCell ref="D511:E511"/>
    <mergeCell ref="D493:M493"/>
    <mergeCell ref="D494:E494"/>
    <mergeCell ref="D495:M495"/>
    <mergeCell ref="D499:E499"/>
    <mergeCell ref="D503:M503"/>
    <mergeCell ref="D485:M485"/>
    <mergeCell ref="D487:E487"/>
    <mergeCell ref="D488:E488"/>
    <mergeCell ref="D489:E489"/>
    <mergeCell ref="D491:M491"/>
    <mergeCell ref="D479:E479"/>
    <mergeCell ref="D481:E481"/>
    <mergeCell ref="D482:E482"/>
    <mergeCell ref="D483:E483"/>
    <mergeCell ref="D484:E484"/>
    <mergeCell ref="D461:E461"/>
    <mergeCell ref="D467:E467"/>
    <mergeCell ref="D473:E473"/>
    <mergeCell ref="D475:E475"/>
    <mergeCell ref="D477:E477"/>
    <mergeCell ref="D440:E440"/>
    <mergeCell ref="D446:E446"/>
    <mergeCell ref="D452:E452"/>
    <mergeCell ref="D454:E454"/>
    <mergeCell ref="D455:M455"/>
    <mergeCell ref="D429:E429"/>
    <mergeCell ref="D430:M430"/>
    <mergeCell ref="D432:E432"/>
    <mergeCell ref="D433:E433"/>
    <mergeCell ref="D434:E434"/>
    <mergeCell ref="D421:E421"/>
    <mergeCell ref="D423:E423"/>
    <mergeCell ref="D425:E425"/>
    <mergeCell ref="D426:M426"/>
    <mergeCell ref="D428:M428"/>
    <mergeCell ref="D412:M412"/>
    <mergeCell ref="D414:E414"/>
    <mergeCell ref="D416:E416"/>
    <mergeCell ref="D418:E418"/>
    <mergeCell ref="D420:M420"/>
    <mergeCell ref="D405:E405"/>
    <mergeCell ref="D406:E406"/>
    <mergeCell ref="D407:E407"/>
    <mergeCell ref="D409:E409"/>
    <mergeCell ref="D411:E411"/>
    <mergeCell ref="D398:E398"/>
    <mergeCell ref="D399:E399"/>
    <mergeCell ref="D401:M401"/>
    <mergeCell ref="D402:E402"/>
    <mergeCell ref="D404:M404"/>
    <mergeCell ref="D392:E392"/>
    <mergeCell ref="D393:M393"/>
    <mergeCell ref="D394:E394"/>
    <mergeCell ref="D395:M395"/>
    <mergeCell ref="D397:E397"/>
    <mergeCell ref="D383:E383"/>
    <mergeCell ref="D384:M384"/>
    <mergeCell ref="D386:E386"/>
    <mergeCell ref="D388:E388"/>
    <mergeCell ref="D390:E390"/>
    <mergeCell ref="D375:M375"/>
    <mergeCell ref="D377:E377"/>
    <mergeCell ref="D378:M378"/>
    <mergeCell ref="D380:E380"/>
    <mergeCell ref="D381:M381"/>
    <mergeCell ref="D368:M368"/>
    <mergeCell ref="D369:E369"/>
    <mergeCell ref="D371:M371"/>
    <mergeCell ref="D372:E372"/>
    <mergeCell ref="D374:E374"/>
    <mergeCell ref="D360:E360"/>
    <mergeCell ref="D361:M361"/>
    <mergeCell ref="D363:E363"/>
    <mergeCell ref="D364:M364"/>
    <mergeCell ref="D366:E366"/>
    <mergeCell ref="D352:M352"/>
    <mergeCell ref="D354:E354"/>
    <mergeCell ref="D355:M355"/>
    <mergeCell ref="D357:E357"/>
    <mergeCell ref="D358:M358"/>
    <mergeCell ref="D346:E346"/>
    <mergeCell ref="D347:E347"/>
    <mergeCell ref="D348:E348"/>
    <mergeCell ref="D349:M349"/>
    <mergeCell ref="D351:E351"/>
    <mergeCell ref="D334:E334"/>
    <mergeCell ref="D336:M336"/>
    <mergeCell ref="D337:E337"/>
    <mergeCell ref="D341:E341"/>
    <mergeCell ref="D345:E345"/>
    <mergeCell ref="D327:M327"/>
    <mergeCell ref="D328:E328"/>
    <mergeCell ref="D329:M329"/>
    <mergeCell ref="D331:M331"/>
    <mergeCell ref="D332:E332"/>
    <mergeCell ref="D319:M319"/>
    <mergeCell ref="D320:E320"/>
    <mergeCell ref="D322:E322"/>
    <mergeCell ref="D324:E324"/>
    <mergeCell ref="D325:M325"/>
    <mergeCell ref="D308:M308"/>
    <mergeCell ref="D311:E311"/>
    <mergeCell ref="D314:E314"/>
    <mergeCell ref="D315:M315"/>
    <mergeCell ref="D317:E317"/>
    <mergeCell ref="D299:E299"/>
    <mergeCell ref="D300:M300"/>
    <mergeCell ref="D303:E303"/>
    <mergeCell ref="D304:M304"/>
    <mergeCell ref="D307:E307"/>
    <mergeCell ref="D290:M290"/>
    <mergeCell ref="D291:E291"/>
    <mergeCell ref="D294:M294"/>
    <mergeCell ref="D295:E295"/>
    <mergeCell ref="D296:M296"/>
    <mergeCell ref="D280:M280"/>
    <mergeCell ref="D281:E281"/>
    <mergeCell ref="D284:M284"/>
    <mergeCell ref="D286:M286"/>
    <mergeCell ref="D287:E287"/>
    <mergeCell ref="D269:E269"/>
    <mergeCell ref="D272:M272"/>
    <mergeCell ref="D273:E273"/>
    <mergeCell ref="D276:M276"/>
    <mergeCell ref="D277:E277"/>
    <mergeCell ref="D258:E258"/>
    <mergeCell ref="D261:M261"/>
    <mergeCell ref="D262:E262"/>
    <mergeCell ref="D266:M266"/>
    <mergeCell ref="D268:M268"/>
    <mergeCell ref="D249:E249"/>
    <mergeCell ref="D251:M251"/>
    <mergeCell ref="D253:M253"/>
    <mergeCell ref="D254:E254"/>
    <mergeCell ref="D257:M257"/>
    <mergeCell ref="D237:M237"/>
    <mergeCell ref="D239:E239"/>
    <mergeCell ref="D240:E240"/>
    <mergeCell ref="D241:E241"/>
    <mergeCell ref="D245:E245"/>
    <mergeCell ref="D226:E226"/>
    <mergeCell ref="D228:M228"/>
    <mergeCell ref="D229:E229"/>
    <mergeCell ref="D232:E232"/>
    <mergeCell ref="D236:E236"/>
    <mergeCell ref="D217:E217"/>
    <mergeCell ref="D220:E220"/>
    <mergeCell ref="D222:M222"/>
    <mergeCell ref="D223:E223"/>
    <mergeCell ref="D225:M225"/>
    <mergeCell ref="D210:M210"/>
    <mergeCell ref="D211:E211"/>
    <mergeCell ref="D213:M213"/>
    <mergeCell ref="D214:E214"/>
    <mergeCell ref="D216:M216"/>
    <mergeCell ref="D201:M201"/>
    <mergeCell ref="D202:E202"/>
    <mergeCell ref="D205:E205"/>
    <mergeCell ref="D207:M207"/>
    <mergeCell ref="D208:E208"/>
    <mergeCell ref="D192:E192"/>
    <mergeCell ref="D193:E193"/>
    <mergeCell ref="D196:E196"/>
    <mergeCell ref="D198:M198"/>
    <mergeCell ref="D199:E199"/>
    <mergeCell ref="D185:M185"/>
    <mergeCell ref="D187:M187"/>
    <mergeCell ref="D188:E188"/>
    <mergeCell ref="D190:M190"/>
    <mergeCell ref="D191:E191"/>
    <mergeCell ref="D178:M178"/>
    <mergeCell ref="D179:E179"/>
    <mergeCell ref="D180:M180"/>
    <mergeCell ref="D183:M183"/>
    <mergeCell ref="D184:E184"/>
    <mergeCell ref="D164:E164"/>
    <mergeCell ref="D165:E165"/>
    <mergeCell ref="D166:M166"/>
    <mergeCell ref="D171:E171"/>
    <mergeCell ref="D172:M172"/>
    <mergeCell ref="D156:M156"/>
    <mergeCell ref="D157:E157"/>
    <mergeCell ref="D158:M158"/>
    <mergeCell ref="D161:M161"/>
    <mergeCell ref="D163:M163"/>
    <mergeCell ref="D148:M148"/>
    <mergeCell ref="D149:E149"/>
    <mergeCell ref="D150:E150"/>
    <mergeCell ref="D151:M151"/>
    <mergeCell ref="D154:M154"/>
    <mergeCell ref="D138:M138"/>
    <mergeCell ref="D140:M140"/>
    <mergeCell ref="D141:E141"/>
    <mergeCell ref="D142:M142"/>
    <mergeCell ref="D146:M146"/>
    <mergeCell ref="D129:E129"/>
    <mergeCell ref="D130:M130"/>
    <mergeCell ref="D134:M134"/>
    <mergeCell ref="D135:E135"/>
    <mergeCell ref="D136:E136"/>
    <mergeCell ref="D112:M112"/>
    <mergeCell ref="D113:E113"/>
    <mergeCell ref="D114:M114"/>
    <mergeCell ref="D123:E123"/>
    <mergeCell ref="D128:M128"/>
    <mergeCell ref="D101:E101"/>
    <mergeCell ref="D103:M103"/>
    <mergeCell ref="D105:M105"/>
    <mergeCell ref="D106:E106"/>
    <mergeCell ref="D110:M110"/>
    <mergeCell ref="D91:M91"/>
    <mergeCell ref="D92:E92"/>
    <mergeCell ref="D93:M93"/>
    <mergeCell ref="D95:E95"/>
    <mergeCell ref="D96:E96"/>
    <mergeCell ref="D82:E82"/>
    <mergeCell ref="D84:M84"/>
    <mergeCell ref="D86:M86"/>
    <mergeCell ref="D87:E87"/>
    <mergeCell ref="D89:M89"/>
    <mergeCell ref="D73:M73"/>
    <mergeCell ref="D75:M75"/>
    <mergeCell ref="D77:M77"/>
    <mergeCell ref="D78:E78"/>
    <mergeCell ref="D79:M79"/>
    <mergeCell ref="D66:M66"/>
    <mergeCell ref="D67:E67"/>
    <mergeCell ref="D69:M69"/>
    <mergeCell ref="D71:M71"/>
    <mergeCell ref="D72:E72"/>
    <mergeCell ref="D58:M58"/>
    <mergeCell ref="D60:M60"/>
    <mergeCell ref="D61:E61"/>
    <mergeCell ref="D62:E62"/>
    <mergeCell ref="D64:M64"/>
    <mergeCell ref="D51:E51"/>
    <mergeCell ref="D53:M53"/>
    <mergeCell ref="D54:E54"/>
    <mergeCell ref="D56:M56"/>
    <mergeCell ref="D57:E57"/>
    <mergeCell ref="D41:M41"/>
    <mergeCell ref="D42:E42"/>
    <mergeCell ref="D43:M43"/>
    <mergeCell ref="D48:M48"/>
    <mergeCell ref="D50:M50"/>
    <mergeCell ref="D32:E32"/>
    <mergeCell ref="D34:M34"/>
    <mergeCell ref="D36:M36"/>
    <mergeCell ref="D37:E37"/>
    <mergeCell ref="D39:M39"/>
    <mergeCell ref="D17:E17"/>
    <mergeCell ref="D18:M18"/>
    <mergeCell ref="D20:E20"/>
    <mergeCell ref="D21:M21"/>
    <mergeCell ref="D29:E29"/>
    <mergeCell ref="D11:E11"/>
    <mergeCell ref="J10:L10"/>
    <mergeCell ref="D12:E12"/>
    <mergeCell ref="D13:E13"/>
    <mergeCell ref="D14:E14"/>
    <mergeCell ref="I2:M3"/>
    <mergeCell ref="I4:M5"/>
    <mergeCell ref="I6:M7"/>
    <mergeCell ref="I8:M9"/>
    <mergeCell ref="D10:E10"/>
    <mergeCell ref="C8:D9"/>
    <mergeCell ref="F2:F3"/>
    <mergeCell ref="F4:F5"/>
    <mergeCell ref="F6:F7"/>
    <mergeCell ref="F8:F9"/>
    <mergeCell ref="A1:M1"/>
    <mergeCell ref="A2:B3"/>
    <mergeCell ref="A4:B5"/>
    <mergeCell ref="A6:B7"/>
    <mergeCell ref="A8:B9"/>
    <mergeCell ref="E2:E3"/>
    <mergeCell ref="E4:E5"/>
    <mergeCell ref="E6:E7"/>
    <mergeCell ref="E8:E9"/>
    <mergeCell ref="G2:H3"/>
    <mergeCell ref="G4:H5"/>
    <mergeCell ref="G6:H7"/>
    <mergeCell ref="G8:H9"/>
    <mergeCell ref="C2:D3"/>
    <mergeCell ref="C4:D5"/>
    <mergeCell ref="C6:D7"/>
  </mergeCells>
  <pageMargins left="0.393999993801117" right="0.393999993801117" top="0.59100002050399802" bottom="0.59100002050399802" header="0" footer="0"/>
  <pageSetup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activeCell="A35" sqref="A35:I35"/>
    </sheetView>
  </sheetViews>
  <sheetFormatPr defaultColWidth="12.1796875" defaultRowHeight="15" customHeight="1" x14ac:dyDescent="0.35"/>
  <cols>
    <col min="1" max="1" width="9.1796875" customWidth="1"/>
    <col min="2" max="2" width="12.81640625" customWidth="1"/>
    <col min="3" max="3" width="27.1796875" customWidth="1"/>
    <col min="4" max="4" width="10" customWidth="1"/>
    <col min="5" max="5" width="14" customWidth="1"/>
    <col min="6" max="6" width="27.1796875" customWidth="1"/>
    <col min="7" max="7" width="9.1796875" customWidth="1"/>
    <col min="8" max="8" width="12.81640625" customWidth="1"/>
    <col min="9" max="9" width="27.1796875" customWidth="1"/>
  </cols>
  <sheetData>
    <row r="1" spans="1:9" ht="54.75" customHeight="1" x14ac:dyDescent="0.35">
      <c r="A1" s="150" t="s">
        <v>1509</v>
      </c>
      <c r="B1" s="151"/>
      <c r="C1" s="151"/>
      <c r="D1" s="151"/>
      <c r="E1" s="151"/>
      <c r="F1" s="151"/>
      <c r="G1" s="151"/>
      <c r="H1" s="151"/>
      <c r="I1" s="151"/>
    </row>
    <row r="2" spans="1:9" ht="14.5" x14ac:dyDescent="0.35">
      <c r="A2" s="106" t="s">
        <v>1</v>
      </c>
      <c r="B2" s="107"/>
      <c r="C2" s="110" t="str">
        <f>'Stavební rozpočet'!C2</f>
        <v>SOŠ,SOU Třešť - Rekonstrukce 4NP DM</v>
      </c>
      <c r="D2" s="111"/>
      <c r="E2" s="113" t="s">
        <v>2</v>
      </c>
      <c r="F2" s="113" t="str">
        <f>'Stavební rozpočet'!I2</f>
        <v>Kraj Vysočina</v>
      </c>
      <c r="G2" s="107"/>
      <c r="H2" s="113" t="s">
        <v>3</v>
      </c>
      <c r="I2" s="114" t="s">
        <v>4</v>
      </c>
    </row>
    <row r="3" spans="1:9" ht="15" customHeight="1" x14ac:dyDescent="0.35">
      <c r="A3" s="152"/>
      <c r="B3" s="153"/>
      <c r="C3" s="158"/>
      <c r="D3" s="158"/>
      <c r="E3" s="153"/>
      <c r="F3" s="153"/>
      <c r="G3" s="153"/>
      <c r="H3" s="153"/>
      <c r="I3" s="156"/>
    </row>
    <row r="4" spans="1:9" ht="14.5" x14ac:dyDescent="0.35">
      <c r="A4" s="154" t="s">
        <v>5</v>
      </c>
      <c r="B4" s="153"/>
      <c r="C4" s="155" t="str">
        <f>'Stavební rozpočet'!C4</f>
        <v xml:space="preserve"> </v>
      </c>
      <c r="D4" s="153"/>
      <c r="E4" s="155" t="s">
        <v>6</v>
      </c>
      <c r="F4" s="155" t="str">
        <f>'Stavební rozpočet'!I4</f>
        <v>Ing. Miroslav Korecký</v>
      </c>
      <c r="G4" s="153"/>
      <c r="H4" s="155" t="s">
        <v>3</v>
      </c>
      <c r="I4" s="156" t="s">
        <v>7</v>
      </c>
    </row>
    <row r="5" spans="1:9" ht="15" customHeight="1" x14ac:dyDescent="0.35">
      <c r="A5" s="152"/>
      <c r="B5" s="153"/>
      <c r="C5" s="153"/>
      <c r="D5" s="153"/>
      <c r="E5" s="153"/>
      <c r="F5" s="153"/>
      <c r="G5" s="153"/>
      <c r="H5" s="153"/>
      <c r="I5" s="156"/>
    </row>
    <row r="6" spans="1:9" ht="14.5" x14ac:dyDescent="0.35">
      <c r="A6" s="154" t="s">
        <v>8</v>
      </c>
      <c r="B6" s="153"/>
      <c r="C6" s="155" t="str">
        <f>'Stavební rozpočet'!C6</f>
        <v>Domov mládeže - Rekonstrukce 4NP</v>
      </c>
      <c r="D6" s="153"/>
      <c r="E6" s="155" t="s">
        <v>9</v>
      </c>
      <c r="F6" s="155" t="str">
        <f>'Stavební rozpočet'!I6</f>
        <v> </v>
      </c>
      <c r="G6" s="153"/>
      <c r="H6" s="155" t="s">
        <v>3</v>
      </c>
      <c r="I6" s="156" t="s">
        <v>10</v>
      </c>
    </row>
    <row r="7" spans="1:9" ht="15" customHeight="1" x14ac:dyDescent="0.35">
      <c r="A7" s="152"/>
      <c r="B7" s="153"/>
      <c r="C7" s="153"/>
      <c r="D7" s="153"/>
      <c r="E7" s="153"/>
      <c r="F7" s="153"/>
      <c r="G7" s="153"/>
      <c r="H7" s="153"/>
      <c r="I7" s="156"/>
    </row>
    <row r="8" spans="1:9" ht="14.5" x14ac:dyDescent="0.35">
      <c r="A8" s="154" t="s">
        <v>11</v>
      </c>
      <c r="B8" s="153"/>
      <c r="C8" s="155" t="str">
        <f>'Stavební rozpočet'!F4</f>
        <v>22.01.2025</v>
      </c>
      <c r="D8" s="153"/>
      <c r="E8" s="155" t="s">
        <v>12</v>
      </c>
      <c r="F8" s="155" t="str">
        <f>'Stavební rozpočet'!F6</f>
        <v xml:space="preserve"> </v>
      </c>
      <c r="G8" s="153"/>
      <c r="H8" s="153" t="s">
        <v>13</v>
      </c>
      <c r="I8" s="157">
        <v>78</v>
      </c>
    </row>
    <row r="9" spans="1:9" ht="14.5" x14ac:dyDescent="0.35">
      <c r="A9" s="152"/>
      <c r="B9" s="153"/>
      <c r="C9" s="153"/>
      <c r="D9" s="153"/>
      <c r="E9" s="153"/>
      <c r="F9" s="153"/>
      <c r="G9" s="153"/>
      <c r="H9" s="153"/>
      <c r="I9" s="156"/>
    </row>
    <row r="10" spans="1:9" ht="14.5" x14ac:dyDescent="0.35">
      <c r="A10" s="154" t="s">
        <v>14</v>
      </c>
      <c r="B10" s="153"/>
      <c r="C10" s="155" t="str">
        <f>'Stavební rozpočet'!C8</f>
        <v>801753</v>
      </c>
      <c r="D10" s="153"/>
      <c r="E10" s="155" t="s">
        <v>15</v>
      </c>
      <c r="F10" s="155" t="str">
        <f>'Stavební rozpočet'!I8</f>
        <v>Ing. Miroslav Korecký</v>
      </c>
      <c r="G10" s="153"/>
      <c r="H10" s="153" t="s">
        <v>16</v>
      </c>
      <c r="I10" s="160" t="str">
        <f>'Stavební rozpočet'!F8</f>
        <v>22.01.2025</v>
      </c>
    </row>
    <row r="11" spans="1:9" ht="14.5" x14ac:dyDescent="0.35">
      <c r="A11" s="165"/>
      <c r="B11" s="159"/>
      <c r="C11" s="159"/>
      <c r="D11" s="159"/>
      <c r="E11" s="159"/>
      <c r="F11" s="159"/>
      <c r="G11" s="159"/>
      <c r="H11" s="159"/>
      <c r="I11" s="161"/>
    </row>
    <row r="12" spans="1:9" ht="23" x14ac:dyDescent="0.35">
      <c r="A12" s="162" t="s">
        <v>17</v>
      </c>
      <c r="B12" s="162"/>
      <c r="C12" s="162"/>
      <c r="D12" s="162"/>
      <c r="E12" s="162"/>
      <c r="F12" s="162"/>
      <c r="G12" s="162"/>
      <c r="H12" s="162"/>
      <c r="I12" s="162"/>
    </row>
    <row r="13" spans="1:9" ht="26.25" customHeight="1" x14ac:dyDescent="0.35">
      <c r="A13" s="6" t="s">
        <v>18</v>
      </c>
      <c r="B13" s="163" t="s">
        <v>19</v>
      </c>
      <c r="C13" s="164"/>
      <c r="D13" s="7" t="s">
        <v>20</v>
      </c>
      <c r="E13" s="163" t="s">
        <v>21</v>
      </c>
      <c r="F13" s="164"/>
      <c r="G13" s="7" t="s">
        <v>22</v>
      </c>
      <c r="H13" s="163" t="s">
        <v>23</v>
      </c>
      <c r="I13" s="164"/>
    </row>
    <row r="14" spans="1:9" ht="15.5" x14ac:dyDescent="0.35">
      <c r="A14" s="8" t="s">
        <v>24</v>
      </c>
      <c r="B14" s="9" t="s">
        <v>25</v>
      </c>
      <c r="C14" s="10">
        <f>SUM('Stavební rozpočet (D14c)'!AB12:AB885)</f>
        <v>0</v>
      </c>
      <c r="D14" s="169" t="s">
        <v>26</v>
      </c>
      <c r="E14" s="127"/>
      <c r="F14" s="10">
        <f>'VORN objektu (D14c)'!I15</f>
        <v>0</v>
      </c>
      <c r="G14" s="169" t="s">
        <v>27</v>
      </c>
      <c r="H14" s="127"/>
      <c r="I14" s="11">
        <f>'VORN objektu (D14c)'!I21</f>
        <v>0</v>
      </c>
    </row>
    <row r="15" spans="1:9" ht="15.5" x14ac:dyDescent="0.35">
      <c r="A15" s="12" t="s">
        <v>10</v>
      </c>
      <c r="B15" s="9" t="s">
        <v>28</v>
      </c>
      <c r="C15" s="10">
        <f>SUM('Stavební rozpočet (D14c)'!AC12:AC885)</f>
        <v>0</v>
      </c>
      <c r="D15" s="169" t="s">
        <v>29</v>
      </c>
      <c r="E15" s="127"/>
      <c r="F15" s="10">
        <f>'VORN objektu (D14c)'!I16</f>
        <v>0</v>
      </c>
      <c r="G15" s="169" t="s">
        <v>30</v>
      </c>
      <c r="H15" s="127"/>
      <c r="I15" s="11">
        <f>'VORN objektu (D14c)'!I22</f>
        <v>0</v>
      </c>
    </row>
    <row r="16" spans="1:9" ht="15.5" x14ac:dyDescent="0.35">
      <c r="A16" s="8" t="s">
        <v>31</v>
      </c>
      <c r="B16" s="9" t="s">
        <v>25</v>
      </c>
      <c r="C16" s="10">
        <f>SUM('Stavební rozpočet (D14c)'!AD12:AD885)</f>
        <v>0</v>
      </c>
      <c r="D16" s="169" t="s">
        <v>32</v>
      </c>
      <c r="E16" s="127"/>
      <c r="F16" s="10">
        <f>'VORN objektu (D14c)'!I17</f>
        <v>0</v>
      </c>
      <c r="G16" s="169" t="s">
        <v>33</v>
      </c>
      <c r="H16" s="127"/>
      <c r="I16" s="11">
        <f>'VORN objektu (D14c)'!I23</f>
        <v>0</v>
      </c>
    </row>
    <row r="17" spans="1:9" ht="15.5" x14ac:dyDescent="0.35">
      <c r="A17" s="12" t="s">
        <v>10</v>
      </c>
      <c r="B17" s="9" t="s">
        <v>28</v>
      </c>
      <c r="C17" s="10">
        <f>SUM('Stavební rozpočet (D14c)'!AE12:AE885)</f>
        <v>0</v>
      </c>
      <c r="D17" s="169" t="s">
        <v>10</v>
      </c>
      <c r="E17" s="127"/>
      <c r="F17" s="11" t="s">
        <v>10</v>
      </c>
      <c r="G17" s="169" t="s">
        <v>34</v>
      </c>
      <c r="H17" s="127"/>
      <c r="I17" s="11">
        <f>'VORN objektu (D14c)'!I24</f>
        <v>0</v>
      </c>
    </row>
    <row r="18" spans="1:9" ht="15.5" x14ac:dyDescent="0.35">
      <c r="A18" s="8" t="s">
        <v>35</v>
      </c>
      <c r="B18" s="9" t="s">
        <v>25</v>
      </c>
      <c r="C18" s="10">
        <f>SUM('Stavební rozpočet (D14c)'!AF12:AF885)</f>
        <v>0</v>
      </c>
      <c r="D18" s="169" t="s">
        <v>10</v>
      </c>
      <c r="E18" s="127"/>
      <c r="F18" s="11" t="s">
        <v>10</v>
      </c>
      <c r="G18" s="169" t="s">
        <v>36</v>
      </c>
      <c r="H18" s="127"/>
      <c r="I18" s="11">
        <f>'VORN objektu (D14c)'!I25</f>
        <v>0</v>
      </c>
    </row>
    <row r="19" spans="1:9" ht="15.5" x14ac:dyDescent="0.35">
      <c r="A19" s="12" t="s">
        <v>10</v>
      </c>
      <c r="B19" s="9" t="s">
        <v>28</v>
      </c>
      <c r="C19" s="10">
        <f>SUM('Stavební rozpočet (D14c)'!AG12:AG885)</f>
        <v>0</v>
      </c>
      <c r="D19" s="169" t="s">
        <v>10</v>
      </c>
      <c r="E19" s="127"/>
      <c r="F19" s="11" t="s">
        <v>10</v>
      </c>
      <c r="G19" s="169" t="s">
        <v>37</v>
      </c>
      <c r="H19" s="127"/>
      <c r="I19" s="11">
        <f>'VORN objektu (D14c)'!I26</f>
        <v>0</v>
      </c>
    </row>
    <row r="20" spans="1:9" ht="15.5" x14ac:dyDescent="0.35">
      <c r="A20" s="128" t="s">
        <v>38</v>
      </c>
      <c r="B20" s="129"/>
      <c r="C20" s="10">
        <f>SUM('Stavební rozpočet (D14c)'!AH12:AH885)</f>
        <v>0</v>
      </c>
      <c r="D20" s="169" t="s">
        <v>10</v>
      </c>
      <c r="E20" s="127"/>
      <c r="F20" s="11" t="s">
        <v>10</v>
      </c>
      <c r="G20" s="169" t="s">
        <v>10</v>
      </c>
      <c r="H20" s="127"/>
      <c r="I20" s="11" t="s">
        <v>10</v>
      </c>
    </row>
    <row r="21" spans="1:9" ht="15.5" x14ac:dyDescent="0.35">
      <c r="A21" s="166" t="s">
        <v>39</v>
      </c>
      <c r="B21" s="167"/>
      <c r="C21" s="13">
        <f>SUM('Stavební rozpočet (D14c)'!Z12:Z885)</f>
        <v>0</v>
      </c>
      <c r="D21" s="170" t="s">
        <v>10</v>
      </c>
      <c r="E21" s="171"/>
      <c r="F21" s="14" t="s">
        <v>10</v>
      </c>
      <c r="G21" s="170" t="s">
        <v>10</v>
      </c>
      <c r="H21" s="171"/>
      <c r="I21" s="14" t="s">
        <v>10</v>
      </c>
    </row>
    <row r="22" spans="1:9" ht="16.5" customHeight="1" x14ac:dyDescent="0.35">
      <c r="A22" s="137" t="s">
        <v>40</v>
      </c>
      <c r="B22" s="168"/>
      <c r="C22" s="15">
        <f>SUM(C14:C21)</f>
        <v>0</v>
      </c>
      <c r="D22" s="172" t="s">
        <v>41</v>
      </c>
      <c r="E22" s="168"/>
      <c r="F22" s="15">
        <f>SUM(F14:F21)</f>
        <v>0</v>
      </c>
      <c r="G22" s="172" t="s">
        <v>42</v>
      </c>
      <c r="H22" s="168"/>
      <c r="I22" s="15">
        <f>SUM(I14:I21)</f>
        <v>0</v>
      </c>
    </row>
    <row r="23" spans="1:9" ht="15.5" x14ac:dyDescent="0.35">
      <c r="G23" s="128" t="s">
        <v>43</v>
      </c>
      <c r="H23" s="129"/>
      <c r="I23" s="10">
        <f>'VORN objektu (D14c)'!I36</f>
        <v>0</v>
      </c>
    </row>
    <row r="25" spans="1:9" ht="15.5" x14ac:dyDescent="0.35">
      <c r="A25" s="141" t="s">
        <v>44</v>
      </c>
      <c r="B25" s="132"/>
      <c r="C25" s="16">
        <f>SUM('Stavební rozpočet (D14c)'!AJ12:AJ885)</f>
        <v>0</v>
      </c>
    </row>
    <row r="26" spans="1:9" ht="15.5" x14ac:dyDescent="0.35">
      <c r="A26" s="130" t="s">
        <v>45</v>
      </c>
      <c r="B26" s="131"/>
      <c r="C26" s="17">
        <f>SUM('Stavební rozpočet (D14c)'!AK12:AK885)</f>
        <v>0</v>
      </c>
      <c r="D26" s="173" t="s">
        <v>46</v>
      </c>
      <c r="E26" s="132"/>
      <c r="F26" s="16">
        <f>ROUND(C26*(12/100),2)</f>
        <v>0</v>
      </c>
      <c r="G26" s="173" t="s">
        <v>47</v>
      </c>
      <c r="H26" s="132"/>
      <c r="I26" s="16">
        <f>SUM(C25:C27)</f>
        <v>0</v>
      </c>
    </row>
    <row r="27" spans="1:9" ht="15.5" x14ac:dyDescent="0.35">
      <c r="A27" s="130" t="s">
        <v>48</v>
      </c>
      <c r="B27" s="131"/>
      <c r="C27" s="17">
        <f>SUM('Stavební rozpočet (D14c)'!AL12:AL885)+(F22+I22+F23+I23+I24)</f>
        <v>0</v>
      </c>
      <c r="D27" s="174" t="s">
        <v>49</v>
      </c>
      <c r="E27" s="131"/>
      <c r="F27" s="17">
        <f>ROUND(C27*(21/100),2)</f>
        <v>0</v>
      </c>
      <c r="G27" s="174" t="s">
        <v>50</v>
      </c>
      <c r="H27" s="131"/>
      <c r="I27" s="17">
        <f>SUM(F26:F27)+I26</f>
        <v>0</v>
      </c>
    </row>
    <row r="29" spans="1:9" ht="15.5" x14ac:dyDescent="0.35">
      <c r="A29" s="142" t="s">
        <v>51</v>
      </c>
      <c r="B29" s="175"/>
      <c r="C29" s="144"/>
      <c r="D29" s="177" t="s">
        <v>52</v>
      </c>
      <c r="E29" s="175"/>
      <c r="F29" s="144"/>
      <c r="G29" s="177" t="s">
        <v>53</v>
      </c>
      <c r="H29" s="175"/>
      <c r="I29" s="144"/>
    </row>
    <row r="30" spans="1:9" ht="15.5" x14ac:dyDescent="0.35">
      <c r="A30" s="145" t="s">
        <v>10</v>
      </c>
      <c r="B30" s="176"/>
      <c r="C30" s="146"/>
      <c r="D30" s="178" t="s">
        <v>10</v>
      </c>
      <c r="E30" s="176"/>
      <c r="F30" s="146"/>
      <c r="G30" s="178" t="s">
        <v>10</v>
      </c>
      <c r="H30" s="176"/>
      <c r="I30" s="146"/>
    </row>
    <row r="31" spans="1:9" ht="15.5" x14ac:dyDescent="0.35">
      <c r="A31" s="145" t="s">
        <v>10</v>
      </c>
      <c r="B31" s="176"/>
      <c r="C31" s="146"/>
      <c r="D31" s="178" t="s">
        <v>10</v>
      </c>
      <c r="E31" s="176"/>
      <c r="F31" s="146"/>
      <c r="G31" s="178" t="s">
        <v>10</v>
      </c>
      <c r="H31" s="176"/>
      <c r="I31" s="146"/>
    </row>
    <row r="32" spans="1:9" ht="15.5" x14ac:dyDescent="0.35">
      <c r="A32" s="145" t="s">
        <v>10</v>
      </c>
      <c r="B32" s="176"/>
      <c r="C32" s="146"/>
      <c r="D32" s="178" t="s">
        <v>10</v>
      </c>
      <c r="E32" s="176"/>
      <c r="F32" s="146"/>
      <c r="G32" s="178" t="s">
        <v>10</v>
      </c>
      <c r="H32" s="176"/>
      <c r="I32" s="146"/>
    </row>
    <row r="33" spans="1:9" ht="15.5" x14ac:dyDescent="0.35">
      <c r="A33" s="147" t="s">
        <v>54</v>
      </c>
      <c r="B33" s="180"/>
      <c r="C33" s="149"/>
      <c r="D33" s="179" t="s">
        <v>54</v>
      </c>
      <c r="E33" s="180"/>
      <c r="F33" s="149"/>
      <c r="G33" s="179" t="s">
        <v>54</v>
      </c>
      <c r="H33" s="180"/>
      <c r="I33" s="149"/>
    </row>
    <row r="34" spans="1:9" ht="14.5" x14ac:dyDescent="0.35">
      <c r="A34" s="18" t="s">
        <v>55</v>
      </c>
    </row>
    <row r="35" spans="1:9" ht="12.75" customHeight="1" x14ac:dyDescent="0.35">
      <c r="A35" s="155" t="s">
        <v>10</v>
      </c>
      <c r="B35" s="153"/>
      <c r="C35" s="153"/>
      <c r="D35" s="153"/>
      <c r="E35" s="153"/>
      <c r="F35" s="153"/>
      <c r="G35" s="153"/>
      <c r="H35" s="153"/>
      <c r="I35" s="153"/>
    </row>
  </sheetData>
  <sheetProtection password="E512" sheet="1"/>
  <mergeCells count="80">
    <mergeCell ref="D32:F32"/>
    <mergeCell ref="D33:F33"/>
    <mergeCell ref="G32:I32"/>
    <mergeCell ref="G33:I33"/>
    <mergeCell ref="A35:I35"/>
    <mergeCell ref="A32:C32"/>
    <mergeCell ref="A33:C33"/>
    <mergeCell ref="G26:H26"/>
    <mergeCell ref="G27:H27"/>
    <mergeCell ref="A29:C29"/>
    <mergeCell ref="A30:C30"/>
    <mergeCell ref="A31:C31"/>
    <mergeCell ref="G29:I29"/>
    <mergeCell ref="G30:I30"/>
    <mergeCell ref="G31:I31"/>
    <mergeCell ref="D29:F29"/>
    <mergeCell ref="D30:F30"/>
    <mergeCell ref="D31:F31"/>
    <mergeCell ref="A25:B25"/>
    <mergeCell ref="A26:B26"/>
    <mergeCell ref="A27:B27"/>
    <mergeCell ref="D26:E26"/>
    <mergeCell ref="D27:E27"/>
    <mergeCell ref="G19:H19"/>
    <mergeCell ref="G20:H20"/>
    <mergeCell ref="G21:H21"/>
    <mergeCell ref="G22:H22"/>
    <mergeCell ref="G23:H23"/>
    <mergeCell ref="G14:H14"/>
    <mergeCell ref="G15:H15"/>
    <mergeCell ref="G16:H16"/>
    <mergeCell ref="G17:H17"/>
    <mergeCell ref="G18:H18"/>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A36" sqref="A36:E36"/>
    </sheetView>
  </sheetViews>
  <sheetFormatPr defaultColWidth="12.1796875" defaultRowHeight="15" customHeight="1" x14ac:dyDescent="0.35"/>
  <cols>
    <col min="1" max="1" width="9.1796875" customWidth="1"/>
    <col min="2" max="2" width="12.81640625" customWidth="1"/>
    <col min="3" max="3" width="22.81640625" customWidth="1"/>
    <col min="4" max="4" width="10" customWidth="1"/>
    <col min="5" max="5" width="14" customWidth="1"/>
    <col min="6" max="6" width="22.81640625" customWidth="1"/>
    <col min="7" max="7" width="9.1796875" customWidth="1"/>
    <col min="8" max="8" width="17.1796875" customWidth="1"/>
    <col min="9" max="9" width="22.81640625" customWidth="1"/>
  </cols>
  <sheetData>
    <row r="1" spans="1:9" ht="54.75" customHeight="1" x14ac:dyDescent="0.35">
      <c r="A1" s="150" t="s">
        <v>1510</v>
      </c>
      <c r="B1" s="151"/>
      <c r="C1" s="151"/>
      <c r="D1" s="151"/>
      <c r="E1" s="151"/>
      <c r="F1" s="151"/>
      <c r="G1" s="151"/>
      <c r="H1" s="151"/>
      <c r="I1" s="151"/>
    </row>
    <row r="2" spans="1:9" ht="14.5" x14ac:dyDescent="0.35">
      <c r="A2" s="106" t="s">
        <v>1</v>
      </c>
      <c r="B2" s="107"/>
      <c r="C2" s="110" t="str">
        <f>'Stavební rozpočet'!C2</f>
        <v>SOŠ,SOU Třešť - Rekonstrukce 4NP DM</v>
      </c>
      <c r="D2" s="111"/>
      <c r="E2" s="113" t="s">
        <v>2</v>
      </c>
      <c r="F2" s="113" t="str">
        <f>'Stavební rozpočet'!I2</f>
        <v>Kraj Vysočina</v>
      </c>
      <c r="G2" s="107"/>
      <c r="H2" s="113" t="s">
        <v>3</v>
      </c>
      <c r="I2" s="114" t="s">
        <v>4</v>
      </c>
    </row>
    <row r="3" spans="1:9" ht="15" customHeight="1" x14ac:dyDescent="0.35">
      <c r="A3" s="152"/>
      <c r="B3" s="153"/>
      <c r="C3" s="158"/>
      <c r="D3" s="158"/>
      <c r="E3" s="153"/>
      <c r="F3" s="153"/>
      <c r="G3" s="153"/>
      <c r="H3" s="153"/>
      <c r="I3" s="156"/>
    </row>
    <row r="4" spans="1:9" ht="14.5" x14ac:dyDescent="0.35">
      <c r="A4" s="154" t="s">
        <v>5</v>
      </c>
      <c r="B4" s="153"/>
      <c r="C4" s="155" t="str">
        <f>'Stavební rozpočet'!C4</f>
        <v xml:space="preserve"> </v>
      </c>
      <c r="D4" s="153"/>
      <c r="E4" s="155" t="s">
        <v>6</v>
      </c>
      <c r="F4" s="155" t="str">
        <f>'Stavební rozpočet'!I4</f>
        <v>Ing. Miroslav Korecký</v>
      </c>
      <c r="G4" s="153"/>
      <c r="H4" s="155" t="s">
        <v>3</v>
      </c>
      <c r="I4" s="156" t="s">
        <v>7</v>
      </c>
    </row>
    <row r="5" spans="1:9" ht="15" customHeight="1" x14ac:dyDescent="0.35">
      <c r="A5" s="152"/>
      <c r="B5" s="153"/>
      <c r="C5" s="153"/>
      <c r="D5" s="153"/>
      <c r="E5" s="153"/>
      <c r="F5" s="153"/>
      <c r="G5" s="153"/>
      <c r="H5" s="153"/>
      <c r="I5" s="156"/>
    </row>
    <row r="6" spans="1:9" ht="14.5" x14ac:dyDescent="0.35">
      <c r="A6" s="154" t="s">
        <v>8</v>
      </c>
      <c r="B6" s="153"/>
      <c r="C6" s="155" t="str">
        <f>'Stavební rozpočet'!C6</f>
        <v>Domov mládeže - Rekonstrukce 4NP</v>
      </c>
      <c r="D6" s="153"/>
      <c r="E6" s="155" t="s">
        <v>9</v>
      </c>
      <c r="F6" s="155" t="str">
        <f>'Stavební rozpočet'!I6</f>
        <v> </v>
      </c>
      <c r="G6" s="153"/>
      <c r="H6" s="155" t="s">
        <v>3</v>
      </c>
      <c r="I6" s="156" t="s">
        <v>10</v>
      </c>
    </row>
    <row r="7" spans="1:9" ht="15" customHeight="1" x14ac:dyDescent="0.35">
      <c r="A7" s="152"/>
      <c r="B7" s="153"/>
      <c r="C7" s="153"/>
      <c r="D7" s="153"/>
      <c r="E7" s="153"/>
      <c r="F7" s="153"/>
      <c r="G7" s="153"/>
      <c r="H7" s="153"/>
      <c r="I7" s="156"/>
    </row>
    <row r="8" spans="1:9" ht="14.5" x14ac:dyDescent="0.35">
      <c r="A8" s="154" t="s">
        <v>11</v>
      </c>
      <c r="B8" s="153"/>
      <c r="C8" s="155" t="str">
        <f>'Stavební rozpočet'!F4</f>
        <v>22.01.2025</v>
      </c>
      <c r="D8" s="153"/>
      <c r="E8" s="155" t="s">
        <v>12</v>
      </c>
      <c r="F8" s="155" t="str">
        <f>'Stavební rozpočet'!F6</f>
        <v xml:space="preserve"> </v>
      </c>
      <c r="G8" s="153"/>
      <c r="H8" s="153" t="s">
        <v>13</v>
      </c>
      <c r="I8" s="157">
        <v>78</v>
      </c>
    </row>
    <row r="9" spans="1:9" ht="14.5" x14ac:dyDescent="0.35">
      <c r="A9" s="152"/>
      <c r="B9" s="153"/>
      <c r="C9" s="153"/>
      <c r="D9" s="153"/>
      <c r="E9" s="153"/>
      <c r="F9" s="153"/>
      <c r="G9" s="153"/>
      <c r="H9" s="153"/>
      <c r="I9" s="156"/>
    </row>
    <row r="10" spans="1:9" ht="14.5" x14ac:dyDescent="0.35">
      <c r="A10" s="154" t="s">
        <v>14</v>
      </c>
      <c r="B10" s="153"/>
      <c r="C10" s="155" t="str">
        <f>'Stavební rozpočet'!C8</f>
        <v>801753</v>
      </c>
      <c r="D10" s="153"/>
      <c r="E10" s="155" t="s">
        <v>15</v>
      </c>
      <c r="F10" s="155" t="str">
        <f>'Stavební rozpočet'!I8</f>
        <v>Ing. Miroslav Korecký</v>
      </c>
      <c r="G10" s="153"/>
      <c r="H10" s="153" t="s">
        <v>16</v>
      </c>
      <c r="I10" s="160" t="str">
        <f>'Stavební rozpočet'!F8</f>
        <v>22.01.2025</v>
      </c>
    </row>
    <row r="11" spans="1:9" ht="14.5" x14ac:dyDescent="0.35">
      <c r="A11" s="165"/>
      <c r="B11" s="159"/>
      <c r="C11" s="159"/>
      <c r="D11" s="159"/>
      <c r="E11" s="159"/>
      <c r="F11" s="159"/>
      <c r="G11" s="159"/>
      <c r="H11" s="159"/>
      <c r="I11" s="161"/>
    </row>
    <row r="13" spans="1:9" ht="15.5" x14ac:dyDescent="0.35">
      <c r="A13" s="181" t="s">
        <v>57</v>
      </c>
      <c r="B13" s="181"/>
      <c r="C13" s="181"/>
      <c r="D13" s="181"/>
      <c r="E13" s="181"/>
    </row>
    <row r="14" spans="1:9" ht="14.5" x14ac:dyDescent="0.35">
      <c r="A14" s="182" t="s">
        <v>58</v>
      </c>
      <c r="B14" s="183"/>
      <c r="C14" s="183"/>
      <c r="D14" s="183"/>
      <c r="E14" s="184"/>
      <c r="F14" s="19" t="s">
        <v>59</v>
      </c>
      <c r="G14" s="19" t="s">
        <v>60</v>
      </c>
      <c r="H14" s="19" t="s">
        <v>61</v>
      </c>
      <c r="I14" s="19" t="s">
        <v>59</v>
      </c>
    </row>
    <row r="15" spans="1:9" ht="14.5" x14ac:dyDescent="0.35">
      <c r="A15" s="121" t="s">
        <v>26</v>
      </c>
      <c r="B15" s="122"/>
      <c r="C15" s="122"/>
      <c r="D15" s="122"/>
      <c r="E15" s="119"/>
      <c r="F15" s="20">
        <v>0</v>
      </c>
      <c r="G15" s="21" t="s">
        <v>10</v>
      </c>
      <c r="H15" s="21" t="s">
        <v>10</v>
      </c>
      <c r="I15" s="20">
        <f>F15</f>
        <v>0</v>
      </c>
    </row>
    <row r="16" spans="1:9" ht="14.5" x14ac:dyDescent="0.35">
      <c r="A16" s="121" t="s">
        <v>29</v>
      </c>
      <c r="B16" s="122"/>
      <c r="C16" s="122"/>
      <c r="D16" s="122"/>
      <c r="E16" s="119"/>
      <c r="F16" s="20">
        <v>0</v>
      </c>
      <c r="G16" s="21" t="s">
        <v>10</v>
      </c>
      <c r="H16" s="21" t="s">
        <v>10</v>
      </c>
      <c r="I16" s="20">
        <f>F16</f>
        <v>0</v>
      </c>
    </row>
    <row r="17" spans="1:9" ht="14.5" x14ac:dyDescent="0.35">
      <c r="A17" s="185" t="s">
        <v>32</v>
      </c>
      <c r="B17" s="186"/>
      <c r="C17" s="186"/>
      <c r="D17" s="186"/>
      <c r="E17" s="187"/>
      <c r="F17" s="22">
        <v>0</v>
      </c>
      <c r="G17" s="23" t="s">
        <v>10</v>
      </c>
      <c r="H17" s="23" t="s">
        <v>10</v>
      </c>
      <c r="I17" s="22">
        <f>F17</f>
        <v>0</v>
      </c>
    </row>
    <row r="18" spans="1:9" ht="14.5" x14ac:dyDescent="0.35">
      <c r="A18" s="188" t="s">
        <v>62</v>
      </c>
      <c r="B18" s="189"/>
      <c r="C18" s="189"/>
      <c r="D18" s="189"/>
      <c r="E18" s="190"/>
      <c r="F18" s="24" t="s">
        <v>10</v>
      </c>
      <c r="G18" s="25" t="s">
        <v>10</v>
      </c>
      <c r="H18" s="25" t="s">
        <v>10</v>
      </c>
      <c r="I18" s="26">
        <f>SUM(I15:I17)</f>
        <v>0</v>
      </c>
    </row>
    <row r="20" spans="1:9" ht="14.5" x14ac:dyDescent="0.35">
      <c r="A20" s="182" t="s">
        <v>23</v>
      </c>
      <c r="B20" s="183"/>
      <c r="C20" s="183"/>
      <c r="D20" s="183"/>
      <c r="E20" s="184"/>
      <c r="F20" s="19" t="s">
        <v>59</v>
      </c>
      <c r="G20" s="19" t="s">
        <v>60</v>
      </c>
      <c r="H20" s="19" t="s">
        <v>61</v>
      </c>
      <c r="I20" s="19" t="s">
        <v>59</v>
      </c>
    </row>
    <row r="21" spans="1:9" ht="14.5" x14ac:dyDescent="0.35">
      <c r="A21" s="121" t="s">
        <v>27</v>
      </c>
      <c r="B21" s="122"/>
      <c r="C21" s="122"/>
      <c r="D21" s="122"/>
      <c r="E21" s="119"/>
      <c r="F21" s="20">
        <v>0</v>
      </c>
      <c r="G21" s="21" t="s">
        <v>10</v>
      </c>
      <c r="H21" s="21" t="s">
        <v>10</v>
      </c>
      <c r="I21" s="20">
        <f t="shared" ref="I21:I26" si="0">F21</f>
        <v>0</v>
      </c>
    </row>
    <row r="22" spans="1:9" ht="14.5" x14ac:dyDescent="0.35">
      <c r="A22" s="121" t="s">
        <v>30</v>
      </c>
      <c r="B22" s="122"/>
      <c r="C22" s="122"/>
      <c r="D22" s="122"/>
      <c r="E22" s="119"/>
      <c r="F22" s="20">
        <v>0</v>
      </c>
      <c r="G22" s="21" t="s">
        <v>10</v>
      </c>
      <c r="H22" s="21" t="s">
        <v>10</v>
      </c>
      <c r="I22" s="20">
        <f t="shared" si="0"/>
        <v>0</v>
      </c>
    </row>
    <row r="23" spans="1:9" ht="14.5" x14ac:dyDescent="0.35">
      <c r="A23" s="121" t="s">
        <v>33</v>
      </c>
      <c r="B23" s="122"/>
      <c r="C23" s="122"/>
      <c r="D23" s="122"/>
      <c r="E23" s="119"/>
      <c r="F23" s="20">
        <v>0</v>
      </c>
      <c r="G23" s="21" t="s">
        <v>10</v>
      </c>
      <c r="H23" s="21" t="s">
        <v>10</v>
      </c>
      <c r="I23" s="20">
        <f t="shared" si="0"/>
        <v>0</v>
      </c>
    </row>
    <row r="24" spans="1:9" ht="14.5" x14ac:dyDescent="0.35">
      <c r="A24" s="121" t="s">
        <v>34</v>
      </c>
      <c r="B24" s="122"/>
      <c r="C24" s="122"/>
      <c r="D24" s="122"/>
      <c r="E24" s="119"/>
      <c r="F24" s="20">
        <v>0</v>
      </c>
      <c r="G24" s="21" t="s">
        <v>10</v>
      </c>
      <c r="H24" s="21" t="s">
        <v>10</v>
      </c>
      <c r="I24" s="20">
        <f t="shared" si="0"/>
        <v>0</v>
      </c>
    </row>
    <row r="25" spans="1:9" ht="14.5" x14ac:dyDescent="0.35">
      <c r="A25" s="121" t="s">
        <v>36</v>
      </c>
      <c r="B25" s="122"/>
      <c r="C25" s="122"/>
      <c r="D25" s="122"/>
      <c r="E25" s="119"/>
      <c r="F25" s="20">
        <v>0</v>
      </c>
      <c r="G25" s="21" t="s">
        <v>10</v>
      </c>
      <c r="H25" s="21" t="s">
        <v>10</v>
      </c>
      <c r="I25" s="20">
        <f t="shared" si="0"/>
        <v>0</v>
      </c>
    </row>
    <row r="26" spans="1:9" ht="14.5" x14ac:dyDescent="0.35">
      <c r="A26" s="185" t="s">
        <v>37</v>
      </c>
      <c r="B26" s="186"/>
      <c r="C26" s="186"/>
      <c r="D26" s="186"/>
      <c r="E26" s="187"/>
      <c r="F26" s="22">
        <v>0</v>
      </c>
      <c r="G26" s="23" t="s">
        <v>10</v>
      </c>
      <c r="H26" s="23" t="s">
        <v>10</v>
      </c>
      <c r="I26" s="22">
        <f t="shared" si="0"/>
        <v>0</v>
      </c>
    </row>
    <row r="27" spans="1:9" ht="14.5" x14ac:dyDescent="0.35">
      <c r="A27" s="188" t="s">
        <v>63</v>
      </c>
      <c r="B27" s="189"/>
      <c r="C27" s="189"/>
      <c r="D27" s="189"/>
      <c r="E27" s="190"/>
      <c r="F27" s="24" t="s">
        <v>10</v>
      </c>
      <c r="G27" s="25" t="s">
        <v>10</v>
      </c>
      <c r="H27" s="25" t="s">
        <v>10</v>
      </c>
      <c r="I27" s="26">
        <f>SUM(I21:I26)</f>
        <v>0</v>
      </c>
    </row>
    <row r="29" spans="1:9" ht="15.5" x14ac:dyDescent="0.35">
      <c r="A29" s="191" t="s">
        <v>64</v>
      </c>
      <c r="B29" s="192"/>
      <c r="C29" s="192"/>
      <c r="D29" s="192"/>
      <c r="E29" s="193"/>
      <c r="F29" s="194">
        <f>I18+I27</f>
        <v>0</v>
      </c>
      <c r="G29" s="195"/>
      <c r="H29" s="195"/>
      <c r="I29" s="196"/>
    </row>
    <row r="33" spans="1:9" ht="15.5" x14ac:dyDescent="0.35">
      <c r="A33" s="181" t="s">
        <v>65</v>
      </c>
      <c r="B33" s="181"/>
      <c r="C33" s="181"/>
      <c r="D33" s="181"/>
      <c r="E33" s="181"/>
    </row>
    <row r="34" spans="1:9" ht="14.5" x14ac:dyDescent="0.35">
      <c r="A34" s="182" t="s">
        <v>66</v>
      </c>
      <c r="B34" s="183"/>
      <c r="C34" s="183"/>
      <c r="D34" s="183"/>
      <c r="E34" s="184"/>
      <c r="F34" s="19" t="s">
        <v>59</v>
      </c>
      <c r="G34" s="19" t="s">
        <v>60</v>
      </c>
      <c r="H34" s="19" t="s">
        <v>61</v>
      </c>
      <c r="I34" s="19" t="s">
        <v>59</v>
      </c>
    </row>
    <row r="35" spans="1:9" ht="14.5" x14ac:dyDescent="0.35">
      <c r="A35" s="185" t="s">
        <v>10</v>
      </c>
      <c r="B35" s="186"/>
      <c r="C35" s="186"/>
      <c r="D35" s="186"/>
      <c r="E35" s="187"/>
      <c r="F35" s="22">
        <v>0</v>
      </c>
      <c r="G35" s="23" t="s">
        <v>10</v>
      </c>
      <c r="H35" s="23" t="s">
        <v>10</v>
      </c>
      <c r="I35" s="22">
        <f>F35</f>
        <v>0</v>
      </c>
    </row>
    <row r="36" spans="1:9" ht="14.5" x14ac:dyDescent="0.35">
      <c r="A36" s="188" t="s">
        <v>67</v>
      </c>
      <c r="B36" s="189"/>
      <c r="C36" s="189"/>
      <c r="D36" s="189"/>
      <c r="E36" s="190"/>
      <c r="F36" s="24" t="s">
        <v>10</v>
      </c>
      <c r="G36" s="25" t="s">
        <v>10</v>
      </c>
      <c r="H36" s="25" t="s">
        <v>10</v>
      </c>
      <c r="I36" s="26">
        <f>SUM(I35:I35)</f>
        <v>0</v>
      </c>
    </row>
  </sheetData>
  <sheetProtection password="E512" sheet="1"/>
  <mergeCells count="51">
    <mergeCell ref="A36:E36"/>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59"/>
  <sheetViews>
    <sheetView workbookViewId="0">
      <pane ySplit="11" topLeftCell="A12" activePane="bottomLeft" state="frozen"/>
      <selection activeCell="E43" sqref="E43"/>
      <selection pane="bottomLeft" activeCell="I165" sqref="I165"/>
    </sheetView>
  </sheetViews>
  <sheetFormatPr defaultColWidth="12.1796875" defaultRowHeight="15" customHeight="1" x14ac:dyDescent="0.35"/>
  <cols>
    <col min="1" max="1" width="3.1796875" customWidth="1"/>
    <col min="2" max="2" width="7.54296875" customWidth="1"/>
    <col min="3" max="3" width="17.81640625" customWidth="1"/>
    <col min="4" max="4" width="42.81640625" customWidth="1"/>
    <col min="5" max="5" width="35.7265625" customWidth="1"/>
    <col min="6" max="6" width="10.453125" customWidth="1"/>
    <col min="7" max="7" width="12.81640625" customWidth="1"/>
    <col min="8" max="8" width="12" customWidth="1"/>
    <col min="9" max="9" width="15.7265625" customWidth="1"/>
    <col min="10" max="12" width="11.7265625" customWidth="1"/>
    <col min="13" max="13" width="17.7265625" customWidth="1"/>
    <col min="25" max="75" width="12.1796875" hidden="1"/>
    <col min="76" max="76" width="78.54296875" hidden="1" customWidth="1"/>
    <col min="77" max="78" width="12.1796875" hidden="1"/>
  </cols>
  <sheetData>
    <row r="1" spans="1:76" ht="54.75" customHeight="1" x14ac:dyDescent="0.35">
      <c r="A1" s="151" t="s">
        <v>1511</v>
      </c>
      <c r="B1" s="151"/>
      <c r="C1" s="151"/>
      <c r="D1" s="151"/>
      <c r="E1" s="151"/>
      <c r="F1" s="151"/>
      <c r="G1" s="151"/>
      <c r="H1" s="151"/>
      <c r="I1" s="151"/>
      <c r="J1" s="151"/>
      <c r="K1" s="151"/>
      <c r="L1" s="151"/>
      <c r="M1" s="151"/>
      <c r="AS1" s="27">
        <f>SUM(AJ1:AJ2)</f>
        <v>0</v>
      </c>
      <c r="AT1" s="27">
        <f>SUM(AK1:AK2)</f>
        <v>0</v>
      </c>
      <c r="AU1" s="27">
        <f>SUM(AL1:AL2)</f>
        <v>0</v>
      </c>
    </row>
    <row r="2" spans="1:76" ht="14.5" x14ac:dyDescent="0.35">
      <c r="A2" s="106" t="s">
        <v>1</v>
      </c>
      <c r="B2" s="107"/>
      <c r="C2" s="107"/>
      <c r="D2" s="110" t="str">
        <f>'Stavební rozpočet'!C2</f>
        <v>SOŠ,SOU Třešť - Rekonstrukce 4NP DM</v>
      </c>
      <c r="E2" s="111"/>
      <c r="F2" s="107" t="s">
        <v>69</v>
      </c>
      <c r="G2" s="107"/>
      <c r="H2" s="113" t="str">
        <f>'Stavební rozpočet'!F2</f>
        <v xml:space="preserve"> </v>
      </c>
      <c r="I2" s="113" t="s">
        <v>2</v>
      </c>
      <c r="J2" s="107"/>
      <c r="K2" s="113" t="str">
        <f>'Stavební rozpočet'!I2</f>
        <v>Kraj Vysočina</v>
      </c>
      <c r="L2" s="107"/>
      <c r="M2" s="114"/>
    </row>
    <row r="3" spans="1:76" ht="14.5" x14ac:dyDescent="0.35">
      <c r="A3" s="152"/>
      <c r="B3" s="153"/>
      <c r="C3" s="153"/>
      <c r="D3" s="158"/>
      <c r="E3" s="158"/>
      <c r="F3" s="153"/>
      <c r="G3" s="153"/>
      <c r="H3" s="153"/>
      <c r="I3" s="153"/>
      <c r="J3" s="153"/>
      <c r="K3" s="153"/>
      <c r="L3" s="153"/>
      <c r="M3" s="156"/>
    </row>
    <row r="4" spans="1:76" ht="14.5" x14ac:dyDescent="0.35">
      <c r="A4" s="154" t="s">
        <v>5</v>
      </c>
      <c r="B4" s="153"/>
      <c r="C4" s="153"/>
      <c r="D4" s="155" t="str">
        <f>'Stavební rozpočet'!C4</f>
        <v xml:space="preserve"> </v>
      </c>
      <c r="E4" s="153"/>
      <c r="F4" s="153" t="s">
        <v>11</v>
      </c>
      <c r="G4" s="153"/>
      <c r="H4" s="155" t="str">
        <f>'Stavební rozpočet'!F4</f>
        <v>22.01.2025</v>
      </c>
      <c r="I4" s="155" t="s">
        <v>6</v>
      </c>
      <c r="J4" s="153"/>
      <c r="K4" s="155" t="str">
        <f>'Stavební rozpočet'!I4</f>
        <v>Ing. Miroslav Korecký</v>
      </c>
      <c r="L4" s="153"/>
      <c r="M4" s="156"/>
    </row>
    <row r="5" spans="1:76" ht="14.5" x14ac:dyDescent="0.35">
      <c r="A5" s="152"/>
      <c r="B5" s="153"/>
      <c r="C5" s="153"/>
      <c r="D5" s="153"/>
      <c r="E5" s="153"/>
      <c r="F5" s="153"/>
      <c r="G5" s="153"/>
      <c r="H5" s="153"/>
      <c r="I5" s="153"/>
      <c r="J5" s="153"/>
      <c r="K5" s="153"/>
      <c r="L5" s="153"/>
      <c r="M5" s="156"/>
    </row>
    <row r="6" spans="1:76" ht="14.5" x14ac:dyDescent="0.35">
      <c r="A6" s="154" t="s">
        <v>8</v>
      </c>
      <c r="B6" s="153"/>
      <c r="C6" s="153"/>
      <c r="D6" s="155" t="str">
        <f>'Stavební rozpočet'!C6</f>
        <v>Domov mládeže - Rekonstrukce 4NP</v>
      </c>
      <c r="E6" s="153"/>
      <c r="F6" s="153" t="s">
        <v>12</v>
      </c>
      <c r="G6" s="153"/>
      <c r="H6" s="155" t="str">
        <f>'Stavební rozpočet'!F6</f>
        <v xml:space="preserve"> </v>
      </c>
      <c r="I6" s="155" t="s">
        <v>9</v>
      </c>
      <c r="J6" s="153"/>
      <c r="K6" s="155" t="str">
        <f>'Stavební rozpočet'!I6</f>
        <v> </v>
      </c>
      <c r="L6" s="153"/>
      <c r="M6" s="156"/>
    </row>
    <row r="7" spans="1:76" ht="14.5" x14ac:dyDescent="0.35">
      <c r="A7" s="152"/>
      <c r="B7" s="153"/>
      <c r="C7" s="153"/>
      <c r="D7" s="153"/>
      <c r="E7" s="153"/>
      <c r="F7" s="153"/>
      <c r="G7" s="153"/>
      <c r="H7" s="153"/>
      <c r="I7" s="153"/>
      <c r="J7" s="153"/>
      <c r="K7" s="153"/>
      <c r="L7" s="153"/>
      <c r="M7" s="156"/>
    </row>
    <row r="8" spans="1:76" ht="14.5" x14ac:dyDescent="0.35">
      <c r="A8" s="154" t="s">
        <v>14</v>
      </c>
      <c r="B8" s="153"/>
      <c r="C8" s="153"/>
      <c r="D8" s="155" t="str">
        <f>'Stavební rozpočet'!C8</f>
        <v>801753</v>
      </c>
      <c r="E8" s="153"/>
      <c r="F8" s="153" t="s">
        <v>70</v>
      </c>
      <c r="G8" s="153"/>
      <c r="H8" s="155" t="str">
        <f>'Stavební rozpočet'!F8</f>
        <v>22.01.2025</v>
      </c>
      <c r="I8" s="155" t="s">
        <v>15</v>
      </c>
      <c r="J8" s="153"/>
      <c r="K8" s="155" t="str">
        <f>'Stavební rozpočet'!I8</f>
        <v>Ing. Miroslav Korecký</v>
      </c>
      <c r="L8" s="153"/>
      <c r="M8" s="156"/>
    </row>
    <row r="9" spans="1:76" ht="14.5" x14ac:dyDescent="0.35">
      <c r="A9" s="197"/>
      <c r="B9" s="198"/>
      <c r="C9" s="198"/>
      <c r="D9" s="198"/>
      <c r="E9" s="198"/>
      <c r="F9" s="198"/>
      <c r="G9" s="198"/>
      <c r="H9" s="198"/>
      <c r="I9" s="198"/>
      <c r="J9" s="198"/>
      <c r="K9" s="198"/>
      <c r="L9" s="198"/>
      <c r="M9" s="208"/>
    </row>
    <row r="10" spans="1:76" ht="14.5" x14ac:dyDescent="0.35">
      <c r="A10" s="28" t="s">
        <v>71</v>
      </c>
      <c r="B10" s="29" t="s">
        <v>72</v>
      </c>
      <c r="C10" s="29" t="s">
        <v>73</v>
      </c>
      <c r="D10" s="209" t="s">
        <v>74</v>
      </c>
      <c r="E10" s="210"/>
      <c r="F10" s="29" t="s">
        <v>75</v>
      </c>
      <c r="G10" s="30" t="s">
        <v>76</v>
      </c>
      <c r="H10" s="31" t="s">
        <v>77</v>
      </c>
      <c r="I10" s="32" t="s">
        <v>78</v>
      </c>
      <c r="J10" s="201" t="s">
        <v>79</v>
      </c>
      <c r="K10" s="202"/>
      <c r="L10" s="203"/>
      <c r="M10" s="33" t="s">
        <v>80</v>
      </c>
      <c r="BK10" s="34" t="s">
        <v>81</v>
      </c>
      <c r="BL10" s="35" t="s">
        <v>82</v>
      </c>
      <c r="BW10" s="35" t="s">
        <v>83</v>
      </c>
    </row>
    <row r="11" spans="1:76" ht="14.5" x14ac:dyDescent="0.35">
      <c r="A11" s="36" t="s">
        <v>84</v>
      </c>
      <c r="B11" s="37" t="s">
        <v>84</v>
      </c>
      <c r="C11" s="37" t="s">
        <v>84</v>
      </c>
      <c r="D11" s="199" t="s">
        <v>85</v>
      </c>
      <c r="E11" s="200"/>
      <c r="F11" s="37" t="s">
        <v>84</v>
      </c>
      <c r="G11" s="37" t="s">
        <v>84</v>
      </c>
      <c r="H11" s="38" t="s">
        <v>86</v>
      </c>
      <c r="I11" s="39" t="s">
        <v>87</v>
      </c>
      <c r="J11" s="40" t="s">
        <v>88</v>
      </c>
      <c r="K11" s="41" t="s">
        <v>89</v>
      </c>
      <c r="L11" s="42" t="s">
        <v>87</v>
      </c>
      <c r="M11" s="43" t="s">
        <v>90</v>
      </c>
      <c r="Z11" s="34" t="s">
        <v>91</v>
      </c>
      <c r="AA11" s="34" t="s">
        <v>92</v>
      </c>
      <c r="AB11" s="34" t="s">
        <v>93</v>
      </c>
      <c r="AC11" s="34" t="s">
        <v>94</v>
      </c>
      <c r="AD11" s="34" t="s">
        <v>95</v>
      </c>
      <c r="AE11" s="34" t="s">
        <v>96</v>
      </c>
      <c r="AF11" s="34" t="s">
        <v>97</v>
      </c>
      <c r="AG11" s="34" t="s">
        <v>98</v>
      </c>
      <c r="AH11" s="34" t="s">
        <v>99</v>
      </c>
      <c r="BH11" s="34" t="s">
        <v>100</v>
      </c>
      <c r="BI11" s="34" t="s">
        <v>101</v>
      </c>
      <c r="BJ11" s="34" t="s">
        <v>102</v>
      </c>
    </row>
    <row r="12" spans="1:76" ht="14.5" x14ac:dyDescent="0.35">
      <c r="A12" s="44" t="s">
        <v>10</v>
      </c>
      <c r="B12" s="45" t="s">
        <v>1512</v>
      </c>
      <c r="C12" s="45" t="s">
        <v>10</v>
      </c>
      <c r="D12" s="204" t="s">
        <v>1513</v>
      </c>
      <c r="E12" s="205"/>
      <c r="F12" s="46" t="s">
        <v>84</v>
      </c>
      <c r="G12" s="46" t="s">
        <v>84</v>
      </c>
      <c r="H12" s="46" t="s">
        <v>84</v>
      </c>
      <c r="I12" s="47">
        <f>I13+I17+I32+I144</f>
        <v>0</v>
      </c>
      <c r="J12" s="48" t="s">
        <v>10</v>
      </c>
      <c r="K12" s="48" t="s">
        <v>10</v>
      </c>
      <c r="L12" s="47">
        <f>L13+L17+L32+L144</f>
        <v>1.2071400000000001</v>
      </c>
      <c r="M12" s="49" t="s">
        <v>10</v>
      </c>
    </row>
    <row r="13" spans="1:76" ht="14.5" x14ac:dyDescent="0.35">
      <c r="A13" s="50" t="s">
        <v>10</v>
      </c>
      <c r="B13" s="51" t="s">
        <v>1512</v>
      </c>
      <c r="C13" s="51" t="s">
        <v>1514</v>
      </c>
      <c r="D13" s="206" t="s">
        <v>1515</v>
      </c>
      <c r="E13" s="207"/>
      <c r="F13" s="52" t="s">
        <v>84</v>
      </c>
      <c r="G13" s="52" t="s">
        <v>84</v>
      </c>
      <c r="H13" s="52" t="s">
        <v>84</v>
      </c>
      <c r="I13" s="27">
        <f>SUM(I14:I14)</f>
        <v>0</v>
      </c>
      <c r="J13" s="34" t="s">
        <v>10</v>
      </c>
      <c r="K13" s="34" t="s">
        <v>10</v>
      </c>
      <c r="L13" s="27">
        <f>SUM(L14:L14)</f>
        <v>8.8440000000000005E-2</v>
      </c>
      <c r="M13" s="53" t="s">
        <v>10</v>
      </c>
      <c r="AI13" s="34" t="s">
        <v>1512</v>
      </c>
      <c r="AS13" s="27">
        <f>SUM(AJ14:AJ14)</f>
        <v>0</v>
      </c>
      <c r="AT13" s="27">
        <f>SUM(AK14:AK14)</f>
        <v>0</v>
      </c>
      <c r="AU13" s="27">
        <f>SUM(AL14:AL14)</f>
        <v>0</v>
      </c>
    </row>
    <row r="14" spans="1:76" ht="14.5" x14ac:dyDescent="0.35">
      <c r="A14" s="1" t="s">
        <v>107</v>
      </c>
      <c r="B14" s="2" t="s">
        <v>1512</v>
      </c>
      <c r="C14" s="2" t="s">
        <v>1516</v>
      </c>
      <c r="D14" s="155" t="s">
        <v>1517</v>
      </c>
      <c r="E14" s="153"/>
      <c r="F14" s="2" t="s">
        <v>196</v>
      </c>
      <c r="G14" s="54">
        <f>'Stavební rozpočet'!G697</f>
        <v>44</v>
      </c>
      <c r="H14" s="94">
        <f>'Stavební rozpočet'!H697</f>
        <v>0</v>
      </c>
      <c r="I14" s="54">
        <f>G14*H14</f>
        <v>0</v>
      </c>
      <c r="J14" s="54">
        <f>'Stavební rozpočet'!J697</f>
        <v>2.0100000000000001E-3</v>
      </c>
      <c r="K14" s="54">
        <f>'Stavební rozpočet'!K697</f>
        <v>0</v>
      </c>
      <c r="L14" s="54">
        <f>G14*J14</f>
        <v>8.8440000000000005E-2</v>
      </c>
      <c r="M14" s="55" t="s">
        <v>111</v>
      </c>
      <c r="Z14" s="54">
        <f>IF(AQ14="5",BJ14,0)</f>
        <v>0</v>
      </c>
      <c r="AB14" s="54">
        <f>IF(AQ14="1",BH14,0)</f>
        <v>0</v>
      </c>
      <c r="AC14" s="54">
        <f>IF(AQ14="1",BI14,0)</f>
        <v>0</v>
      </c>
      <c r="AD14" s="54">
        <f>IF(AQ14="7",BH14,0)</f>
        <v>0</v>
      </c>
      <c r="AE14" s="54">
        <f>IF(AQ14="7",BI14,0)</f>
        <v>0</v>
      </c>
      <c r="AF14" s="54">
        <f>IF(AQ14="2",BH14,0)</f>
        <v>0</v>
      </c>
      <c r="AG14" s="54">
        <f>IF(AQ14="2",BI14,0)</f>
        <v>0</v>
      </c>
      <c r="AH14" s="54">
        <f>IF(AQ14="0",BJ14,0)</f>
        <v>0</v>
      </c>
      <c r="AI14" s="34" t="s">
        <v>1512</v>
      </c>
      <c r="AJ14" s="54">
        <f>IF(AN14=0,I14,0)</f>
        <v>0</v>
      </c>
      <c r="AK14" s="54">
        <f>IF(AN14=12,I14,0)</f>
        <v>0</v>
      </c>
      <c r="AL14" s="54">
        <f>IF(AN14=21,I14,0)</f>
        <v>0</v>
      </c>
      <c r="AN14" s="54">
        <v>21</v>
      </c>
      <c r="AO14" s="54">
        <f>H14*0.269721126</f>
        <v>0</v>
      </c>
      <c r="AP14" s="54">
        <f>H14*(1-0.269721126)</f>
        <v>0</v>
      </c>
      <c r="AQ14" s="56" t="s">
        <v>168</v>
      </c>
      <c r="AV14" s="54">
        <f>AW14+AX14</f>
        <v>0</v>
      </c>
      <c r="AW14" s="54">
        <f>G14*AO14</f>
        <v>0</v>
      </c>
      <c r="AX14" s="54">
        <f>G14*AP14</f>
        <v>0</v>
      </c>
      <c r="AY14" s="56" t="s">
        <v>1518</v>
      </c>
      <c r="AZ14" s="56" t="s">
        <v>1519</v>
      </c>
      <c r="BA14" s="34" t="s">
        <v>1520</v>
      </c>
      <c r="BC14" s="54">
        <f>AW14+AX14</f>
        <v>0</v>
      </c>
      <c r="BD14" s="54">
        <f>H14/(100-BE14)*100</f>
        <v>0</v>
      </c>
      <c r="BE14" s="54">
        <v>0</v>
      </c>
      <c r="BF14" s="54">
        <f>L14</f>
        <v>8.8440000000000005E-2</v>
      </c>
      <c r="BH14" s="54">
        <f>G14*AO14</f>
        <v>0</v>
      </c>
      <c r="BI14" s="54">
        <f>G14*AP14</f>
        <v>0</v>
      </c>
      <c r="BJ14" s="54">
        <f>G14*H14</f>
        <v>0</v>
      </c>
      <c r="BK14" s="54"/>
      <c r="BL14" s="54">
        <v>713</v>
      </c>
      <c r="BW14" s="54">
        <v>21</v>
      </c>
      <c r="BX14" s="3" t="s">
        <v>1517</v>
      </c>
    </row>
    <row r="15" spans="1:76" ht="13.5" customHeight="1" x14ac:dyDescent="0.35">
      <c r="A15" s="57"/>
      <c r="C15" s="62" t="s">
        <v>122</v>
      </c>
      <c r="D15" s="214" t="s">
        <v>1521</v>
      </c>
      <c r="E15" s="215"/>
      <c r="F15" s="215"/>
      <c r="G15" s="215"/>
      <c r="H15" s="215"/>
      <c r="I15" s="215"/>
      <c r="J15" s="215"/>
      <c r="K15" s="215"/>
      <c r="L15" s="215"/>
      <c r="M15" s="216"/>
    </row>
    <row r="16" spans="1:76" ht="14.5" x14ac:dyDescent="0.35">
      <c r="A16" s="57"/>
      <c r="C16" s="62" t="s">
        <v>156</v>
      </c>
      <c r="D16" s="211" t="s">
        <v>1522</v>
      </c>
      <c r="E16" s="212"/>
      <c r="F16" s="212"/>
      <c r="G16" s="212"/>
      <c r="H16" s="212"/>
      <c r="I16" s="212"/>
      <c r="J16" s="212"/>
      <c r="K16" s="212"/>
      <c r="L16" s="212"/>
      <c r="M16" s="213"/>
      <c r="BX16" s="63" t="s">
        <v>1522</v>
      </c>
    </row>
    <row r="17" spans="1:76" ht="14.5" x14ac:dyDescent="0.35">
      <c r="A17" s="50" t="s">
        <v>10</v>
      </c>
      <c r="B17" s="51" t="s">
        <v>1512</v>
      </c>
      <c r="C17" s="51" t="s">
        <v>1523</v>
      </c>
      <c r="D17" s="206" t="s">
        <v>1524</v>
      </c>
      <c r="E17" s="207"/>
      <c r="F17" s="52" t="s">
        <v>84</v>
      </c>
      <c r="G17" s="52" t="s">
        <v>84</v>
      </c>
      <c r="H17" s="52" t="s">
        <v>84</v>
      </c>
      <c r="I17" s="27">
        <f>SUM(I18:I31)</f>
        <v>0</v>
      </c>
      <c r="J17" s="34" t="s">
        <v>10</v>
      </c>
      <c r="K17" s="34" t="s">
        <v>10</v>
      </c>
      <c r="L17" s="27">
        <f>SUM(L18:L31)</f>
        <v>0</v>
      </c>
      <c r="M17" s="53" t="s">
        <v>10</v>
      </c>
      <c r="AI17" s="34" t="s">
        <v>1512</v>
      </c>
      <c r="AS17" s="27">
        <f>SUM(AJ18:AJ31)</f>
        <v>0</v>
      </c>
      <c r="AT17" s="27">
        <f>SUM(AK18:AK31)</f>
        <v>0</v>
      </c>
      <c r="AU17" s="27">
        <f>SUM(AL18:AL31)</f>
        <v>0</v>
      </c>
    </row>
    <row r="18" spans="1:76" ht="14.5" x14ac:dyDescent="0.35">
      <c r="A18" s="1" t="s">
        <v>119</v>
      </c>
      <c r="B18" s="2" t="s">
        <v>1512</v>
      </c>
      <c r="C18" s="2" t="s">
        <v>1525</v>
      </c>
      <c r="D18" s="155" t="s">
        <v>1526</v>
      </c>
      <c r="E18" s="153"/>
      <c r="F18" s="2" t="s">
        <v>1527</v>
      </c>
      <c r="G18" s="54">
        <f>'Stavební rozpočet'!G699</f>
        <v>24</v>
      </c>
      <c r="H18" s="94">
        <f>'Stavební rozpočet'!H699</f>
        <v>0</v>
      </c>
      <c r="I18" s="54">
        <f t="shared" ref="I18:I25" si="0">G18*H18</f>
        <v>0</v>
      </c>
      <c r="J18" s="54">
        <f>'Stavební rozpočet'!J699</f>
        <v>0</v>
      </c>
      <c r="K18" s="54">
        <f>'Stavební rozpočet'!K699</f>
        <v>0</v>
      </c>
      <c r="L18" s="54">
        <f t="shared" ref="L18:L25" si="1">G18*J18</f>
        <v>0</v>
      </c>
      <c r="M18" s="55" t="s">
        <v>10</v>
      </c>
      <c r="Z18" s="54">
        <f t="shared" ref="Z18:Z25" si="2">IF(AQ18="5",BJ18,0)</f>
        <v>0</v>
      </c>
      <c r="AB18" s="54">
        <f t="shared" ref="AB18:AB25" si="3">IF(AQ18="1",BH18,0)</f>
        <v>0</v>
      </c>
      <c r="AC18" s="54">
        <f t="shared" ref="AC18:AC25" si="4">IF(AQ18="1",BI18,0)</f>
        <v>0</v>
      </c>
      <c r="AD18" s="54">
        <f t="shared" ref="AD18:AD25" si="5">IF(AQ18="7",BH18,0)</f>
        <v>0</v>
      </c>
      <c r="AE18" s="54">
        <f t="shared" ref="AE18:AE25" si="6">IF(AQ18="7",BI18,0)</f>
        <v>0</v>
      </c>
      <c r="AF18" s="54">
        <f t="shared" ref="AF18:AF25" si="7">IF(AQ18="2",BH18,0)</f>
        <v>0</v>
      </c>
      <c r="AG18" s="54">
        <f t="shared" ref="AG18:AG25" si="8">IF(AQ18="2",BI18,0)</f>
        <v>0</v>
      </c>
      <c r="AH18" s="54">
        <f t="shared" ref="AH18:AH25" si="9">IF(AQ18="0",BJ18,0)</f>
        <v>0</v>
      </c>
      <c r="AI18" s="34" t="s">
        <v>1512</v>
      </c>
      <c r="AJ18" s="54">
        <f t="shared" ref="AJ18:AJ25" si="10">IF(AN18=0,I18,0)</f>
        <v>0</v>
      </c>
      <c r="AK18" s="54">
        <f t="shared" ref="AK18:AK25" si="11">IF(AN18=12,I18,0)</f>
        <v>0</v>
      </c>
      <c r="AL18" s="54">
        <f t="shared" ref="AL18:AL25" si="12">IF(AN18=21,I18,0)</f>
        <v>0</v>
      </c>
      <c r="AN18" s="54">
        <v>21</v>
      </c>
      <c r="AO18" s="54">
        <f t="shared" ref="AO18:AO25" si="13">H18*0</f>
        <v>0</v>
      </c>
      <c r="AP18" s="54">
        <f t="shared" ref="AP18:AP25" si="14">H18*(1-0)</f>
        <v>0</v>
      </c>
      <c r="AQ18" s="56" t="s">
        <v>107</v>
      </c>
      <c r="AV18" s="54">
        <f t="shared" ref="AV18:AV25" si="15">AW18+AX18</f>
        <v>0</v>
      </c>
      <c r="AW18" s="54">
        <f t="shared" ref="AW18:AW25" si="16">G18*AO18</f>
        <v>0</v>
      </c>
      <c r="AX18" s="54">
        <f t="shared" ref="AX18:AX25" si="17">G18*AP18</f>
        <v>0</v>
      </c>
      <c r="AY18" s="56" t="s">
        <v>1528</v>
      </c>
      <c r="AZ18" s="56" t="s">
        <v>1529</v>
      </c>
      <c r="BA18" s="34" t="s">
        <v>1520</v>
      </c>
      <c r="BC18" s="54">
        <f t="shared" ref="BC18:BC25" si="18">AW18+AX18</f>
        <v>0</v>
      </c>
      <c r="BD18" s="54">
        <f t="shared" ref="BD18:BD25" si="19">H18/(100-BE18)*100</f>
        <v>0</v>
      </c>
      <c r="BE18" s="54">
        <v>0</v>
      </c>
      <c r="BF18" s="54">
        <f t="shared" ref="BF18:BF25" si="20">L18</f>
        <v>0</v>
      </c>
      <c r="BH18" s="54">
        <f t="shared" ref="BH18:BH25" si="21">G18*AO18</f>
        <v>0</v>
      </c>
      <c r="BI18" s="54">
        <f t="shared" ref="BI18:BI25" si="22">G18*AP18</f>
        <v>0</v>
      </c>
      <c r="BJ18" s="54">
        <f t="shared" ref="BJ18:BJ25" si="23">G18*H18</f>
        <v>0</v>
      </c>
      <c r="BK18" s="54"/>
      <c r="BL18" s="54"/>
      <c r="BW18" s="54">
        <v>21</v>
      </c>
      <c r="BX18" s="3" t="s">
        <v>1526</v>
      </c>
    </row>
    <row r="19" spans="1:76" ht="14.5" x14ac:dyDescent="0.35">
      <c r="A19" s="1" t="s">
        <v>126</v>
      </c>
      <c r="B19" s="2" t="s">
        <v>1512</v>
      </c>
      <c r="C19" s="2" t="s">
        <v>1530</v>
      </c>
      <c r="D19" s="155" t="s">
        <v>1531</v>
      </c>
      <c r="E19" s="153"/>
      <c r="F19" s="2" t="s">
        <v>196</v>
      </c>
      <c r="G19" s="54">
        <f>'Stavební rozpočet'!G700</f>
        <v>1</v>
      </c>
      <c r="H19" s="94">
        <f>'Stavební rozpočet'!H700</f>
        <v>0</v>
      </c>
      <c r="I19" s="54">
        <f t="shared" si="0"/>
        <v>0</v>
      </c>
      <c r="J19" s="54">
        <f>'Stavební rozpočet'!J700</f>
        <v>0</v>
      </c>
      <c r="K19" s="54">
        <f>'Stavební rozpočet'!K700</f>
        <v>0</v>
      </c>
      <c r="L19" s="54">
        <f t="shared" si="1"/>
        <v>0</v>
      </c>
      <c r="M19" s="55" t="s">
        <v>10</v>
      </c>
      <c r="Z19" s="54">
        <f t="shared" si="2"/>
        <v>0</v>
      </c>
      <c r="AB19" s="54">
        <f t="shared" si="3"/>
        <v>0</v>
      </c>
      <c r="AC19" s="54">
        <f t="shared" si="4"/>
        <v>0</v>
      </c>
      <c r="AD19" s="54">
        <f t="shared" si="5"/>
        <v>0</v>
      </c>
      <c r="AE19" s="54">
        <f t="shared" si="6"/>
        <v>0</v>
      </c>
      <c r="AF19" s="54">
        <f t="shared" si="7"/>
        <v>0</v>
      </c>
      <c r="AG19" s="54">
        <f t="shared" si="8"/>
        <v>0</v>
      </c>
      <c r="AH19" s="54">
        <f t="shared" si="9"/>
        <v>0</v>
      </c>
      <c r="AI19" s="34" t="s">
        <v>1512</v>
      </c>
      <c r="AJ19" s="54">
        <f t="shared" si="10"/>
        <v>0</v>
      </c>
      <c r="AK19" s="54">
        <f t="shared" si="11"/>
        <v>0</v>
      </c>
      <c r="AL19" s="54">
        <f t="shared" si="12"/>
        <v>0</v>
      </c>
      <c r="AN19" s="54">
        <v>21</v>
      </c>
      <c r="AO19" s="54">
        <f t="shared" si="13"/>
        <v>0</v>
      </c>
      <c r="AP19" s="54">
        <f t="shared" si="14"/>
        <v>0</v>
      </c>
      <c r="AQ19" s="56" t="s">
        <v>119</v>
      </c>
      <c r="AV19" s="54">
        <f t="shared" si="15"/>
        <v>0</v>
      </c>
      <c r="AW19" s="54">
        <f t="shared" si="16"/>
        <v>0</v>
      </c>
      <c r="AX19" s="54">
        <f t="shared" si="17"/>
        <v>0</v>
      </c>
      <c r="AY19" s="56" t="s">
        <v>1528</v>
      </c>
      <c r="AZ19" s="56" t="s">
        <v>1529</v>
      </c>
      <c r="BA19" s="34" t="s">
        <v>1520</v>
      </c>
      <c r="BC19" s="54">
        <f t="shared" si="18"/>
        <v>0</v>
      </c>
      <c r="BD19" s="54">
        <f t="shared" si="19"/>
        <v>0</v>
      </c>
      <c r="BE19" s="54">
        <v>0</v>
      </c>
      <c r="BF19" s="54">
        <f t="shared" si="20"/>
        <v>0</v>
      </c>
      <c r="BH19" s="54">
        <f t="shared" si="21"/>
        <v>0</v>
      </c>
      <c r="BI19" s="54">
        <f t="shared" si="22"/>
        <v>0</v>
      </c>
      <c r="BJ19" s="54">
        <f t="shared" si="23"/>
        <v>0</v>
      </c>
      <c r="BK19" s="54"/>
      <c r="BL19" s="54"/>
      <c r="BW19" s="54">
        <v>21</v>
      </c>
      <c r="BX19" s="3" t="s">
        <v>1531</v>
      </c>
    </row>
    <row r="20" spans="1:76" ht="14.5" x14ac:dyDescent="0.35">
      <c r="A20" s="1" t="s">
        <v>144</v>
      </c>
      <c r="B20" s="2" t="s">
        <v>1512</v>
      </c>
      <c r="C20" s="2" t="s">
        <v>1532</v>
      </c>
      <c r="D20" s="155" t="s">
        <v>1533</v>
      </c>
      <c r="E20" s="153"/>
      <c r="F20" s="2" t="s">
        <v>196</v>
      </c>
      <c r="G20" s="54">
        <f>'Stavební rozpočet'!G701</f>
        <v>1</v>
      </c>
      <c r="H20" s="94">
        <f>'Stavební rozpočet'!H701</f>
        <v>0</v>
      </c>
      <c r="I20" s="54">
        <f t="shared" si="0"/>
        <v>0</v>
      </c>
      <c r="J20" s="54">
        <f>'Stavební rozpočet'!J701</f>
        <v>0</v>
      </c>
      <c r="K20" s="54">
        <f>'Stavební rozpočet'!K701</f>
        <v>0</v>
      </c>
      <c r="L20" s="54">
        <f t="shared" si="1"/>
        <v>0</v>
      </c>
      <c r="M20" s="55" t="s">
        <v>10</v>
      </c>
      <c r="Z20" s="54">
        <f t="shared" si="2"/>
        <v>0</v>
      </c>
      <c r="AB20" s="54">
        <f t="shared" si="3"/>
        <v>0</v>
      </c>
      <c r="AC20" s="54">
        <f t="shared" si="4"/>
        <v>0</v>
      </c>
      <c r="AD20" s="54">
        <f t="shared" si="5"/>
        <v>0</v>
      </c>
      <c r="AE20" s="54">
        <f t="shared" si="6"/>
        <v>0</v>
      </c>
      <c r="AF20" s="54">
        <f t="shared" si="7"/>
        <v>0</v>
      </c>
      <c r="AG20" s="54">
        <f t="shared" si="8"/>
        <v>0</v>
      </c>
      <c r="AH20" s="54">
        <f t="shared" si="9"/>
        <v>0</v>
      </c>
      <c r="AI20" s="34" t="s">
        <v>1512</v>
      </c>
      <c r="AJ20" s="54">
        <f t="shared" si="10"/>
        <v>0</v>
      </c>
      <c r="AK20" s="54">
        <f t="shared" si="11"/>
        <v>0</v>
      </c>
      <c r="AL20" s="54">
        <f t="shared" si="12"/>
        <v>0</v>
      </c>
      <c r="AN20" s="54">
        <v>21</v>
      </c>
      <c r="AO20" s="54">
        <f t="shared" si="13"/>
        <v>0</v>
      </c>
      <c r="AP20" s="54">
        <f t="shared" si="14"/>
        <v>0</v>
      </c>
      <c r="AQ20" s="56" t="s">
        <v>107</v>
      </c>
      <c r="AV20" s="54">
        <f t="shared" si="15"/>
        <v>0</v>
      </c>
      <c r="AW20" s="54">
        <f t="shared" si="16"/>
        <v>0</v>
      </c>
      <c r="AX20" s="54">
        <f t="shared" si="17"/>
        <v>0</v>
      </c>
      <c r="AY20" s="56" t="s">
        <v>1528</v>
      </c>
      <c r="AZ20" s="56" t="s">
        <v>1529</v>
      </c>
      <c r="BA20" s="34" t="s">
        <v>1520</v>
      </c>
      <c r="BC20" s="54">
        <f t="shared" si="18"/>
        <v>0</v>
      </c>
      <c r="BD20" s="54">
        <f t="shared" si="19"/>
        <v>0</v>
      </c>
      <c r="BE20" s="54">
        <v>0</v>
      </c>
      <c r="BF20" s="54">
        <f t="shared" si="20"/>
        <v>0</v>
      </c>
      <c r="BH20" s="54">
        <f t="shared" si="21"/>
        <v>0</v>
      </c>
      <c r="BI20" s="54">
        <f t="shared" si="22"/>
        <v>0</v>
      </c>
      <c r="BJ20" s="54">
        <f t="shared" si="23"/>
        <v>0</v>
      </c>
      <c r="BK20" s="54"/>
      <c r="BL20" s="54"/>
      <c r="BW20" s="54">
        <v>21</v>
      </c>
      <c r="BX20" s="3" t="s">
        <v>1533</v>
      </c>
    </row>
    <row r="21" spans="1:76" ht="14.5" x14ac:dyDescent="0.35">
      <c r="A21" s="1" t="s">
        <v>150</v>
      </c>
      <c r="B21" s="2" t="s">
        <v>1512</v>
      </c>
      <c r="C21" s="2" t="s">
        <v>1534</v>
      </c>
      <c r="D21" s="155" t="s">
        <v>1535</v>
      </c>
      <c r="E21" s="153"/>
      <c r="F21" s="2" t="s">
        <v>196</v>
      </c>
      <c r="G21" s="54">
        <f>'Stavební rozpočet'!G702</f>
        <v>1</v>
      </c>
      <c r="H21" s="94">
        <f>'Stavební rozpočet'!H702</f>
        <v>0</v>
      </c>
      <c r="I21" s="54">
        <f t="shared" si="0"/>
        <v>0</v>
      </c>
      <c r="J21" s="54">
        <f>'Stavební rozpočet'!J702</f>
        <v>0</v>
      </c>
      <c r="K21" s="54">
        <f>'Stavební rozpočet'!K702</f>
        <v>0</v>
      </c>
      <c r="L21" s="54">
        <f t="shared" si="1"/>
        <v>0</v>
      </c>
      <c r="M21" s="55" t="s">
        <v>10</v>
      </c>
      <c r="Z21" s="54">
        <f t="shared" si="2"/>
        <v>0</v>
      </c>
      <c r="AB21" s="54">
        <f t="shared" si="3"/>
        <v>0</v>
      </c>
      <c r="AC21" s="54">
        <f t="shared" si="4"/>
        <v>0</v>
      </c>
      <c r="AD21" s="54">
        <f t="shared" si="5"/>
        <v>0</v>
      </c>
      <c r="AE21" s="54">
        <f t="shared" si="6"/>
        <v>0</v>
      </c>
      <c r="AF21" s="54">
        <f t="shared" si="7"/>
        <v>0</v>
      </c>
      <c r="AG21" s="54">
        <f t="shared" si="8"/>
        <v>0</v>
      </c>
      <c r="AH21" s="54">
        <f t="shared" si="9"/>
        <v>0</v>
      </c>
      <c r="AI21" s="34" t="s">
        <v>1512</v>
      </c>
      <c r="AJ21" s="54">
        <f t="shared" si="10"/>
        <v>0</v>
      </c>
      <c r="AK21" s="54">
        <f t="shared" si="11"/>
        <v>0</v>
      </c>
      <c r="AL21" s="54">
        <f t="shared" si="12"/>
        <v>0</v>
      </c>
      <c r="AN21" s="54">
        <v>21</v>
      </c>
      <c r="AO21" s="54">
        <f t="shared" si="13"/>
        <v>0</v>
      </c>
      <c r="AP21" s="54">
        <f t="shared" si="14"/>
        <v>0</v>
      </c>
      <c r="AQ21" s="56" t="s">
        <v>107</v>
      </c>
      <c r="AV21" s="54">
        <f t="shared" si="15"/>
        <v>0</v>
      </c>
      <c r="AW21" s="54">
        <f t="shared" si="16"/>
        <v>0</v>
      </c>
      <c r="AX21" s="54">
        <f t="shared" si="17"/>
        <v>0</v>
      </c>
      <c r="AY21" s="56" t="s">
        <v>1528</v>
      </c>
      <c r="AZ21" s="56" t="s">
        <v>1529</v>
      </c>
      <c r="BA21" s="34" t="s">
        <v>1520</v>
      </c>
      <c r="BC21" s="54">
        <f t="shared" si="18"/>
        <v>0</v>
      </c>
      <c r="BD21" s="54">
        <f t="shared" si="19"/>
        <v>0</v>
      </c>
      <c r="BE21" s="54">
        <v>0</v>
      </c>
      <c r="BF21" s="54">
        <f t="shared" si="20"/>
        <v>0</v>
      </c>
      <c r="BH21" s="54">
        <f t="shared" si="21"/>
        <v>0</v>
      </c>
      <c r="BI21" s="54">
        <f t="shared" si="22"/>
        <v>0</v>
      </c>
      <c r="BJ21" s="54">
        <f t="shared" si="23"/>
        <v>0</v>
      </c>
      <c r="BK21" s="54"/>
      <c r="BL21" s="54"/>
      <c r="BW21" s="54">
        <v>21</v>
      </c>
      <c r="BX21" s="3" t="s">
        <v>1535</v>
      </c>
    </row>
    <row r="22" spans="1:76" ht="14.5" x14ac:dyDescent="0.35">
      <c r="A22" s="1" t="s">
        <v>160</v>
      </c>
      <c r="B22" s="2" t="s">
        <v>1512</v>
      </c>
      <c r="C22" s="2" t="s">
        <v>1536</v>
      </c>
      <c r="D22" s="155" t="s">
        <v>1537</v>
      </c>
      <c r="E22" s="153"/>
      <c r="F22" s="2" t="s">
        <v>581</v>
      </c>
      <c r="G22" s="54">
        <f>'Stavební rozpočet'!G703</f>
        <v>2</v>
      </c>
      <c r="H22" s="94">
        <f>'Stavební rozpočet'!H703</f>
        <v>0</v>
      </c>
      <c r="I22" s="54">
        <f t="shared" si="0"/>
        <v>0</v>
      </c>
      <c r="J22" s="54">
        <f>'Stavební rozpočet'!J703</f>
        <v>0</v>
      </c>
      <c r="K22" s="54">
        <f>'Stavební rozpočet'!K703</f>
        <v>0</v>
      </c>
      <c r="L22" s="54">
        <f t="shared" si="1"/>
        <v>0</v>
      </c>
      <c r="M22" s="55" t="s">
        <v>10</v>
      </c>
      <c r="Z22" s="54">
        <f t="shared" si="2"/>
        <v>0</v>
      </c>
      <c r="AB22" s="54">
        <f t="shared" si="3"/>
        <v>0</v>
      </c>
      <c r="AC22" s="54">
        <f t="shared" si="4"/>
        <v>0</v>
      </c>
      <c r="AD22" s="54">
        <f t="shared" si="5"/>
        <v>0</v>
      </c>
      <c r="AE22" s="54">
        <f t="shared" si="6"/>
        <v>0</v>
      </c>
      <c r="AF22" s="54">
        <f t="shared" si="7"/>
        <v>0</v>
      </c>
      <c r="AG22" s="54">
        <f t="shared" si="8"/>
        <v>0</v>
      </c>
      <c r="AH22" s="54">
        <f t="shared" si="9"/>
        <v>0</v>
      </c>
      <c r="AI22" s="34" t="s">
        <v>1512</v>
      </c>
      <c r="AJ22" s="54">
        <f t="shared" si="10"/>
        <v>0</v>
      </c>
      <c r="AK22" s="54">
        <f t="shared" si="11"/>
        <v>0</v>
      </c>
      <c r="AL22" s="54">
        <f t="shared" si="12"/>
        <v>0</v>
      </c>
      <c r="AN22" s="54">
        <v>21</v>
      </c>
      <c r="AO22" s="54">
        <f t="shared" si="13"/>
        <v>0</v>
      </c>
      <c r="AP22" s="54">
        <f t="shared" si="14"/>
        <v>0</v>
      </c>
      <c r="AQ22" s="56" t="s">
        <v>107</v>
      </c>
      <c r="AV22" s="54">
        <f t="shared" si="15"/>
        <v>0</v>
      </c>
      <c r="AW22" s="54">
        <f t="shared" si="16"/>
        <v>0</v>
      </c>
      <c r="AX22" s="54">
        <f t="shared" si="17"/>
        <v>0</v>
      </c>
      <c r="AY22" s="56" t="s">
        <v>1528</v>
      </c>
      <c r="AZ22" s="56" t="s">
        <v>1529</v>
      </c>
      <c r="BA22" s="34" t="s">
        <v>1520</v>
      </c>
      <c r="BC22" s="54">
        <f t="shared" si="18"/>
        <v>0</v>
      </c>
      <c r="BD22" s="54">
        <f t="shared" si="19"/>
        <v>0</v>
      </c>
      <c r="BE22" s="54">
        <v>0</v>
      </c>
      <c r="BF22" s="54">
        <f t="shared" si="20"/>
        <v>0</v>
      </c>
      <c r="BH22" s="54">
        <f t="shared" si="21"/>
        <v>0</v>
      </c>
      <c r="BI22" s="54">
        <f t="shared" si="22"/>
        <v>0</v>
      </c>
      <c r="BJ22" s="54">
        <f t="shared" si="23"/>
        <v>0</v>
      </c>
      <c r="BK22" s="54"/>
      <c r="BL22" s="54"/>
      <c r="BW22" s="54">
        <v>21</v>
      </c>
      <c r="BX22" s="3" t="s">
        <v>1537</v>
      </c>
    </row>
    <row r="23" spans="1:76" ht="14.5" x14ac:dyDescent="0.35">
      <c r="A23" s="1" t="s">
        <v>168</v>
      </c>
      <c r="B23" s="2" t="s">
        <v>1512</v>
      </c>
      <c r="C23" s="2" t="s">
        <v>1538</v>
      </c>
      <c r="D23" s="155" t="s">
        <v>1539</v>
      </c>
      <c r="E23" s="153"/>
      <c r="F23" s="2" t="s">
        <v>1540</v>
      </c>
      <c r="G23" s="54">
        <f>'Stavební rozpočet'!G704</f>
        <v>1</v>
      </c>
      <c r="H23" s="94">
        <f>'Stavební rozpočet'!H704</f>
        <v>0</v>
      </c>
      <c r="I23" s="54">
        <f t="shared" si="0"/>
        <v>0</v>
      </c>
      <c r="J23" s="54">
        <f>'Stavební rozpočet'!J704</f>
        <v>0</v>
      </c>
      <c r="K23" s="54">
        <f>'Stavební rozpočet'!K704</f>
        <v>0</v>
      </c>
      <c r="L23" s="54">
        <f t="shared" si="1"/>
        <v>0</v>
      </c>
      <c r="M23" s="55" t="s">
        <v>10</v>
      </c>
      <c r="Z23" s="54">
        <f t="shared" si="2"/>
        <v>0</v>
      </c>
      <c r="AB23" s="54">
        <f t="shared" si="3"/>
        <v>0</v>
      </c>
      <c r="AC23" s="54">
        <f t="shared" si="4"/>
        <v>0</v>
      </c>
      <c r="AD23" s="54">
        <f t="shared" si="5"/>
        <v>0</v>
      </c>
      <c r="AE23" s="54">
        <f t="shared" si="6"/>
        <v>0</v>
      </c>
      <c r="AF23" s="54">
        <f t="shared" si="7"/>
        <v>0</v>
      </c>
      <c r="AG23" s="54">
        <f t="shared" si="8"/>
        <v>0</v>
      </c>
      <c r="AH23" s="54">
        <f t="shared" si="9"/>
        <v>0</v>
      </c>
      <c r="AI23" s="34" t="s">
        <v>1512</v>
      </c>
      <c r="AJ23" s="54">
        <f t="shared" si="10"/>
        <v>0</v>
      </c>
      <c r="AK23" s="54">
        <f t="shared" si="11"/>
        <v>0</v>
      </c>
      <c r="AL23" s="54">
        <f t="shared" si="12"/>
        <v>0</v>
      </c>
      <c r="AN23" s="54">
        <v>21</v>
      </c>
      <c r="AO23" s="54">
        <f t="shared" si="13"/>
        <v>0</v>
      </c>
      <c r="AP23" s="54">
        <f t="shared" si="14"/>
        <v>0</v>
      </c>
      <c r="AQ23" s="56" t="s">
        <v>107</v>
      </c>
      <c r="AV23" s="54">
        <f t="shared" si="15"/>
        <v>0</v>
      </c>
      <c r="AW23" s="54">
        <f t="shared" si="16"/>
        <v>0</v>
      </c>
      <c r="AX23" s="54">
        <f t="shared" si="17"/>
        <v>0</v>
      </c>
      <c r="AY23" s="56" t="s">
        <v>1528</v>
      </c>
      <c r="AZ23" s="56" t="s">
        <v>1529</v>
      </c>
      <c r="BA23" s="34" t="s">
        <v>1520</v>
      </c>
      <c r="BC23" s="54">
        <f t="shared" si="18"/>
        <v>0</v>
      </c>
      <c r="BD23" s="54">
        <f t="shared" si="19"/>
        <v>0</v>
      </c>
      <c r="BE23" s="54">
        <v>0</v>
      </c>
      <c r="BF23" s="54">
        <f t="shared" si="20"/>
        <v>0</v>
      </c>
      <c r="BH23" s="54">
        <f t="shared" si="21"/>
        <v>0</v>
      </c>
      <c r="BI23" s="54">
        <f t="shared" si="22"/>
        <v>0</v>
      </c>
      <c r="BJ23" s="54">
        <f t="shared" si="23"/>
        <v>0</v>
      </c>
      <c r="BK23" s="54"/>
      <c r="BL23" s="54"/>
      <c r="BW23" s="54">
        <v>21</v>
      </c>
      <c r="BX23" s="3" t="s">
        <v>1539</v>
      </c>
    </row>
    <row r="24" spans="1:76" ht="14.5" x14ac:dyDescent="0.35">
      <c r="A24" s="1" t="s">
        <v>181</v>
      </c>
      <c r="B24" s="2" t="s">
        <v>1512</v>
      </c>
      <c r="C24" s="2" t="s">
        <v>1541</v>
      </c>
      <c r="D24" s="155" t="s">
        <v>1542</v>
      </c>
      <c r="E24" s="153"/>
      <c r="F24" s="2" t="s">
        <v>1527</v>
      </c>
      <c r="G24" s="54">
        <f>'Stavební rozpočet'!G705</f>
        <v>4</v>
      </c>
      <c r="H24" s="94">
        <f>'Stavební rozpočet'!H705</f>
        <v>0</v>
      </c>
      <c r="I24" s="54">
        <f t="shared" si="0"/>
        <v>0</v>
      </c>
      <c r="J24" s="54">
        <f>'Stavební rozpočet'!J705</f>
        <v>0</v>
      </c>
      <c r="K24" s="54">
        <f>'Stavební rozpočet'!K705</f>
        <v>0</v>
      </c>
      <c r="L24" s="54">
        <f t="shared" si="1"/>
        <v>0</v>
      </c>
      <c r="M24" s="55" t="s">
        <v>10</v>
      </c>
      <c r="Z24" s="54">
        <f t="shared" si="2"/>
        <v>0</v>
      </c>
      <c r="AB24" s="54">
        <f t="shared" si="3"/>
        <v>0</v>
      </c>
      <c r="AC24" s="54">
        <f t="shared" si="4"/>
        <v>0</v>
      </c>
      <c r="AD24" s="54">
        <f t="shared" si="5"/>
        <v>0</v>
      </c>
      <c r="AE24" s="54">
        <f t="shared" si="6"/>
        <v>0</v>
      </c>
      <c r="AF24" s="54">
        <f t="shared" si="7"/>
        <v>0</v>
      </c>
      <c r="AG24" s="54">
        <f t="shared" si="8"/>
        <v>0</v>
      </c>
      <c r="AH24" s="54">
        <f t="shared" si="9"/>
        <v>0</v>
      </c>
      <c r="AI24" s="34" t="s">
        <v>1512</v>
      </c>
      <c r="AJ24" s="54">
        <f t="shared" si="10"/>
        <v>0</v>
      </c>
      <c r="AK24" s="54">
        <f t="shared" si="11"/>
        <v>0</v>
      </c>
      <c r="AL24" s="54">
        <f t="shared" si="12"/>
        <v>0</v>
      </c>
      <c r="AN24" s="54">
        <v>21</v>
      </c>
      <c r="AO24" s="54">
        <f t="shared" si="13"/>
        <v>0</v>
      </c>
      <c r="AP24" s="54">
        <f t="shared" si="14"/>
        <v>0</v>
      </c>
      <c r="AQ24" s="56" t="s">
        <v>107</v>
      </c>
      <c r="AV24" s="54">
        <f t="shared" si="15"/>
        <v>0</v>
      </c>
      <c r="AW24" s="54">
        <f t="shared" si="16"/>
        <v>0</v>
      </c>
      <c r="AX24" s="54">
        <f t="shared" si="17"/>
        <v>0</v>
      </c>
      <c r="AY24" s="56" t="s">
        <v>1528</v>
      </c>
      <c r="AZ24" s="56" t="s">
        <v>1529</v>
      </c>
      <c r="BA24" s="34" t="s">
        <v>1520</v>
      </c>
      <c r="BC24" s="54">
        <f t="shared" si="18"/>
        <v>0</v>
      </c>
      <c r="BD24" s="54">
        <f t="shared" si="19"/>
        <v>0</v>
      </c>
      <c r="BE24" s="54">
        <v>0</v>
      </c>
      <c r="BF24" s="54">
        <f t="shared" si="20"/>
        <v>0</v>
      </c>
      <c r="BH24" s="54">
        <f t="shared" si="21"/>
        <v>0</v>
      </c>
      <c r="BI24" s="54">
        <f t="shared" si="22"/>
        <v>0</v>
      </c>
      <c r="BJ24" s="54">
        <f t="shared" si="23"/>
        <v>0</v>
      </c>
      <c r="BK24" s="54"/>
      <c r="BL24" s="54"/>
      <c r="BW24" s="54">
        <v>21</v>
      </c>
      <c r="BX24" s="3" t="s">
        <v>1542</v>
      </c>
    </row>
    <row r="25" spans="1:76" ht="14.5" x14ac:dyDescent="0.35">
      <c r="A25" s="1" t="s">
        <v>187</v>
      </c>
      <c r="B25" s="2" t="s">
        <v>1512</v>
      </c>
      <c r="C25" s="2" t="s">
        <v>1543</v>
      </c>
      <c r="D25" s="155" t="s">
        <v>1544</v>
      </c>
      <c r="E25" s="153"/>
      <c r="F25" s="2" t="s">
        <v>1527</v>
      </c>
      <c r="G25" s="54">
        <f>'Stavební rozpočet'!G706</f>
        <v>40</v>
      </c>
      <c r="H25" s="94">
        <f>'Stavební rozpočet'!H706</f>
        <v>0</v>
      </c>
      <c r="I25" s="54">
        <f t="shared" si="0"/>
        <v>0</v>
      </c>
      <c r="J25" s="54">
        <f>'Stavební rozpočet'!J706</f>
        <v>0</v>
      </c>
      <c r="K25" s="54">
        <f>'Stavební rozpočet'!K706</f>
        <v>0</v>
      </c>
      <c r="L25" s="54">
        <f t="shared" si="1"/>
        <v>0</v>
      </c>
      <c r="M25" s="55" t="s">
        <v>10</v>
      </c>
      <c r="Z25" s="54">
        <f t="shared" si="2"/>
        <v>0</v>
      </c>
      <c r="AB25" s="54">
        <f t="shared" si="3"/>
        <v>0</v>
      </c>
      <c r="AC25" s="54">
        <f t="shared" si="4"/>
        <v>0</v>
      </c>
      <c r="AD25" s="54">
        <f t="shared" si="5"/>
        <v>0</v>
      </c>
      <c r="AE25" s="54">
        <f t="shared" si="6"/>
        <v>0</v>
      </c>
      <c r="AF25" s="54">
        <f t="shared" si="7"/>
        <v>0</v>
      </c>
      <c r="AG25" s="54">
        <f t="shared" si="8"/>
        <v>0</v>
      </c>
      <c r="AH25" s="54">
        <f t="shared" si="9"/>
        <v>0</v>
      </c>
      <c r="AI25" s="34" t="s">
        <v>1512</v>
      </c>
      <c r="AJ25" s="54">
        <f t="shared" si="10"/>
        <v>0</v>
      </c>
      <c r="AK25" s="54">
        <f t="shared" si="11"/>
        <v>0</v>
      </c>
      <c r="AL25" s="54">
        <f t="shared" si="12"/>
        <v>0</v>
      </c>
      <c r="AN25" s="54">
        <v>21</v>
      </c>
      <c r="AO25" s="54">
        <f t="shared" si="13"/>
        <v>0</v>
      </c>
      <c r="AP25" s="54">
        <f t="shared" si="14"/>
        <v>0</v>
      </c>
      <c r="AQ25" s="56" t="s">
        <v>107</v>
      </c>
      <c r="AV25" s="54">
        <f t="shared" si="15"/>
        <v>0</v>
      </c>
      <c r="AW25" s="54">
        <f t="shared" si="16"/>
        <v>0</v>
      </c>
      <c r="AX25" s="54">
        <f t="shared" si="17"/>
        <v>0</v>
      </c>
      <c r="AY25" s="56" t="s">
        <v>1528</v>
      </c>
      <c r="AZ25" s="56" t="s">
        <v>1529</v>
      </c>
      <c r="BA25" s="34" t="s">
        <v>1520</v>
      </c>
      <c r="BC25" s="54">
        <f t="shared" si="18"/>
        <v>0</v>
      </c>
      <c r="BD25" s="54">
        <f t="shared" si="19"/>
        <v>0</v>
      </c>
      <c r="BE25" s="54">
        <v>0</v>
      </c>
      <c r="BF25" s="54">
        <f t="shared" si="20"/>
        <v>0</v>
      </c>
      <c r="BH25" s="54">
        <f t="shared" si="21"/>
        <v>0</v>
      </c>
      <c r="BI25" s="54">
        <f t="shared" si="22"/>
        <v>0</v>
      </c>
      <c r="BJ25" s="54">
        <f t="shared" si="23"/>
        <v>0</v>
      </c>
      <c r="BK25" s="54"/>
      <c r="BL25" s="54"/>
      <c r="BW25" s="54">
        <v>21</v>
      </c>
      <c r="BX25" s="3" t="s">
        <v>1544</v>
      </c>
    </row>
    <row r="26" spans="1:76" ht="13.5" customHeight="1" x14ac:dyDescent="0.35">
      <c r="A26" s="57"/>
      <c r="C26" s="62" t="s">
        <v>122</v>
      </c>
      <c r="D26" s="214" t="s">
        <v>1545</v>
      </c>
      <c r="E26" s="215"/>
      <c r="F26" s="215"/>
      <c r="G26" s="215"/>
      <c r="H26" s="215"/>
      <c r="I26" s="215"/>
      <c r="J26" s="215"/>
      <c r="K26" s="215"/>
      <c r="L26" s="215"/>
      <c r="M26" s="216"/>
    </row>
    <row r="27" spans="1:76" ht="14.5" x14ac:dyDescent="0.35">
      <c r="A27" s="57"/>
      <c r="D27" s="58" t="s">
        <v>144</v>
      </c>
      <c r="E27" s="59" t="s">
        <v>1546</v>
      </c>
      <c r="G27" s="60">
        <v>4</v>
      </c>
      <c r="M27" s="61"/>
    </row>
    <row r="28" spans="1:76" ht="14.5" x14ac:dyDescent="0.35">
      <c r="A28" s="57"/>
      <c r="D28" s="58" t="s">
        <v>427</v>
      </c>
      <c r="E28" s="59" t="s">
        <v>1547</v>
      </c>
      <c r="G28" s="60">
        <v>36</v>
      </c>
      <c r="M28" s="61"/>
    </row>
    <row r="29" spans="1:76" ht="14.5" x14ac:dyDescent="0.35">
      <c r="A29" s="1" t="s">
        <v>193</v>
      </c>
      <c r="B29" s="2" t="s">
        <v>1512</v>
      </c>
      <c r="C29" s="2" t="s">
        <v>1548</v>
      </c>
      <c r="D29" s="155" t="s">
        <v>1549</v>
      </c>
      <c r="E29" s="153"/>
      <c r="F29" s="2" t="s">
        <v>196</v>
      </c>
      <c r="G29" s="54">
        <f>'Stavební rozpočet'!G709</f>
        <v>1</v>
      </c>
      <c r="H29" s="94">
        <f>'Stavební rozpočet'!H709</f>
        <v>0</v>
      </c>
      <c r="I29" s="54">
        <f>G29*H29</f>
        <v>0</v>
      </c>
      <c r="J29" s="54">
        <f>'Stavební rozpočet'!J709</f>
        <v>0</v>
      </c>
      <c r="K29" s="54">
        <f>'Stavební rozpočet'!K709</f>
        <v>0</v>
      </c>
      <c r="L29" s="54">
        <f>G29*J29</f>
        <v>0</v>
      </c>
      <c r="M29" s="55" t="s">
        <v>10</v>
      </c>
      <c r="Z29" s="54">
        <f>IF(AQ29="5",BJ29,0)</f>
        <v>0</v>
      </c>
      <c r="AB29" s="54">
        <f>IF(AQ29="1",BH29,0)</f>
        <v>0</v>
      </c>
      <c r="AC29" s="54">
        <f>IF(AQ29="1",BI29,0)</f>
        <v>0</v>
      </c>
      <c r="AD29" s="54">
        <f>IF(AQ29="7",BH29,0)</f>
        <v>0</v>
      </c>
      <c r="AE29" s="54">
        <f>IF(AQ29="7",BI29,0)</f>
        <v>0</v>
      </c>
      <c r="AF29" s="54">
        <f>IF(AQ29="2",BH29,0)</f>
        <v>0</v>
      </c>
      <c r="AG29" s="54">
        <f>IF(AQ29="2",BI29,0)</f>
        <v>0</v>
      </c>
      <c r="AH29" s="54">
        <f>IF(AQ29="0",BJ29,0)</f>
        <v>0</v>
      </c>
      <c r="AI29" s="34" t="s">
        <v>1512</v>
      </c>
      <c r="AJ29" s="54">
        <f>IF(AN29=0,I29,0)</f>
        <v>0</v>
      </c>
      <c r="AK29" s="54">
        <f>IF(AN29=12,I29,0)</f>
        <v>0</v>
      </c>
      <c r="AL29" s="54">
        <f>IF(AN29=21,I29,0)</f>
        <v>0</v>
      </c>
      <c r="AN29" s="54">
        <v>21</v>
      </c>
      <c r="AO29" s="54">
        <f>H29*0</f>
        <v>0</v>
      </c>
      <c r="AP29" s="54">
        <f>H29*(1-0)</f>
        <v>0</v>
      </c>
      <c r="AQ29" s="56" t="s">
        <v>107</v>
      </c>
      <c r="AV29" s="54">
        <f>AW29+AX29</f>
        <v>0</v>
      </c>
      <c r="AW29" s="54">
        <f>G29*AO29</f>
        <v>0</v>
      </c>
      <c r="AX29" s="54">
        <f>G29*AP29</f>
        <v>0</v>
      </c>
      <c r="AY29" s="56" t="s">
        <v>1528</v>
      </c>
      <c r="AZ29" s="56" t="s">
        <v>1529</v>
      </c>
      <c r="BA29" s="34" t="s">
        <v>1520</v>
      </c>
      <c r="BC29" s="54">
        <f>AW29+AX29</f>
        <v>0</v>
      </c>
      <c r="BD29" s="54">
        <f>H29/(100-BE29)*100</f>
        <v>0</v>
      </c>
      <c r="BE29" s="54">
        <v>0</v>
      </c>
      <c r="BF29" s="54">
        <f>L29</f>
        <v>0</v>
      </c>
      <c r="BH29" s="54">
        <f>G29*AO29</f>
        <v>0</v>
      </c>
      <c r="BI29" s="54">
        <f>G29*AP29</f>
        <v>0</v>
      </c>
      <c r="BJ29" s="54">
        <f>G29*H29</f>
        <v>0</v>
      </c>
      <c r="BK29" s="54"/>
      <c r="BL29" s="54"/>
      <c r="BW29" s="54">
        <v>21</v>
      </c>
      <c r="BX29" s="3" t="s">
        <v>1549</v>
      </c>
    </row>
    <row r="30" spans="1:76" ht="14.5" x14ac:dyDescent="0.35">
      <c r="A30" s="1" t="s">
        <v>203</v>
      </c>
      <c r="B30" s="2" t="s">
        <v>1512</v>
      </c>
      <c r="C30" s="2" t="s">
        <v>1550</v>
      </c>
      <c r="D30" s="155" t="s">
        <v>1551</v>
      </c>
      <c r="E30" s="153"/>
      <c r="F30" s="2" t="s">
        <v>196</v>
      </c>
      <c r="G30" s="54">
        <f>'Stavební rozpočet'!G710</f>
        <v>1</v>
      </c>
      <c r="H30" s="94">
        <f>'Stavební rozpočet'!H710</f>
        <v>0</v>
      </c>
      <c r="I30" s="54">
        <f>G30*H30</f>
        <v>0</v>
      </c>
      <c r="J30" s="54">
        <f>'Stavební rozpočet'!J710</f>
        <v>0</v>
      </c>
      <c r="K30" s="54">
        <f>'Stavební rozpočet'!K710</f>
        <v>0</v>
      </c>
      <c r="L30" s="54">
        <f>G30*J30</f>
        <v>0</v>
      </c>
      <c r="M30" s="55" t="s">
        <v>10</v>
      </c>
      <c r="Z30" s="54">
        <f>IF(AQ30="5",BJ30,0)</f>
        <v>0</v>
      </c>
      <c r="AB30" s="54">
        <f>IF(AQ30="1",BH30,0)</f>
        <v>0</v>
      </c>
      <c r="AC30" s="54">
        <f>IF(AQ30="1",BI30,0)</f>
        <v>0</v>
      </c>
      <c r="AD30" s="54">
        <f>IF(AQ30="7",BH30,0)</f>
        <v>0</v>
      </c>
      <c r="AE30" s="54">
        <f>IF(AQ30="7",BI30,0)</f>
        <v>0</v>
      </c>
      <c r="AF30" s="54">
        <f>IF(AQ30="2",BH30,0)</f>
        <v>0</v>
      </c>
      <c r="AG30" s="54">
        <f>IF(AQ30="2",BI30,0)</f>
        <v>0</v>
      </c>
      <c r="AH30" s="54">
        <f>IF(AQ30="0",BJ30,0)</f>
        <v>0</v>
      </c>
      <c r="AI30" s="34" t="s">
        <v>1512</v>
      </c>
      <c r="AJ30" s="54">
        <f>IF(AN30=0,I30,0)</f>
        <v>0</v>
      </c>
      <c r="AK30" s="54">
        <f>IF(AN30=12,I30,0)</f>
        <v>0</v>
      </c>
      <c r="AL30" s="54">
        <f>IF(AN30=21,I30,0)</f>
        <v>0</v>
      </c>
      <c r="AN30" s="54">
        <v>21</v>
      </c>
      <c r="AO30" s="54">
        <f>H30*0</f>
        <v>0</v>
      </c>
      <c r="AP30" s="54">
        <f>H30*(1-0)</f>
        <v>0</v>
      </c>
      <c r="AQ30" s="56" t="s">
        <v>107</v>
      </c>
      <c r="AV30" s="54">
        <f>AW30+AX30</f>
        <v>0</v>
      </c>
      <c r="AW30" s="54">
        <f>G30*AO30</f>
        <v>0</v>
      </c>
      <c r="AX30" s="54">
        <f>G30*AP30</f>
        <v>0</v>
      </c>
      <c r="AY30" s="56" t="s">
        <v>1528</v>
      </c>
      <c r="AZ30" s="56" t="s">
        <v>1529</v>
      </c>
      <c r="BA30" s="34" t="s">
        <v>1520</v>
      </c>
      <c r="BC30" s="54">
        <f>AW30+AX30</f>
        <v>0</v>
      </c>
      <c r="BD30" s="54">
        <f>H30/(100-BE30)*100</f>
        <v>0</v>
      </c>
      <c r="BE30" s="54">
        <v>0</v>
      </c>
      <c r="BF30" s="54">
        <f>L30</f>
        <v>0</v>
      </c>
      <c r="BH30" s="54">
        <f>G30*AO30</f>
        <v>0</v>
      </c>
      <c r="BI30" s="54">
        <f>G30*AP30</f>
        <v>0</v>
      </c>
      <c r="BJ30" s="54">
        <f>G30*H30</f>
        <v>0</v>
      </c>
      <c r="BK30" s="54"/>
      <c r="BL30" s="54"/>
      <c r="BW30" s="54">
        <v>21</v>
      </c>
      <c r="BX30" s="3" t="s">
        <v>1551</v>
      </c>
    </row>
    <row r="31" spans="1:76" ht="14.5" x14ac:dyDescent="0.35">
      <c r="A31" s="1" t="s">
        <v>213</v>
      </c>
      <c r="B31" s="2" t="s">
        <v>1512</v>
      </c>
      <c r="C31" s="2" t="s">
        <v>1552</v>
      </c>
      <c r="D31" s="155" t="s">
        <v>1553</v>
      </c>
      <c r="E31" s="153"/>
      <c r="F31" s="2" t="s">
        <v>1540</v>
      </c>
      <c r="G31" s="54">
        <f>'Stavební rozpočet'!G711</f>
        <v>1</v>
      </c>
      <c r="H31" s="94">
        <f>'Stavební rozpočet'!H711</f>
        <v>0</v>
      </c>
      <c r="I31" s="54">
        <f>G31*H31</f>
        <v>0</v>
      </c>
      <c r="J31" s="54">
        <f>'Stavební rozpočet'!J711</f>
        <v>0</v>
      </c>
      <c r="K31" s="54">
        <f>'Stavební rozpočet'!K711</f>
        <v>0</v>
      </c>
      <c r="L31" s="54">
        <f>G31*J31</f>
        <v>0</v>
      </c>
      <c r="M31" s="55" t="s">
        <v>10</v>
      </c>
      <c r="Z31" s="54">
        <f>IF(AQ31="5",BJ31,0)</f>
        <v>0</v>
      </c>
      <c r="AB31" s="54">
        <f>IF(AQ31="1",BH31,0)</f>
        <v>0</v>
      </c>
      <c r="AC31" s="54">
        <f>IF(AQ31="1",BI31,0)</f>
        <v>0</v>
      </c>
      <c r="AD31" s="54">
        <f>IF(AQ31="7",BH31,0)</f>
        <v>0</v>
      </c>
      <c r="AE31" s="54">
        <f>IF(AQ31="7",BI31,0)</f>
        <v>0</v>
      </c>
      <c r="AF31" s="54">
        <f>IF(AQ31="2",BH31,0)</f>
        <v>0</v>
      </c>
      <c r="AG31" s="54">
        <f>IF(AQ31="2",BI31,0)</f>
        <v>0</v>
      </c>
      <c r="AH31" s="54">
        <f>IF(AQ31="0",BJ31,0)</f>
        <v>0</v>
      </c>
      <c r="AI31" s="34" t="s">
        <v>1512</v>
      </c>
      <c r="AJ31" s="54">
        <f>IF(AN31=0,I31,0)</f>
        <v>0</v>
      </c>
      <c r="AK31" s="54">
        <f>IF(AN31=12,I31,0)</f>
        <v>0</v>
      </c>
      <c r="AL31" s="54">
        <f>IF(AN31=21,I31,0)</f>
        <v>0</v>
      </c>
      <c r="AN31" s="54">
        <v>21</v>
      </c>
      <c r="AO31" s="54">
        <f>H31*0</f>
        <v>0</v>
      </c>
      <c r="AP31" s="54">
        <f>H31*(1-0)</f>
        <v>0</v>
      </c>
      <c r="AQ31" s="56" t="s">
        <v>107</v>
      </c>
      <c r="AV31" s="54">
        <f>AW31+AX31</f>
        <v>0</v>
      </c>
      <c r="AW31" s="54">
        <f>G31*AO31</f>
        <v>0</v>
      </c>
      <c r="AX31" s="54">
        <f>G31*AP31</f>
        <v>0</v>
      </c>
      <c r="AY31" s="56" t="s">
        <v>1528</v>
      </c>
      <c r="AZ31" s="56" t="s">
        <v>1529</v>
      </c>
      <c r="BA31" s="34" t="s">
        <v>1520</v>
      </c>
      <c r="BC31" s="54">
        <f>AW31+AX31</f>
        <v>0</v>
      </c>
      <c r="BD31" s="54">
        <f>H31/(100-BE31)*100</f>
        <v>0</v>
      </c>
      <c r="BE31" s="54">
        <v>0</v>
      </c>
      <c r="BF31" s="54">
        <f>L31</f>
        <v>0</v>
      </c>
      <c r="BH31" s="54">
        <f>G31*AO31</f>
        <v>0</v>
      </c>
      <c r="BI31" s="54">
        <f>G31*AP31</f>
        <v>0</v>
      </c>
      <c r="BJ31" s="54">
        <f>G31*H31</f>
        <v>0</v>
      </c>
      <c r="BK31" s="54"/>
      <c r="BL31" s="54"/>
      <c r="BW31" s="54">
        <v>21</v>
      </c>
      <c r="BX31" s="3" t="s">
        <v>1553</v>
      </c>
    </row>
    <row r="32" spans="1:76" ht="14.5" x14ac:dyDescent="0.35">
      <c r="A32" s="50" t="s">
        <v>10</v>
      </c>
      <c r="B32" s="51" t="s">
        <v>1512</v>
      </c>
      <c r="C32" s="51" t="s">
        <v>1554</v>
      </c>
      <c r="D32" s="206" t="s">
        <v>1555</v>
      </c>
      <c r="E32" s="207"/>
      <c r="F32" s="52" t="s">
        <v>84</v>
      </c>
      <c r="G32" s="52" t="s">
        <v>84</v>
      </c>
      <c r="H32" s="52" t="s">
        <v>84</v>
      </c>
      <c r="I32" s="27">
        <f>SUM(I33:I140)</f>
        <v>0</v>
      </c>
      <c r="J32" s="34" t="s">
        <v>10</v>
      </c>
      <c r="K32" s="34" t="s">
        <v>10</v>
      </c>
      <c r="L32" s="27">
        <f>SUM(L33:L140)</f>
        <v>1.09629</v>
      </c>
      <c r="M32" s="53" t="s">
        <v>10</v>
      </c>
      <c r="AI32" s="34" t="s">
        <v>1512</v>
      </c>
      <c r="AS32" s="27">
        <f>SUM(AJ33:AJ140)</f>
        <v>0</v>
      </c>
      <c r="AT32" s="27">
        <f>SUM(AK33:AK140)</f>
        <v>0</v>
      </c>
      <c r="AU32" s="27">
        <f>SUM(AL33:AL140)</f>
        <v>0</v>
      </c>
    </row>
    <row r="33" spans="1:76" ht="14.5" x14ac:dyDescent="0.35">
      <c r="A33" s="1" t="s">
        <v>220</v>
      </c>
      <c r="B33" s="2" t="s">
        <v>1512</v>
      </c>
      <c r="C33" s="2" t="s">
        <v>1556</v>
      </c>
      <c r="D33" s="155" t="s">
        <v>1557</v>
      </c>
      <c r="E33" s="153"/>
      <c r="F33" s="2" t="s">
        <v>196</v>
      </c>
      <c r="G33" s="54">
        <f>'Stavební rozpočet'!G713</f>
        <v>4</v>
      </c>
      <c r="H33" s="94">
        <f>'Stavební rozpočet'!H713</f>
        <v>0</v>
      </c>
      <c r="I33" s="54">
        <f>G33*H33</f>
        <v>0</v>
      </c>
      <c r="J33" s="54">
        <f>'Stavební rozpočet'!J713</f>
        <v>0</v>
      </c>
      <c r="K33" s="54">
        <f>'Stavební rozpočet'!K713</f>
        <v>0</v>
      </c>
      <c r="L33" s="54">
        <f>G33*J33</f>
        <v>0</v>
      </c>
      <c r="M33" s="55" t="s">
        <v>111</v>
      </c>
      <c r="Z33" s="54">
        <f>IF(AQ33="5",BJ33,0)</f>
        <v>0</v>
      </c>
      <c r="AB33" s="54">
        <f>IF(AQ33="1",BH33,0)</f>
        <v>0</v>
      </c>
      <c r="AC33" s="54">
        <f>IF(AQ33="1",BI33,0)</f>
        <v>0</v>
      </c>
      <c r="AD33" s="54">
        <f>IF(AQ33="7",BH33,0)</f>
        <v>0</v>
      </c>
      <c r="AE33" s="54">
        <f>IF(AQ33="7",BI33,0)</f>
        <v>0</v>
      </c>
      <c r="AF33" s="54">
        <f>IF(AQ33="2",BH33,0)</f>
        <v>0</v>
      </c>
      <c r="AG33" s="54">
        <f>IF(AQ33="2",BI33,0)</f>
        <v>0</v>
      </c>
      <c r="AH33" s="54">
        <f>IF(AQ33="0",BJ33,0)</f>
        <v>0</v>
      </c>
      <c r="AI33" s="34" t="s">
        <v>1512</v>
      </c>
      <c r="AJ33" s="54">
        <f>IF(AN33=0,I33,0)</f>
        <v>0</v>
      </c>
      <c r="AK33" s="54">
        <f>IF(AN33=12,I33,0)</f>
        <v>0</v>
      </c>
      <c r="AL33" s="54">
        <f>IF(AN33=21,I33,0)</f>
        <v>0</v>
      </c>
      <c r="AN33" s="54">
        <v>21</v>
      </c>
      <c r="AO33" s="54">
        <f>H33*0</f>
        <v>0</v>
      </c>
      <c r="AP33" s="54">
        <f>H33*(1-0)</f>
        <v>0</v>
      </c>
      <c r="AQ33" s="56" t="s">
        <v>119</v>
      </c>
      <c r="AV33" s="54">
        <f>AW33+AX33</f>
        <v>0</v>
      </c>
      <c r="AW33" s="54">
        <f>G33*AO33</f>
        <v>0</v>
      </c>
      <c r="AX33" s="54">
        <f>G33*AP33</f>
        <v>0</v>
      </c>
      <c r="AY33" s="56" t="s">
        <v>1558</v>
      </c>
      <c r="AZ33" s="56" t="s">
        <v>1529</v>
      </c>
      <c r="BA33" s="34" t="s">
        <v>1520</v>
      </c>
      <c r="BC33" s="54">
        <f>AW33+AX33</f>
        <v>0</v>
      </c>
      <c r="BD33" s="54">
        <f>H33/(100-BE33)*100</f>
        <v>0</v>
      </c>
      <c r="BE33" s="54">
        <v>0</v>
      </c>
      <c r="BF33" s="54">
        <f>L33</f>
        <v>0</v>
      </c>
      <c r="BH33" s="54">
        <f>G33*AO33</f>
        <v>0</v>
      </c>
      <c r="BI33" s="54">
        <f>G33*AP33</f>
        <v>0</v>
      </c>
      <c r="BJ33" s="54">
        <f>G33*H33</f>
        <v>0</v>
      </c>
      <c r="BK33" s="54"/>
      <c r="BL33" s="54"/>
      <c r="BW33" s="54">
        <v>21</v>
      </c>
      <c r="BX33" s="3" t="s">
        <v>1557</v>
      </c>
    </row>
    <row r="34" spans="1:76" ht="13.5" customHeight="1" x14ac:dyDescent="0.35">
      <c r="A34" s="57"/>
      <c r="C34" s="62" t="s">
        <v>122</v>
      </c>
      <c r="D34" s="214" t="s">
        <v>1559</v>
      </c>
      <c r="E34" s="215"/>
      <c r="F34" s="215"/>
      <c r="G34" s="215"/>
      <c r="H34" s="215"/>
      <c r="I34" s="215"/>
      <c r="J34" s="215"/>
      <c r="K34" s="215"/>
      <c r="L34" s="215"/>
      <c r="M34" s="216"/>
    </row>
    <row r="35" spans="1:76" ht="14.5" x14ac:dyDescent="0.35">
      <c r="A35" s="57"/>
      <c r="D35" s="58" t="s">
        <v>10</v>
      </c>
      <c r="E35" s="59" t="s">
        <v>1560</v>
      </c>
      <c r="G35" s="60">
        <v>0</v>
      </c>
      <c r="M35" s="61"/>
    </row>
    <row r="36" spans="1:76" ht="14.5" x14ac:dyDescent="0.35">
      <c r="A36" s="57"/>
      <c r="D36" s="58" t="s">
        <v>801</v>
      </c>
      <c r="E36" s="59" t="s">
        <v>1561</v>
      </c>
      <c r="G36" s="60">
        <v>4</v>
      </c>
      <c r="M36" s="61"/>
    </row>
    <row r="37" spans="1:76" ht="14.5" x14ac:dyDescent="0.35">
      <c r="A37" s="64" t="s">
        <v>226</v>
      </c>
      <c r="B37" s="65" t="s">
        <v>1512</v>
      </c>
      <c r="C37" s="65" t="s">
        <v>1562</v>
      </c>
      <c r="D37" s="217" t="s">
        <v>1563</v>
      </c>
      <c r="E37" s="218"/>
      <c r="F37" s="65" t="s">
        <v>196</v>
      </c>
      <c r="G37" s="67">
        <f>'Stavební rozpočet'!G716</f>
        <v>4</v>
      </c>
      <c r="H37" s="95">
        <f>'Stavební rozpočet'!H716</f>
        <v>0</v>
      </c>
      <c r="I37" s="67">
        <f>G37*H37</f>
        <v>0</v>
      </c>
      <c r="J37" s="67">
        <f>'Stavební rozpočet'!J716</f>
        <v>0</v>
      </c>
      <c r="K37" s="67">
        <f>'Stavební rozpočet'!K716</f>
        <v>0</v>
      </c>
      <c r="L37" s="67">
        <f>G37*J37</f>
        <v>0</v>
      </c>
      <c r="M37" s="68" t="s">
        <v>10</v>
      </c>
      <c r="Z37" s="54">
        <f>IF(AQ37="5",BJ37,0)</f>
        <v>0</v>
      </c>
      <c r="AB37" s="54">
        <f>IF(AQ37="1",BH37,0)</f>
        <v>0</v>
      </c>
      <c r="AC37" s="54">
        <f>IF(AQ37="1",BI37,0)</f>
        <v>0</v>
      </c>
      <c r="AD37" s="54">
        <f>IF(AQ37="7",BH37,0)</f>
        <v>0</v>
      </c>
      <c r="AE37" s="54">
        <f>IF(AQ37="7",BI37,0)</f>
        <v>0</v>
      </c>
      <c r="AF37" s="54">
        <f>IF(AQ37="2",BH37,0)</f>
        <v>0</v>
      </c>
      <c r="AG37" s="54">
        <f>IF(AQ37="2",BI37,0)</f>
        <v>0</v>
      </c>
      <c r="AH37" s="54">
        <f>IF(AQ37="0",BJ37,0)</f>
        <v>0</v>
      </c>
      <c r="AI37" s="34" t="s">
        <v>1512</v>
      </c>
      <c r="AJ37" s="67">
        <f>IF(AN37=0,I37,0)</f>
        <v>0</v>
      </c>
      <c r="AK37" s="67">
        <f>IF(AN37=12,I37,0)</f>
        <v>0</v>
      </c>
      <c r="AL37" s="67">
        <f>IF(AN37=21,I37,0)</f>
        <v>0</v>
      </c>
      <c r="AN37" s="54">
        <v>21</v>
      </c>
      <c r="AO37" s="54">
        <f>H37*1</f>
        <v>0</v>
      </c>
      <c r="AP37" s="54">
        <f>H37*(1-1)</f>
        <v>0</v>
      </c>
      <c r="AQ37" s="69" t="s">
        <v>107</v>
      </c>
      <c r="AV37" s="54">
        <f>AW37+AX37</f>
        <v>0</v>
      </c>
      <c r="AW37" s="54">
        <f>G37*AO37</f>
        <v>0</v>
      </c>
      <c r="AX37" s="54">
        <f>G37*AP37</f>
        <v>0</v>
      </c>
      <c r="AY37" s="56" t="s">
        <v>1558</v>
      </c>
      <c r="AZ37" s="56" t="s">
        <v>1529</v>
      </c>
      <c r="BA37" s="34" t="s">
        <v>1520</v>
      </c>
      <c r="BC37" s="54">
        <f>AW37+AX37</f>
        <v>0</v>
      </c>
      <c r="BD37" s="54">
        <f>H37/(100-BE37)*100</f>
        <v>0</v>
      </c>
      <c r="BE37" s="54">
        <v>0</v>
      </c>
      <c r="BF37" s="54">
        <f>L37</f>
        <v>0</v>
      </c>
      <c r="BH37" s="67">
        <f>G37*AO37</f>
        <v>0</v>
      </c>
      <c r="BI37" s="67">
        <f>G37*AP37</f>
        <v>0</v>
      </c>
      <c r="BJ37" s="67">
        <f>G37*H37</f>
        <v>0</v>
      </c>
      <c r="BK37" s="67"/>
      <c r="BL37" s="54"/>
      <c r="BW37" s="54">
        <v>21</v>
      </c>
      <c r="BX37" s="66" t="s">
        <v>1563</v>
      </c>
    </row>
    <row r="38" spans="1:76" ht="13.5" customHeight="1" x14ac:dyDescent="0.35">
      <c r="A38" s="57"/>
      <c r="C38" s="62" t="s">
        <v>122</v>
      </c>
      <c r="D38" s="214" t="s">
        <v>1564</v>
      </c>
      <c r="E38" s="215"/>
      <c r="F38" s="215"/>
      <c r="G38" s="215"/>
      <c r="H38" s="215"/>
      <c r="I38" s="215"/>
      <c r="J38" s="215"/>
      <c r="K38" s="215"/>
      <c r="L38" s="215"/>
      <c r="M38" s="216"/>
    </row>
    <row r="39" spans="1:76" ht="14.5" x14ac:dyDescent="0.35">
      <c r="A39" s="57"/>
      <c r="D39" s="58" t="s">
        <v>801</v>
      </c>
      <c r="E39" s="59" t="s">
        <v>1565</v>
      </c>
      <c r="G39" s="60">
        <v>4</v>
      </c>
      <c r="M39" s="61"/>
    </row>
    <row r="40" spans="1:76" ht="13.5" customHeight="1" x14ac:dyDescent="0.35">
      <c r="A40" s="57"/>
      <c r="C40" s="72" t="s">
        <v>55</v>
      </c>
      <c r="D40" s="214" t="s">
        <v>1566</v>
      </c>
      <c r="E40" s="215"/>
      <c r="F40" s="215"/>
      <c r="G40" s="215"/>
      <c r="H40" s="215"/>
      <c r="I40" s="215"/>
      <c r="J40" s="215"/>
      <c r="K40" s="215"/>
      <c r="L40" s="215"/>
      <c r="M40" s="216"/>
    </row>
    <row r="41" spans="1:76" ht="14.5" x14ac:dyDescent="0.35">
      <c r="A41" s="1" t="s">
        <v>234</v>
      </c>
      <c r="B41" s="2" t="s">
        <v>1512</v>
      </c>
      <c r="C41" s="2" t="s">
        <v>1567</v>
      </c>
      <c r="D41" s="155" t="s">
        <v>1568</v>
      </c>
      <c r="E41" s="153"/>
      <c r="F41" s="2" t="s">
        <v>153</v>
      </c>
      <c r="G41" s="54">
        <f>'Stavební rozpočet'!G718</f>
        <v>50</v>
      </c>
      <c r="H41" s="94">
        <f>'Stavební rozpočet'!H718</f>
        <v>0</v>
      </c>
      <c r="I41" s="54">
        <f>G41*H41</f>
        <v>0</v>
      </c>
      <c r="J41" s="54">
        <f>'Stavební rozpočet'!J718</f>
        <v>0</v>
      </c>
      <c r="K41" s="54">
        <f>'Stavební rozpočet'!K718</f>
        <v>0</v>
      </c>
      <c r="L41" s="54">
        <f>G41*J41</f>
        <v>0</v>
      </c>
      <c r="M41" s="55" t="s">
        <v>111</v>
      </c>
      <c r="Z41" s="54">
        <f>IF(AQ41="5",BJ41,0)</f>
        <v>0</v>
      </c>
      <c r="AB41" s="54">
        <f>IF(AQ41="1",BH41,0)</f>
        <v>0</v>
      </c>
      <c r="AC41" s="54">
        <f>IF(AQ41="1",BI41,0)</f>
        <v>0</v>
      </c>
      <c r="AD41" s="54">
        <f>IF(AQ41="7",BH41,0)</f>
        <v>0</v>
      </c>
      <c r="AE41" s="54">
        <f>IF(AQ41="7",BI41,0)</f>
        <v>0</v>
      </c>
      <c r="AF41" s="54">
        <f>IF(AQ41="2",BH41,0)</f>
        <v>0</v>
      </c>
      <c r="AG41" s="54">
        <f>IF(AQ41="2",BI41,0)</f>
        <v>0</v>
      </c>
      <c r="AH41" s="54">
        <f>IF(AQ41="0",BJ41,0)</f>
        <v>0</v>
      </c>
      <c r="AI41" s="34" t="s">
        <v>1512</v>
      </c>
      <c r="AJ41" s="54">
        <f>IF(AN41=0,I41,0)</f>
        <v>0</v>
      </c>
      <c r="AK41" s="54">
        <f>IF(AN41=12,I41,0)</f>
        <v>0</v>
      </c>
      <c r="AL41" s="54">
        <f>IF(AN41=21,I41,0)</f>
        <v>0</v>
      </c>
      <c r="AN41" s="54">
        <v>21</v>
      </c>
      <c r="AO41" s="54">
        <f>H41*0</f>
        <v>0</v>
      </c>
      <c r="AP41" s="54">
        <f>H41*(1-0)</f>
        <v>0</v>
      </c>
      <c r="AQ41" s="56" t="s">
        <v>119</v>
      </c>
      <c r="AV41" s="54">
        <f>AW41+AX41</f>
        <v>0</v>
      </c>
      <c r="AW41" s="54">
        <f>G41*AO41</f>
        <v>0</v>
      </c>
      <c r="AX41" s="54">
        <f>G41*AP41</f>
        <v>0</v>
      </c>
      <c r="AY41" s="56" t="s">
        <v>1558</v>
      </c>
      <c r="AZ41" s="56" t="s">
        <v>1529</v>
      </c>
      <c r="BA41" s="34" t="s">
        <v>1520</v>
      </c>
      <c r="BC41" s="54">
        <f>AW41+AX41</f>
        <v>0</v>
      </c>
      <c r="BD41" s="54">
        <f>H41/(100-BE41)*100</f>
        <v>0</v>
      </c>
      <c r="BE41" s="54">
        <v>0</v>
      </c>
      <c r="BF41" s="54">
        <f>L41</f>
        <v>0</v>
      </c>
      <c r="BH41" s="54">
        <f>G41*AO41</f>
        <v>0</v>
      </c>
      <c r="BI41" s="54">
        <f>G41*AP41</f>
        <v>0</v>
      </c>
      <c r="BJ41" s="54">
        <f>G41*H41</f>
        <v>0</v>
      </c>
      <c r="BK41" s="54"/>
      <c r="BL41" s="54"/>
      <c r="BW41" s="54">
        <v>21</v>
      </c>
      <c r="BX41" s="3" t="s">
        <v>1568</v>
      </c>
    </row>
    <row r="42" spans="1:76" ht="14.5" x14ac:dyDescent="0.35">
      <c r="A42" s="64" t="s">
        <v>241</v>
      </c>
      <c r="B42" s="65" t="s">
        <v>1512</v>
      </c>
      <c r="C42" s="65" t="s">
        <v>1569</v>
      </c>
      <c r="D42" s="217" t="s">
        <v>1570</v>
      </c>
      <c r="E42" s="218"/>
      <c r="F42" s="65" t="s">
        <v>153</v>
      </c>
      <c r="G42" s="67">
        <f>'Stavební rozpočet'!G719</f>
        <v>60</v>
      </c>
      <c r="H42" s="95">
        <f>'Stavební rozpočet'!H719</f>
        <v>0</v>
      </c>
      <c r="I42" s="67">
        <f>G42*H42</f>
        <v>0</v>
      </c>
      <c r="J42" s="67">
        <f>'Stavební rozpočet'!J719</f>
        <v>5.0000000000000002E-5</v>
      </c>
      <c r="K42" s="67">
        <f>'Stavební rozpočet'!K719</f>
        <v>0</v>
      </c>
      <c r="L42" s="67">
        <f>G42*J42</f>
        <v>3.0000000000000001E-3</v>
      </c>
      <c r="M42" s="68" t="s">
        <v>10</v>
      </c>
      <c r="Z42" s="54">
        <f>IF(AQ42="5",BJ42,0)</f>
        <v>0</v>
      </c>
      <c r="AB42" s="54">
        <f>IF(AQ42="1",BH42,0)</f>
        <v>0</v>
      </c>
      <c r="AC42" s="54">
        <f>IF(AQ42="1",BI42,0)</f>
        <v>0</v>
      </c>
      <c r="AD42" s="54">
        <f>IF(AQ42="7",BH42,0)</f>
        <v>0</v>
      </c>
      <c r="AE42" s="54">
        <f>IF(AQ42="7",BI42,0)</f>
        <v>0</v>
      </c>
      <c r="AF42" s="54">
        <f>IF(AQ42="2",BH42,0)</f>
        <v>0</v>
      </c>
      <c r="AG42" s="54">
        <f>IF(AQ42="2",BI42,0)</f>
        <v>0</v>
      </c>
      <c r="AH42" s="54">
        <f>IF(AQ42="0",BJ42,0)</f>
        <v>0</v>
      </c>
      <c r="AI42" s="34" t="s">
        <v>1512</v>
      </c>
      <c r="AJ42" s="67">
        <f>IF(AN42=0,I42,0)</f>
        <v>0</v>
      </c>
      <c r="AK42" s="67">
        <f>IF(AN42=12,I42,0)</f>
        <v>0</v>
      </c>
      <c r="AL42" s="67">
        <f>IF(AN42=21,I42,0)</f>
        <v>0</v>
      </c>
      <c r="AN42" s="54">
        <v>21</v>
      </c>
      <c r="AO42" s="54">
        <f>H42*1</f>
        <v>0</v>
      </c>
      <c r="AP42" s="54">
        <f>H42*(1-1)</f>
        <v>0</v>
      </c>
      <c r="AQ42" s="69" t="s">
        <v>107</v>
      </c>
      <c r="AV42" s="54">
        <f>AW42+AX42</f>
        <v>0</v>
      </c>
      <c r="AW42" s="54">
        <f>G42*AO42</f>
        <v>0</v>
      </c>
      <c r="AX42" s="54">
        <f>G42*AP42</f>
        <v>0</v>
      </c>
      <c r="AY42" s="56" t="s">
        <v>1558</v>
      </c>
      <c r="AZ42" s="56" t="s">
        <v>1529</v>
      </c>
      <c r="BA42" s="34" t="s">
        <v>1520</v>
      </c>
      <c r="BC42" s="54">
        <f>AW42+AX42</f>
        <v>0</v>
      </c>
      <c r="BD42" s="54">
        <f>H42/(100-BE42)*100</f>
        <v>0</v>
      </c>
      <c r="BE42" s="54">
        <v>0</v>
      </c>
      <c r="BF42" s="54">
        <f>L42</f>
        <v>3.0000000000000001E-3</v>
      </c>
      <c r="BH42" s="67">
        <f>G42*AO42</f>
        <v>0</v>
      </c>
      <c r="BI42" s="67">
        <f>G42*AP42</f>
        <v>0</v>
      </c>
      <c r="BJ42" s="67">
        <f>G42*H42</f>
        <v>0</v>
      </c>
      <c r="BK42" s="67"/>
      <c r="BL42" s="54"/>
      <c r="BW42" s="54">
        <v>21</v>
      </c>
      <c r="BX42" s="66" t="s">
        <v>1570</v>
      </c>
    </row>
    <row r="43" spans="1:76" ht="65" x14ac:dyDescent="0.35">
      <c r="A43" s="57"/>
      <c r="C43" s="62" t="s">
        <v>156</v>
      </c>
      <c r="D43" s="211" t="s">
        <v>1571</v>
      </c>
      <c r="E43" s="212"/>
      <c r="F43" s="212"/>
      <c r="G43" s="212"/>
      <c r="H43" s="212"/>
      <c r="I43" s="212"/>
      <c r="J43" s="212"/>
      <c r="K43" s="212"/>
      <c r="L43" s="212"/>
      <c r="M43" s="213"/>
      <c r="BX43" s="70" t="s">
        <v>1571</v>
      </c>
    </row>
    <row r="44" spans="1:76" ht="14.5" x14ac:dyDescent="0.35">
      <c r="A44" s="1" t="s">
        <v>247</v>
      </c>
      <c r="B44" s="2" t="s">
        <v>1512</v>
      </c>
      <c r="C44" s="2" t="s">
        <v>1572</v>
      </c>
      <c r="D44" s="155" t="s">
        <v>1573</v>
      </c>
      <c r="E44" s="153"/>
      <c r="F44" s="2" t="s">
        <v>196</v>
      </c>
      <c r="G44" s="54">
        <f>'Stavební rozpočet'!G720</f>
        <v>24</v>
      </c>
      <c r="H44" s="94">
        <f>'Stavební rozpočet'!H720</f>
        <v>0</v>
      </c>
      <c r="I44" s="54">
        <f>G44*H44</f>
        <v>0</v>
      </c>
      <c r="J44" s="54">
        <f>'Stavební rozpočet'!J720</f>
        <v>0</v>
      </c>
      <c r="K44" s="54">
        <f>'Stavební rozpočet'!K720</f>
        <v>0</v>
      </c>
      <c r="L44" s="54">
        <f>G44*J44</f>
        <v>0</v>
      </c>
      <c r="M44" s="55" t="s">
        <v>111</v>
      </c>
      <c r="Z44" s="54">
        <f>IF(AQ44="5",BJ44,0)</f>
        <v>0</v>
      </c>
      <c r="AB44" s="54">
        <f>IF(AQ44="1",BH44,0)</f>
        <v>0</v>
      </c>
      <c r="AC44" s="54">
        <f>IF(AQ44="1",BI44,0)</f>
        <v>0</v>
      </c>
      <c r="AD44" s="54">
        <f>IF(AQ44="7",BH44,0)</f>
        <v>0</v>
      </c>
      <c r="AE44" s="54">
        <f>IF(AQ44="7",BI44,0)</f>
        <v>0</v>
      </c>
      <c r="AF44" s="54">
        <f>IF(AQ44="2",BH44,0)</f>
        <v>0</v>
      </c>
      <c r="AG44" s="54">
        <f>IF(AQ44="2",BI44,0)</f>
        <v>0</v>
      </c>
      <c r="AH44" s="54">
        <f>IF(AQ44="0",BJ44,0)</f>
        <v>0</v>
      </c>
      <c r="AI44" s="34" t="s">
        <v>1512</v>
      </c>
      <c r="AJ44" s="54">
        <f>IF(AN44=0,I44,0)</f>
        <v>0</v>
      </c>
      <c r="AK44" s="54">
        <f>IF(AN44=12,I44,0)</f>
        <v>0</v>
      </c>
      <c r="AL44" s="54">
        <f>IF(AN44=21,I44,0)</f>
        <v>0</v>
      </c>
      <c r="AN44" s="54">
        <v>21</v>
      </c>
      <c r="AO44" s="54">
        <f>H44*0</f>
        <v>0</v>
      </c>
      <c r="AP44" s="54">
        <f>H44*(1-0)</f>
        <v>0</v>
      </c>
      <c r="AQ44" s="56" t="s">
        <v>119</v>
      </c>
      <c r="AV44" s="54">
        <f>AW44+AX44</f>
        <v>0</v>
      </c>
      <c r="AW44" s="54">
        <f>G44*AO44</f>
        <v>0</v>
      </c>
      <c r="AX44" s="54">
        <f>G44*AP44</f>
        <v>0</v>
      </c>
      <c r="AY44" s="56" t="s">
        <v>1558</v>
      </c>
      <c r="AZ44" s="56" t="s">
        <v>1529</v>
      </c>
      <c r="BA44" s="34" t="s">
        <v>1520</v>
      </c>
      <c r="BC44" s="54">
        <f>AW44+AX44</f>
        <v>0</v>
      </c>
      <c r="BD44" s="54">
        <f>H44/(100-BE44)*100</f>
        <v>0</v>
      </c>
      <c r="BE44" s="54">
        <v>0</v>
      </c>
      <c r="BF44" s="54">
        <f>L44</f>
        <v>0</v>
      </c>
      <c r="BH44" s="54">
        <f>G44*AO44</f>
        <v>0</v>
      </c>
      <c r="BI44" s="54">
        <f>G44*AP44</f>
        <v>0</v>
      </c>
      <c r="BJ44" s="54">
        <f>G44*H44</f>
        <v>0</v>
      </c>
      <c r="BK44" s="54"/>
      <c r="BL44" s="54"/>
      <c r="BW44" s="54">
        <v>21</v>
      </c>
      <c r="BX44" s="3" t="s">
        <v>1573</v>
      </c>
    </row>
    <row r="45" spans="1:76" ht="13.5" customHeight="1" x14ac:dyDescent="0.35">
      <c r="A45" s="57"/>
      <c r="C45" s="62" t="s">
        <v>122</v>
      </c>
      <c r="D45" s="214" t="s">
        <v>1574</v>
      </c>
      <c r="E45" s="215"/>
      <c r="F45" s="215"/>
      <c r="G45" s="215"/>
      <c r="H45" s="215"/>
      <c r="I45" s="215"/>
      <c r="J45" s="215"/>
      <c r="K45" s="215"/>
      <c r="L45" s="215"/>
      <c r="M45" s="216"/>
    </row>
    <row r="46" spans="1:76" ht="14.5" x14ac:dyDescent="0.35">
      <c r="A46" s="57"/>
      <c r="D46" s="58" t="s">
        <v>406</v>
      </c>
      <c r="E46" s="59" t="s">
        <v>1575</v>
      </c>
      <c r="G46" s="60">
        <v>24</v>
      </c>
      <c r="M46" s="61"/>
    </row>
    <row r="47" spans="1:76" ht="14.5" x14ac:dyDescent="0.35">
      <c r="A47" s="1" t="s">
        <v>255</v>
      </c>
      <c r="B47" s="2" t="s">
        <v>1512</v>
      </c>
      <c r="C47" s="2" t="s">
        <v>1576</v>
      </c>
      <c r="D47" s="155" t="s">
        <v>1577</v>
      </c>
      <c r="E47" s="153"/>
      <c r="F47" s="2" t="s">
        <v>153</v>
      </c>
      <c r="G47" s="54">
        <f>'Stavební rozpočet'!G722</f>
        <v>159</v>
      </c>
      <c r="H47" s="94">
        <f>'Stavební rozpočet'!H722</f>
        <v>0</v>
      </c>
      <c r="I47" s="54">
        <f>G47*H47</f>
        <v>0</v>
      </c>
      <c r="J47" s="54">
        <f>'Stavební rozpočet'!J722</f>
        <v>0</v>
      </c>
      <c r="K47" s="54">
        <f>'Stavební rozpočet'!K722</f>
        <v>0</v>
      </c>
      <c r="L47" s="54">
        <f>G47*J47</f>
        <v>0</v>
      </c>
      <c r="M47" s="55" t="s">
        <v>111</v>
      </c>
      <c r="Z47" s="54">
        <f>IF(AQ47="5",BJ47,0)</f>
        <v>0</v>
      </c>
      <c r="AB47" s="54">
        <f>IF(AQ47="1",BH47,0)</f>
        <v>0</v>
      </c>
      <c r="AC47" s="54">
        <f>IF(AQ47="1",BI47,0)</f>
        <v>0</v>
      </c>
      <c r="AD47" s="54">
        <f>IF(AQ47="7",BH47,0)</f>
        <v>0</v>
      </c>
      <c r="AE47" s="54">
        <f>IF(AQ47="7",BI47,0)</f>
        <v>0</v>
      </c>
      <c r="AF47" s="54">
        <f>IF(AQ47="2",BH47,0)</f>
        <v>0</v>
      </c>
      <c r="AG47" s="54">
        <f>IF(AQ47="2",BI47,0)</f>
        <v>0</v>
      </c>
      <c r="AH47" s="54">
        <f>IF(AQ47="0",BJ47,0)</f>
        <v>0</v>
      </c>
      <c r="AI47" s="34" t="s">
        <v>1512</v>
      </c>
      <c r="AJ47" s="54">
        <f>IF(AN47=0,I47,0)</f>
        <v>0</v>
      </c>
      <c r="AK47" s="54">
        <f>IF(AN47=12,I47,0)</f>
        <v>0</v>
      </c>
      <c r="AL47" s="54">
        <f>IF(AN47=21,I47,0)</f>
        <v>0</v>
      </c>
      <c r="AN47" s="54">
        <v>21</v>
      </c>
      <c r="AO47" s="54">
        <f>H47*0</f>
        <v>0</v>
      </c>
      <c r="AP47" s="54">
        <f>H47*(1-0)</f>
        <v>0</v>
      </c>
      <c r="AQ47" s="56" t="s">
        <v>119</v>
      </c>
      <c r="AV47" s="54">
        <f>AW47+AX47</f>
        <v>0</v>
      </c>
      <c r="AW47" s="54">
        <f>G47*AO47</f>
        <v>0</v>
      </c>
      <c r="AX47" s="54">
        <f>G47*AP47</f>
        <v>0</v>
      </c>
      <c r="AY47" s="56" t="s">
        <v>1558</v>
      </c>
      <c r="AZ47" s="56" t="s">
        <v>1529</v>
      </c>
      <c r="BA47" s="34" t="s">
        <v>1520</v>
      </c>
      <c r="BC47" s="54">
        <f>AW47+AX47</f>
        <v>0</v>
      </c>
      <c r="BD47" s="54">
        <f>H47/(100-BE47)*100</f>
        <v>0</v>
      </c>
      <c r="BE47" s="54">
        <v>0</v>
      </c>
      <c r="BF47" s="54">
        <f>L47</f>
        <v>0</v>
      </c>
      <c r="BH47" s="54">
        <f>G47*AO47</f>
        <v>0</v>
      </c>
      <c r="BI47" s="54">
        <f>G47*AP47</f>
        <v>0</v>
      </c>
      <c r="BJ47" s="54">
        <f>G47*H47</f>
        <v>0</v>
      </c>
      <c r="BK47" s="54"/>
      <c r="BL47" s="54"/>
      <c r="BW47" s="54">
        <v>21</v>
      </c>
      <c r="BX47" s="3" t="s">
        <v>1577</v>
      </c>
    </row>
    <row r="48" spans="1:76" ht="26" x14ac:dyDescent="0.35">
      <c r="A48" s="57"/>
      <c r="C48" s="62" t="s">
        <v>156</v>
      </c>
      <c r="D48" s="211" t="s">
        <v>1578</v>
      </c>
      <c r="E48" s="212"/>
      <c r="F48" s="212"/>
      <c r="G48" s="212"/>
      <c r="H48" s="212"/>
      <c r="I48" s="212"/>
      <c r="J48" s="212"/>
      <c r="K48" s="212"/>
      <c r="L48" s="212"/>
      <c r="M48" s="213"/>
      <c r="BX48" s="63" t="s">
        <v>1578</v>
      </c>
    </row>
    <row r="49" spans="1:76" ht="14.5" x14ac:dyDescent="0.35">
      <c r="A49" s="64" t="s">
        <v>268</v>
      </c>
      <c r="B49" s="65" t="s">
        <v>1512</v>
      </c>
      <c r="C49" s="65" t="s">
        <v>1579</v>
      </c>
      <c r="D49" s="217" t="s">
        <v>1580</v>
      </c>
      <c r="E49" s="218"/>
      <c r="F49" s="65" t="s">
        <v>153</v>
      </c>
      <c r="G49" s="67">
        <f>'Stavební rozpočet'!G723</f>
        <v>92</v>
      </c>
      <c r="H49" s="95">
        <f>'Stavební rozpočet'!H723</f>
        <v>0</v>
      </c>
      <c r="I49" s="67">
        <f>G49*H49</f>
        <v>0</v>
      </c>
      <c r="J49" s="67">
        <f>'Stavební rozpočet'!J723</f>
        <v>1.4999999999999999E-4</v>
      </c>
      <c r="K49" s="67">
        <f>'Stavební rozpočet'!K723</f>
        <v>0</v>
      </c>
      <c r="L49" s="67">
        <f>G49*J49</f>
        <v>1.3799999999999998E-2</v>
      </c>
      <c r="M49" s="68" t="s">
        <v>111</v>
      </c>
      <c r="Z49" s="54">
        <f>IF(AQ49="5",BJ49,0)</f>
        <v>0</v>
      </c>
      <c r="AB49" s="54">
        <f>IF(AQ49="1",BH49,0)</f>
        <v>0</v>
      </c>
      <c r="AC49" s="54">
        <f>IF(AQ49="1",BI49,0)</f>
        <v>0</v>
      </c>
      <c r="AD49" s="54">
        <f>IF(AQ49="7",BH49,0)</f>
        <v>0</v>
      </c>
      <c r="AE49" s="54">
        <f>IF(AQ49="7",BI49,0)</f>
        <v>0</v>
      </c>
      <c r="AF49" s="54">
        <f>IF(AQ49="2",BH49,0)</f>
        <v>0</v>
      </c>
      <c r="AG49" s="54">
        <f>IF(AQ49="2",BI49,0)</f>
        <v>0</v>
      </c>
      <c r="AH49" s="54">
        <f>IF(AQ49="0",BJ49,0)</f>
        <v>0</v>
      </c>
      <c r="AI49" s="34" t="s">
        <v>1512</v>
      </c>
      <c r="AJ49" s="67">
        <f>IF(AN49=0,I49,0)</f>
        <v>0</v>
      </c>
      <c r="AK49" s="67">
        <f>IF(AN49=12,I49,0)</f>
        <v>0</v>
      </c>
      <c r="AL49" s="67">
        <f>IF(AN49=21,I49,0)</f>
        <v>0</v>
      </c>
      <c r="AN49" s="54">
        <v>21</v>
      </c>
      <c r="AO49" s="54">
        <f>H49*1</f>
        <v>0</v>
      </c>
      <c r="AP49" s="54">
        <f>H49*(1-1)</f>
        <v>0</v>
      </c>
      <c r="AQ49" s="69" t="s">
        <v>107</v>
      </c>
      <c r="AV49" s="54">
        <f>AW49+AX49</f>
        <v>0</v>
      </c>
      <c r="AW49" s="54">
        <f>G49*AO49</f>
        <v>0</v>
      </c>
      <c r="AX49" s="54">
        <f>G49*AP49</f>
        <v>0</v>
      </c>
      <c r="AY49" s="56" t="s">
        <v>1558</v>
      </c>
      <c r="AZ49" s="56" t="s">
        <v>1529</v>
      </c>
      <c r="BA49" s="34" t="s">
        <v>1520</v>
      </c>
      <c r="BC49" s="54">
        <f>AW49+AX49</f>
        <v>0</v>
      </c>
      <c r="BD49" s="54">
        <f>H49/(100-BE49)*100</f>
        <v>0</v>
      </c>
      <c r="BE49" s="54">
        <v>0</v>
      </c>
      <c r="BF49" s="54">
        <f>L49</f>
        <v>1.3799999999999998E-2</v>
      </c>
      <c r="BH49" s="67">
        <f>G49*AO49</f>
        <v>0</v>
      </c>
      <c r="BI49" s="67">
        <f>G49*AP49</f>
        <v>0</v>
      </c>
      <c r="BJ49" s="67">
        <f>G49*H49</f>
        <v>0</v>
      </c>
      <c r="BK49" s="67"/>
      <c r="BL49" s="54"/>
      <c r="BW49" s="54">
        <v>21</v>
      </c>
      <c r="BX49" s="66" t="s">
        <v>1580</v>
      </c>
    </row>
    <row r="50" spans="1:76" ht="14.5" x14ac:dyDescent="0.35">
      <c r="A50" s="64" t="s">
        <v>275</v>
      </c>
      <c r="B50" s="65" t="s">
        <v>1512</v>
      </c>
      <c r="C50" s="65" t="s">
        <v>1581</v>
      </c>
      <c r="D50" s="217" t="s">
        <v>1582</v>
      </c>
      <c r="E50" s="218"/>
      <c r="F50" s="65" t="s">
        <v>153</v>
      </c>
      <c r="G50" s="67">
        <f>'Stavební rozpočet'!G724</f>
        <v>76</v>
      </c>
      <c r="H50" s="95">
        <f>'Stavební rozpočet'!H724</f>
        <v>0</v>
      </c>
      <c r="I50" s="67">
        <f>G50*H50</f>
        <v>0</v>
      </c>
      <c r="J50" s="67">
        <f>'Stavební rozpočet'!J724</f>
        <v>2.3000000000000001E-4</v>
      </c>
      <c r="K50" s="67">
        <f>'Stavební rozpočet'!K724</f>
        <v>0</v>
      </c>
      <c r="L50" s="67">
        <f>G50*J50</f>
        <v>1.7479999999999999E-2</v>
      </c>
      <c r="M50" s="68" t="s">
        <v>111</v>
      </c>
      <c r="Z50" s="54">
        <f>IF(AQ50="5",BJ50,0)</f>
        <v>0</v>
      </c>
      <c r="AB50" s="54">
        <f>IF(AQ50="1",BH50,0)</f>
        <v>0</v>
      </c>
      <c r="AC50" s="54">
        <f>IF(AQ50="1",BI50,0)</f>
        <v>0</v>
      </c>
      <c r="AD50" s="54">
        <f>IF(AQ50="7",BH50,0)</f>
        <v>0</v>
      </c>
      <c r="AE50" s="54">
        <f>IF(AQ50="7",BI50,0)</f>
        <v>0</v>
      </c>
      <c r="AF50" s="54">
        <f>IF(AQ50="2",BH50,0)</f>
        <v>0</v>
      </c>
      <c r="AG50" s="54">
        <f>IF(AQ50="2",BI50,0)</f>
        <v>0</v>
      </c>
      <c r="AH50" s="54">
        <f>IF(AQ50="0",BJ50,0)</f>
        <v>0</v>
      </c>
      <c r="AI50" s="34" t="s">
        <v>1512</v>
      </c>
      <c r="AJ50" s="67">
        <f>IF(AN50=0,I50,0)</f>
        <v>0</v>
      </c>
      <c r="AK50" s="67">
        <f>IF(AN50=12,I50,0)</f>
        <v>0</v>
      </c>
      <c r="AL50" s="67">
        <f>IF(AN50=21,I50,0)</f>
        <v>0</v>
      </c>
      <c r="AN50" s="54">
        <v>21</v>
      </c>
      <c r="AO50" s="54">
        <f>H50*1</f>
        <v>0</v>
      </c>
      <c r="AP50" s="54">
        <f>H50*(1-1)</f>
        <v>0</v>
      </c>
      <c r="AQ50" s="69" t="s">
        <v>107</v>
      </c>
      <c r="AV50" s="54">
        <f>AW50+AX50</f>
        <v>0</v>
      </c>
      <c r="AW50" s="54">
        <f>G50*AO50</f>
        <v>0</v>
      </c>
      <c r="AX50" s="54">
        <f>G50*AP50</f>
        <v>0</v>
      </c>
      <c r="AY50" s="56" t="s">
        <v>1558</v>
      </c>
      <c r="AZ50" s="56" t="s">
        <v>1529</v>
      </c>
      <c r="BA50" s="34" t="s">
        <v>1520</v>
      </c>
      <c r="BC50" s="54">
        <f>AW50+AX50</f>
        <v>0</v>
      </c>
      <c r="BD50" s="54">
        <f>H50/(100-BE50)*100</f>
        <v>0</v>
      </c>
      <c r="BE50" s="54">
        <v>0</v>
      </c>
      <c r="BF50" s="54">
        <f>L50</f>
        <v>1.7479999999999999E-2</v>
      </c>
      <c r="BH50" s="67">
        <f>G50*AO50</f>
        <v>0</v>
      </c>
      <c r="BI50" s="67">
        <f>G50*AP50</f>
        <v>0</v>
      </c>
      <c r="BJ50" s="67">
        <f>G50*H50</f>
        <v>0</v>
      </c>
      <c r="BK50" s="67"/>
      <c r="BL50" s="54"/>
      <c r="BW50" s="54">
        <v>21</v>
      </c>
      <c r="BX50" s="66" t="s">
        <v>1582</v>
      </c>
    </row>
    <row r="51" spans="1:76" ht="14.5" x14ac:dyDescent="0.35">
      <c r="A51" s="1" t="s">
        <v>285</v>
      </c>
      <c r="B51" s="2" t="s">
        <v>1512</v>
      </c>
      <c r="C51" s="2" t="s">
        <v>1583</v>
      </c>
      <c r="D51" s="155" t="s">
        <v>1584</v>
      </c>
      <c r="E51" s="153"/>
      <c r="F51" s="2" t="s">
        <v>196</v>
      </c>
      <c r="G51" s="54">
        <f>'Stavební rozpočet'!G725</f>
        <v>313</v>
      </c>
      <c r="H51" s="94">
        <f>'Stavební rozpočet'!H725</f>
        <v>0</v>
      </c>
      <c r="I51" s="54">
        <f>G51*H51</f>
        <v>0</v>
      </c>
      <c r="J51" s="54">
        <f>'Stavební rozpočet'!J725</f>
        <v>0</v>
      </c>
      <c r="K51" s="54">
        <f>'Stavební rozpočet'!K725</f>
        <v>0</v>
      </c>
      <c r="L51" s="54">
        <f>G51*J51</f>
        <v>0</v>
      </c>
      <c r="M51" s="55" t="s">
        <v>111</v>
      </c>
      <c r="Z51" s="54">
        <f>IF(AQ51="5",BJ51,0)</f>
        <v>0</v>
      </c>
      <c r="AB51" s="54">
        <f>IF(AQ51="1",BH51,0)</f>
        <v>0</v>
      </c>
      <c r="AC51" s="54">
        <f>IF(AQ51="1",BI51,0)</f>
        <v>0</v>
      </c>
      <c r="AD51" s="54">
        <f>IF(AQ51="7",BH51,0)</f>
        <v>0</v>
      </c>
      <c r="AE51" s="54">
        <f>IF(AQ51="7",BI51,0)</f>
        <v>0</v>
      </c>
      <c r="AF51" s="54">
        <f>IF(AQ51="2",BH51,0)</f>
        <v>0</v>
      </c>
      <c r="AG51" s="54">
        <f>IF(AQ51="2",BI51,0)</f>
        <v>0</v>
      </c>
      <c r="AH51" s="54">
        <f>IF(AQ51="0",BJ51,0)</f>
        <v>0</v>
      </c>
      <c r="AI51" s="34" t="s">
        <v>1512</v>
      </c>
      <c r="AJ51" s="54">
        <f>IF(AN51=0,I51,0)</f>
        <v>0</v>
      </c>
      <c r="AK51" s="54">
        <f>IF(AN51=12,I51,0)</f>
        <v>0</v>
      </c>
      <c r="AL51" s="54">
        <f>IF(AN51=21,I51,0)</f>
        <v>0</v>
      </c>
      <c r="AN51" s="54">
        <v>21</v>
      </c>
      <c r="AO51" s="54">
        <f>H51*0</f>
        <v>0</v>
      </c>
      <c r="AP51" s="54">
        <f>H51*(1-0)</f>
        <v>0</v>
      </c>
      <c r="AQ51" s="56" t="s">
        <v>119</v>
      </c>
      <c r="AV51" s="54">
        <f>AW51+AX51</f>
        <v>0</v>
      </c>
      <c r="AW51" s="54">
        <f>G51*AO51</f>
        <v>0</v>
      </c>
      <c r="AX51" s="54">
        <f>G51*AP51</f>
        <v>0</v>
      </c>
      <c r="AY51" s="56" t="s">
        <v>1558</v>
      </c>
      <c r="AZ51" s="56" t="s">
        <v>1529</v>
      </c>
      <c r="BA51" s="34" t="s">
        <v>1520</v>
      </c>
      <c r="BC51" s="54">
        <f>AW51+AX51</f>
        <v>0</v>
      </c>
      <c r="BD51" s="54">
        <f>H51/(100-BE51)*100</f>
        <v>0</v>
      </c>
      <c r="BE51" s="54">
        <v>0</v>
      </c>
      <c r="BF51" s="54">
        <f>L51</f>
        <v>0</v>
      </c>
      <c r="BH51" s="54">
        <f>G51*AO51</f>
        <v>0</v>
      </c>
      <c r="BI51" s="54">
        <f>G51*AP51</f>
        <v>0</v>
      </c>
      <c r="BJ51" s="54">
        <f>G51*H51</f>
        <v>0</v>
      </c>
      <c r="BK51" s="54"/>
      <c r="BL51" s="54"/>
      <c r="BW51" s="54">
        <v>21</v>
      </c>
      <c r="BX51" s="3" t="s">
        <v>1584</v>
      </c>
    </row>
    <row r="52" spans="1:76" ht="13.5" customHeight="1" x14ac:dyDescent="0.35">
      <c r="A52" s="57"/>
      <c r="C52" s="62" t="s">
        <v>122</v>
      </c>
      <c r="D52" s="214" t="s">
        <v>1585</v>
      </c>
      <c r="E52" s="215"/>
      <c r="F52" s="215"/>
      <c r="G52" s="215"/>
      <c r="H52" s="215"/>
      <c r="I52" s="215"/>
      <c r="J52" s="215"/>
      <c r="K52" s="215"/>
      <c r="L52" s="215"/>
      <c r="M52" s="216"/>
    </row>
    <row r="53" spans="1:76" ht="14.5" x14ac:dyDescent="0.35">
      <c r="A53" s="64" t="s">
        <v>301</v>
      </c>
      <c r="B53" s="65" t="s">
        <v>1512</v>
      </c>
      <c r="C53" s="65" t="s">
        <v>1586</v>
      </c>
      <c r="D53" s="217" t="s">
        <v>1587</v>
      </c>
      <c r="E53" s="218"/>
      <c r="F53" s="65" t="s">
        <v>196</v>
      </c>
      <c r="G53" s="67">
        <f>'Stavební rozpočet'!G726</f>
        <v>313</v>
      </c>
      <c r="H53" s="95">
        <f>'Stavební rozpočet'!H726</f>
        <v>0</v>
      </c>
      <c r="I53" s="67">
        <f>G53*H53</f>
        <v>0</v>
      </c>
      <c r="J53" s="67">
        <f>'Stavební rozpočet'!J726</f>
        <v>4.0000000000000003E-5</v>
      </c>
      <c r="K53" s="67">
        <f>'Stavební rozpočet'!K726</f>
        <v>0</v>
      </c>
      <c r="L53" s="67">
        <f>G53*J53</f>
        <v>1.2520000000000002E-2</v>
      </c>
      <c r="M53" s="68" t="s">
        <v>111</v>
      </c>
      <c r="Z53" s="54">
        <f>IF(AQ53="5",BJ53,0)</f>
        <v>0</v>
      </c>
      <c r="AB53" s="54">
        <f>IF(AQ53="1",BH53,0)</f>
        <v>0</v>
      </c>
      <c r="AC53" s="54">
        <f>IF(AQ53="1",BI53,0)</f>
        <v>0</v>
      </c>
      <c r="AD53" s="54">
        <f>IF(AQ53="7",BH53,0)</f>
        <v>0</v>
      </c>
      <c r="AE53" s="54">
        <f>IF(AQ53="7",BI53,0)</f>
        <v>0</v>
      </c>
      <c r="AF53" s="54">
        <f>IF(AQ53="2",BH53,0)</f>
        <v>0</v>
      </c>
      <c r="AG53" s="54">
        <f>IF(AQ53="2",BI53,0)</f>
        <v>0</v>
      </c>
      <c r="AH53" s="54">
        <f>IF(AQ53="0",BJ53,0)</f>
        <v>0</v>
      </c>
      <c r="AI53" s="34" t="s">
        <v>1512</v>
      </c>
      <c r="AJ53" s="67">
        <f>IF(AN53=0,I53,0)</f>
        <v>0</v>
      </c>
      <c r="AK53" s="67">
        <f>IF(AN53=12,I53,0)</f>
        <v>0</v>
      </c>
      <c r="AL53" s="67">
        <f>IF(AN53=21,I53,0)</f>
        <v>0</v>
      </c>
      <c r="AN53" s="54">
        <v>21</v>
      </c>
      <c r="AO53" s="54">
        <f>H53*1</f>
        <v>0</v>
      </c>
      <c r="AP53" s="54">
        <f>H53*(1-1)</f>
        <v>0</v>
      </c>
      <c r="AQ53" s="69" t="s">
        <v>107</v>
      </c>
      <c r="AV53" s="54">
        <f>AW53+AX53</f>
        <v>0</v>
      </c>
      <c r="AW53" s="54">
        <f>G53*AO53</f>
        <v>0</v>
      </c>
      <c r="AX53" s="54">
        <f>G53*AP53</f>
        <v>0</v>
      </c>
      <c r="AY53" s="56" t="s">
        <v>1558</v>
      </c>
      <c r="AZ53" s="56" t="s">
        <v>1529</v>
      </c>
      <c r="BA53" s="34" t="s">
        <v>1520</v>
      </c>
      <c r="BC53" s="54">
        <f>AW53+AX53</f>
        <v>0</v>
      </c>
      <c r="BD53" s="54">
        <f>H53/(100-BE53)*100</f>
        <v>0</v>
      </c>
      <c r="BE53" s="54">
        <v>0</v>
      </c>
      <c r="BF53" s="54">
        <f>L53</f>
        <v>1.2520000000000002E-2</v>
      </c>
      <c r="BH53" s="67">
        <f>G53*AO53</f>
        <v>0</v>
      </c>
      <c r="BI53" s="67">
        <f>G53*AP53</f>
        <v>0</v>
      </c>
      <c r="BJ53" s="67">
        <f>G53*H53</f>
        <v>0</v>
      </c>
      <c r="BK53" s="67"/>
      <c r="BL53" s="54"/>
      <c r="BW53" s="54">
        <v>21</v>
      </c>
      <c r="BX53" s="66" t="s">
        <v>1587</v>
      </c>
    </row>
    <row r="54" spans="1:76" ht="14.5" x14ac:dyDescent="0.35">
      <c r="A54" s="57"/>
      <c r="C54" s="62" t="s">
        <v>156</v>
      </c>
      <c r="D54" s="211" t="s">
        <v>1588</v>
      </c>
      <c r="E54" s="212"/>
      <c r="F54" s="212"/>
      <c r="G54" s="212"/>
      <c r="H54" s="212"/>
      <c r="I54" s="212"/>
      <c r="J54" s="212"/>
      <c r="K54" s="212"/>
      <c r="L54" s="212"/>
      <c r="M54" s="213"/>
      <c r="BX54" s="70" t="s">
        <v>1588</v>
      </c>
    </row>
    <row r="55" spans="1:76" ht="14.5" x14ac:dyDescent="0.35">
      <c r="A55" s="1" t="s">
        <v>312</v>
      </c>
      <c r="B55" s="2" t="s">
        <v>1512</v>
      </c>
      <c r="C55" s="2" t="s">
        <v>1589</v>
      </c>
      <c r="D55" s="155" t="s">
        <v>1590</v>
      </c>
      <c r="E55" s="153"/>
      <c r="F55" s="2" t="s">
        <v>196</v>
      </c>
      <c r="G55" s="54">
        <f>'Stavební rozpočet'!G727</f>
        <v>144</v>
      </c>
      <c r="H55" s="94">
        <f>'Stavební rozpočet'!H727</f>
        <v>0</v>
      </c>
      <c r="I55" s="54">
        <f>G55*H55</f>
        <v>0</v>
      </c>
      <c r="J55" s="54">
        <f>'Stavební rozpočet'!J727</f>
        <v>0</v>
      </c>
      <c r="K55" s="54">
        <f>'Stavební rozpočet'!K727</f>
        <v>0</v>
      </c>
      <c r="L55" s="54">
        <f>G55*J55</f>
        <v>0</v>
      </c>
      <c r="M55" s="55" t="s">
        <v>111</v>
      </c>
      <c r="Z55" s="54">
        <f>IF(AQ55="5",BJ55,0)</f>
        <v>0</v>
      </c>
      <c r="AB55" s="54">
        <f>IF(AQ55="1",BH55,0)</f>
        <v>0</v>
      </c>
      <c r="AC55" s="54">
        <f>IF(AQ55="1",BI55,0)</f>
        <v>0</v>
      </c>
      <c r="AD55" s="54">
        <f>IF(AQ55="7",BH55,0)</f>
        <v>0</v>
      </c>
      <c r="AE55" s="54">
        <f>IF(AQ55="7",BI55,0)</f>
        <v>0</v>
      </c>
      <c r="AF55" s="54">
        <f>IF(AQ55="2",BH55,0)</f>
        <v>0</v>
      </c>
      <c r="AG55" s="54">
        <f>IF(AQ55="2",BI55,0)</f>
        <v>0</v>
      </c>
      <c r="AH55" s="54">
        <f>IF(AQ55="0",BJ55,0)</f>
        <v>0</v>
      </c>
      <c r="AI55" s="34" t="s">
        <v>1512</v>
      </c>
      <c r="AJ55" s="54">
        <f>IF(AN55=0,I55,0)</f>
        <v>0</v>
      </c>
      <c r="AK55" s="54">
        <f>IF(AN55=12,I55,0)</f>
        <v>0</v>
      </c>
      <c r="AL55" s="54">
        <f>IF(AN55=21,I55,0)</f>
        <v>0</v>
      </c>
      <c r="AN55" s="54">
        <v>21</v>
      </c>
      <c r="AO55" s="54">
        <f>H55*0</f>
        <v>0</v>
      </c>
      <c r="AP55" s="54">
        <f>H55*(1-0)</f>
        <v>0</v>
      </c>
      <c r="AQ55" s="56" t="s">
        <v>119</v>
      </c>
      <c r="AV55" s="54">
        <f>AW55+AX55</f>
        <v>0</v>
      </c>
      <c r="AW55" s="54">
        <f>G55*AO55</f>
        <v>0</v>
      </c>
      <c r="AX55" s="54">
        <f>G55*AP55</f>
        <v>0</v>
      </c>
      <c r="AY55" s="56" t="s">
        <v>1558</v>
      </c>
      <c r="AZ55" s="56" t="s">
        <v>1529</v>
      </c>
      <c r="BA55" s="34" t="s">
        <v>1520</v>
      </c>
      <c r="BC55" s="54">
        <f>AW55+AX55</f>
        <v>0</v>
      </c>
      <c r="BD55" s="54">
        <f>H55/(100-BE55)*100</f>
        <v>0</v>
      </c>
      <c r="BE55" s="54">
        <v>0</v>
      </c>
      <c r="BF55" s="54">
        <f>L55</f>
        <v>0</v>
      </c>
      <c r="BH55" s="54">
        <f>G55*AO55</f>
        <v>0</v>
      </c>
      <c r="BI55" s="54">
        <f>G55*AP55</f>
        <v>0</v>
      </c>
      <c r="BJ55" s="54">
        <f>G55*H55</f>
        <v>0</v>
      </c>
      <c r="BK55" s="54"/>
      <c r="BL55" s="54"/>
      <c r="BW55" s="54">
        <v>21</v>
      </c>
      <c r="BX55" s="3" t="s">
        <v>1590</v>
      </c>
    </row>
    <row r="56" spans="1:76" ht="13.5" customHeight="1" x14ac:dyDescent="0.35">
      <c r="A56" s="57"/>
      <c r="C56" s="62" t="s">
        <v>122</v>
      </c>
      <c r="D56" s="214" t="s">
        <v>1585</v>
      </c>
      <c r="E56" s="215"/>
      <c r="F56" s="215"/>
      <c r="G56" s="215"/>
      <c r="H56" s="215"/>
      <c r="I56" s="215"/>
      <c r="J56" s="215"/>
      <c r="K56" s="215"/>
      <c r="L56" s="215"/>
      <c r="M56" s="216"/>
    </row>
    <row r="57" spans="1:76" ht="14.5" x14ac:dyDescent="0.35">
      <c r="A57" s="57"/>
      <c r="C57" s="62" t="s">
        <v>156</v>
      </c>
      <c r="D57" s="211" t="s">
        <v>1591</v>
      </c>
      <c r="E57" s="212"/>
      <c r="F57" s="212"/>
      <c r="G57" s="212"/>
      <c r="H57" s="212"/>
      <c r="I57" s="212"/>
      <c r="J57" s="212"/>
      <c r="K57" s="212"/>
      <c r="L57" s="212"/>
      <c r="M57" s="213"/>
      <c r="BX57" s="63" t="s">
        <v>1591</v>
      </c>
    </row>
    <row r="58" spans="1:76" ht="14.5" x14ac:dyDescent="0.35">
      <c r="A58" s="64" t="s">
        <v>198</v>
      </c>
      <c r="B58" s="65" t="s">
        <v>1512</v>
      </c>
      <c r="C58" s="65" t="s">
        <v>1592</v>
      </c>
      <c r="D58" s="217" t="s">
        <v>1593</v>
      </c>
      <c r="E58" s="218"/>
      <c r="F58" s="65" t="s">
        <v>196</v>
      </c>
      <c r="G58" s="67">
        <f>'Stavební rozpočet'!G728</f>
        <v>96</v>
      </c>
      <c r="H58" s="95">
        <f>'Stavební rozpočet'!H728</f>
        <v>0</v>
      </c>
      <c r="I58" s="67">
        <f>G58*H58</f>
        <v>0</v>
      </c>
      <c r="J58" s="67">
        <f>'Stavební rozpočet'!J728</f>
        <v>0</v>
      </c>
      <c r="K58" s="67">
        <f>'Stavební rozpočet'!K728</f>
        <v>0</v>
      </c>
      <c r="L58" s="67">
        <f>G58*J58</f>
        <v>0</v>
      </c>
      <c r="M58" s="68" t="s">
        <v>111</v>
      </c>
      <c r="Z58" s="54">
        <f>IF(AQ58="5",BJ58,0)</f>
        <v>0</v>
      </c>
      <c r="AB58" s="54">
        <f>IF(AQ58="1",BH58,0)</f>
        <v>0</v>
      </c>
      <c r="AC58" s="54">
        <f>IF(AQ58="1",BI58,0)</f>
        <v>0</v>
      </c>
      <c r="AD58" s="54">
        <f>IF(AQ58="7",BH58,0)</f>
        <v>0</v>
      </c>
      <c r="AE58" s="54">
        <f>IF(AQ58="7",BI58,0)</f>
        <v>0</v>
      </c>
      <c r="AF58" s="54">
        <f>IF(AQ58="2",BH58,0)</f>
        <v>0</v>
      </c>
      <c r="AG58" s="54">
        <f>IF(AQ58="2",BI58,0)</f>
        <v>0</v>
      </c>
      <c r="AH58" s="54">
        <f>IF(AQ58="0",BJ58,0)</f>
        <v>0</v>
      </c>
      <c r="AI58" s="34" t="s">
        <v>1512</v>
      </c>
      <c r="AJ58" s="67">
        <f>IF(AN58=0,I58,0)</f>
        <v>0</v>
      </c>
      <c r="AK58" s="67">
        <f>IF(AN58=12,I58,0)</f>
        <v>0</v>
      </c>
      <c r="AL58" s="67">
        <f>IF(AN58=21,I58,0)</f>
        <v>0</v>
      </c>
      <c r="AN58" s="54">
        <v>21</v>
      </c>
      <c r="AO58" s="54">
        <f>H58*1</f>
        <v>0</v>
      </c>
      <c r="AP58" s="54">
        <f>H58*(1-1)</f>
        <v>0</v>
      </c>
      <c r="AQ58" s="69" t="s">
        <v>107</v>
      </c>
      <c r="AV58" s="54">
        <f>AW58+AX58</f>
        <v>0</v>
      </c>
      <c r="AW58" s="54">
        <f>G58*AO58</f>
        <v>0</v>
      </c>
      <c r="AX58" s="54">
        <f>G58*AP58</f>
        <v>0</v>
      </c>
      <c r="AY58" s="56" t="s">
        <v>1558</v>
      </c>
      <c r="AZ58" s="56" t="s">
        <v>1529</v>
      </c>
      <c r="BA58" s="34" t="s">
        <v>1520</v>
      </c>
      <c r="BC58" s="54">
        <f>AW58+AX58</f>
        <v>0</v>
      </c>
      <c r="BD58" s="54">
        <f>H58/(100-BE58)*100</f>
        <v>0</v>
      </c>
      <c r="BE58" s="54">
        <v>0</v>
      </c>
      <c r="BF58" s="54">
        <f>L58</f>
        <v>0</v>
      </c>
      <c r="BH58" s="67">
        <f>G58*AO58</f>
        <v>0</v>
      </c>
      <c r="BI58" s="67">
        <f>G58*AP58</f>
        <v>0</v>
      </c>
      <c r="BJ58" s="67">
        <f>G58*H58</f>
        <v>0</v>
      </c>
      <c r="BK58" s="67"/>
      <c r="BL58" s="54"/>
      <c r="BW58" s="54">
        <v>21</v>
      </c>
      <c r="BX58" s="66" t="s">
        <v>1593</v>
      </c>
    </row>
    <row r="59" spans="1:76" ht="26" x14ac:dyDescent="0.35">
      <c r="A59" s="57"/>
      <c r="C59" s="62" t="s">
        <v>156</v>
      </c>
      <c r="D59" s="211" t="s">
        <v>1594</v>
      </c>
      <c r="E59" s="212"/>
      <c r="F59" s="212"/>
      <c r="G59" s="212"/>
      <c r="H59" s="212"/>
      <c r="I59" s="212"/>
      <c r="J59" s="212"/>
      <c r="K59" s="212"/>
      <c r="L59" s="212"/>
      <c r="M59" s="213"/>
      <c r="BX59" s="70" t="s">
        <v>1594</v>
      </c>
    </row>
    <row r="60" spans="1:76" ht="14.5" x14ac:dyDescent="0.35">
      <c r="A60" s="64" t="s">
        <v>331</v>
      </c>
      <c r="B60" s="65" t="s">
        <v>1512</v>
      </c>
      <c r="C60" s="65" t="s">
        <v>1595</v>
      </c>
      <c r="D60" s="217" t="s">
        <v>1596</v>
      </c>
      <c r="E60" s="218"/>
      <c r="F60" s="65" t="s">
        <v>196</v>
      </c>
      <c r="G60" s="67">
        <f>'Stavební rozpočet'!G729</f>
        <v>48</v>
      </c>
      <c r="H60" s="95">
        <f>'Stavební rozpočet'!H729</f>
        <v>0</v>
      </c>
      <c r="I60" s="67">
        <f>G60*H60</f>
        <v>0</v>
      </c>
      <c r="J60" s="67">
        <f>'Stavební rozpočet'!J729</f>
        <v>3.0000000000000001E-5</v>
      </c>
      <c r="K60" s="67">
        <f>'Stavební rozpočet'!K729</f>
        <v>0</v>
      </c>
      <c r="L60" s="67">
        <f>G60*J60</f>
        <v>1.4400000000000001E-3</v>
      </c>
      <c r="M60" s="68" t="s">
        <v>111</v>
      </c>
      <c r="Z60" s="54">
        <f>IF(AQ60="5",BJ60,0)</f>
        <v>0</v>
      </c>
      <c r="AB60" s="54">
        <f>IF(AQ60="1",BH60,0)</f>
        <v>0</v>
      </c>
      <c r="AC60" s="54">
        <f>IF(AQ60="1",BI60,0)</f>
        <v>0</v>
      </c>
      <c r="AD60" s="54">
        <f>IF(AQ60="7",BH60,0)</f>
        <v>0</v>
      </c>
      <c r="AE60" s="54">
        <f>IF(AQ60="7",BI60,0)</f>
        <v>0</v>
      </c>
      <c r="AF60" s="54">
        <f>IF(AQ60="2",BH60,0)</f>
        <v>0</v>
      </c>
      <c r="AG60" s="54">
        <f>IF(AQ60="2",BI60,0)</f>
        <v>0</v>
      </c>
      <c r="AH60" s="54">
        <f>IF(AQ60="0",BJ60,0)</f>
        <v>0</v>
      </c>
      <c r="AI60" s="34" t="s">
        <v>1512</v>
      </c>
      <c r="AJ60" s="67">
        <f>IF(AN60=0,I60,0)</f>
        <v>0</v>
      </c>
      <c r="AK60" s="67">
        <f>IF(AN60=12,I60,0)</f>
        <v>0</v>
      </c>
      <c r="AL60" s="67">
        <f>IF(AN60=21,I60,0)</f>
        <v>0</v>
      </c>
      <c r="AN60" s="54">
        <v>21</v>
      </c>
      <c r="AO60" s="54">
        <f>H60*1</f>
        <v>0</v>
      </c>
      <c r="AP60" s="54">
        <f>H60*(1-1)</f>
        <v>0</v>
      </c>
      <c r="AQ60" s="69" t="s">
        <v>107</v>
      </c>
      <c r="AV60" s="54">
        <f>AW60+AX60</f>
        <v>0</v>
      </c>
      <c r="AW60" s="54">
        <f>G60*AO60</f>
        <v>0</v>
      </c>
      <c r="AX60" s="54">
        <f>G60*AP60</f>
        <v>0</v>
      </c>
      <c r="AY60" s="56" t="s">
        <v>1558</v>
      </c>
      <c r="AZ60" s="56" t="s">
        <v>1529</v>
      </c>
      <c r="BA60" s="34" t="s">
        <v>1520</v>
      </c>
      <c r="BC60" s="54">
        <f>AW60+AX60</f>
        <v>0</v>
      </c>
      <c r="BD60" s="54">
        <f>H60/(100-BE60)*100</f>
        <v>0</v>
      </c>
      <c r="BE60" s="54">
        <v>0</v>
      </c>
      <c r="BF60" s="54">
        <f>L60</f>
        <v>1.4400000000000001E-3</v>
      </c>
      <c r="BH60" s="67">
        <f>G60*AO60</f>
        <v>0</v>
      </c>
      <c r="BI60" s="67">
        <f>G60*AP60</f>
        <v>0</v>
      </c>
      <c r="BJ60" s="67">
        <f>G60*H60</f>
        <v>0</v>
      </c>
      <c r="BK60" s="67"/>
      <c r="BL60" s="54"/>
      <c r="BW60" s="54">
        <v>21</v>
      </c>
      <c r="BX60" s="66" t="s">
        <v>1596</v>
      </c>
    </row>
    <row r="61" spans="1:76" ht="39" x14ac:dyDescent="0.35">
      <c r="A61" s="57"/>
      <c r="C61" s="62" t="s">
        <v>156</v>
      </c>
      <c r="D61" s="211" t="s">
        <v>1597</v>
      </c>
      <c r="E61" s="212"/>
      <c r="F61" s="212"/>
      <c r="G61" s="212"/>
      <c r="H61" s="212"/>
      <c r="I61" s="212"/>
      <c r="J61" s="212"/>
      <c r="K61" s="212"/>
      <c r="L61" s="212"/>
      <c r="M61" s="213"/>
      <c r="BX61" s="70" t="s">
        <v>1597</v>
      </c>
    </row>
    <row r="62" spans="1:76" ht="14.5" x14ac:dyDescent="0.35">
      <c r="A62" s="1" t="s">
        <v>345</v>
      </c>
      <c r="B62" s="2" t="s">
        <v>1512</v>
      </c>
      <c r="C62" s="2" t="s">
        <v>1598</v>
      </c>
      <c r="D62" s="155" t="s">
        <v>1599</v>
      </c>
      <c r="E62" s="153"/>
      <c r="F62" s="2" t="s">
        <v>196</v>
      </c>
      <c r="G62" s="54">
        <f>'Stavební rozpočet'!G730</f>
        <v>28</v>
      </c>
      <c r="H62" s="94">
        <f>'Stavební rozpočet'!H730</f>
        <v>0</v>
      </c>
      <c r="I62" s="54">
        <f>G62*H62</f>
        <v>0</v>
      </c>
      <c r="J62" s="54">
        <f>'Stavební rozpočet'!J730</f>
        <v>0</v>
      </c>
      <c r="K62" s="54">
        <f>'Stavební rozpočet'!K730</f>
        <v>0</v>
      </c>
      <c r="L62" s="54">
        <f>G62*J62</f>
        <v>0</v>
      </c>
      <c r="M62" s="55" t="s">
        <v>111</v>
      </c>
      <c r="Z62" s="54">
        <f>IF(AQ62="5",BJ62,0)</f>
        <v>0</v>
      </c>
      <c r="AB62" s="54">
        <f>IF(AQ62="1",BH62,0)</f>
        <v>0</v>
      </c>
      <c r="AC62" s="54">
        <f>IF(AQ62="1",BI62,0)</f>
        <v>0</v>
      </c>
      <c r="AD62" s="54">
        <f>IF(AQ62="7",BH62,0)</f>
        <v>0</v>
      </c>
      <c r="AE62" s="54">
        <f>IF(AQ62="7",BI62,0)</f>
        <v>0</v>
      </c>
      <c r="AF62" s="54">
        <f>IF(AQ62="2",BH62,0)</f>
        <v>0</v>
      </c>
      <c r="AG62" s="54">
        <f>IF(AQ62="2",BI62,0)</f>
        <v>0</v>
      </c>
      <c r="AH62" s="54">
        <f>IF(AQ62="0",BJ62,0)</f>
        <v>0</v>
      </c>
      <c r="AI62" s="34" t="s">
        <v>1512</v>
      </c>
      <c r="AJ62" s="54">
        <f>IF(AN62=0,I62,0)</f>
        <v>0</v>
      </c>
      <c r="AK62" s="54">
        <f>IF(AN62=12,I62,0)</f>
        <v>0</v>
      </c>
      <c r="AL62" s="54">
        <f>IF(AN62=21,I62,0)</f>
        <v>0</v>
      </c>
      <c r="AN62" s="54">
        <v>21</v>
      </c>
      <c r="AO62" s="54">
        <f>H62*0</f>
        <v>0</v>
      </c>
      <c r="AP62" s="54">
        <f>H62*(1-0)</f>
        <v>0</v>
      </c>
      <c r="AQ62" s="56" t="s">
        <v>119</v>
      </c>
      <c r="AV62" s="54">
        <f>AW62+AX62</f>
        <v>0</v>
      </c>
      <c r="AW62" s="54">
        <f>G62*AO62</f>
        <v>0</v>
      </c>
      <c r="AX62" s="54">
        <f>G62*AP62</f>
        <v>0</v>
      </c>
      <c r="AY62" s="56" t="s">
        <v>1558</v>
      </c>
      <c r="AZ62" s="56" t="s">
        <v>1529</v>
      </c>
      <c r="BA62" s="34" t="s">
        <v>1520</v>
      </c>
      <c r="BC62" s="54">
        <f>AW62+AX62</f>
        <v>0</v>
      </c>
      <c r="BD62" s="54">
        <f>H62/(100-BE62)*100</f>
        <v>0</v>
      </c>
      <c r="BE62" s="54">
        <v>0</v>
      </c>
      <c r="BF62" s="54">
        <f>L62</f>
        <v>0</v>
      </c>
      <c r="BH62" s="54">
        <f>G62*AO62</f>
        <v>0</v>
      </c>
      <c r="BI62" s="54">
        <f>G62*AP62</f>
        <v>0</v>
      </c>
      <c r="BJ62" s="54">
        <f>G62*H62</f>
        <v>0</v>
      </c>
      <c r="BK62" s="54"/>
      <c r="BL62" s="54"/>
      <c r="BW62" s="54">
        <v>21</v>
      </c>
      <c r="BX62" s="3" t="s">
        <v>1599</v>
      </c>
    </row>
    <row r="63" spans="1:76" ht="13.5" customHeight="1" x14ac:dyDescent="0.35">
      <c r="A63" s="57"/>
      <c r="C63" s="62" t="s">
        <v>122</v>
      </c>
      <c r="D63" s="214" t="s">
        <v>1585</v>
      </c>
      <c r="E63" s="215"/>
      <c r="F63" s="215"/>
      <c r="G63" s="215"/>
      <c r="H63" s="215"/>
      <c r="I63" s="215"/>
      <c r="J63" s="215"/>
      <c r="K63" s="215"/>
      <c r="L63" s="215"/>
      <c r="M63" s="216"/>
    </row>
    <row r="64" spans="1:76" ht="14.5" x14ac:dyDescent="0.35">
      <c r="A64" s="64" t="s">
        <v>356</v>
      </c>
      <c r="B64" s="65" t="s">
        <v>1512</v>
      </c>
      <c r="C64" s="65" t="s">
        <v>1600</v>
      </c>
      <c r="D64" s="217" t="s">
        <v>1601</v>
      </c>
      <c r="E64" s="218"/>
      <c r="F64" s="65" t="s">
        <v>196</v>
      </c>
      <c r="G64" s="67">
        <f>'Stavební rozpočet'!G731</f>
        <v>28</v>
      </c>
      <c r="H64" s="95">
        <f>'Stavební rozpočet'!H731</f>
        <v>0</v>
      </c>
      <c r="I64" s="67">
        <f>G64*H64</f>
        <v>0</v>
      </c>
      <c r="J64" s="67">
        <f>'Stavební rozpočet'!J731</f>
        <v>2.0000000000000002E-5</v>
      </c>
      <c r="K64" s="67">
        <f>'Stavební rozpočet'!K731</f>
        <v>0</v>
      </c>
      <c r="L64" s="67">
        <f>G64*J64</f>
        <v>5.6000000000000006E-4</v>
      </c>
      <c r="M64" s="68" t="s">
        <v>111</v>
      </c>
      <c r="Z64" s="54">
        <f>IF(AQ64="5",BJ64,0)</f>
        <v>0</v>
      </c>
      <c r="AB64" s="54">
        <f>IF(AQ64="1",BH64,0)</f>
        <v>0</v>
      </c>
      <c r="AC64" s="54">
        <f>IF(AQ64="1",BI64,0)</f>
        <v>0</v>
      </c>
      <c r="AD64" s="54">
        <f>IF(AQ64="7",BH64,0)</f>
        <v>0</v>
      </c>
      <c r="AE64" s="54">
        <f>IF(AQ64="7",BI64,0)</f>
        <v>0</v>
      </c>
      <c r="AF64" s="54">
        <f>IF(AQ64="2",BH64,0)</f>
        <v>0</v>
      </c>
      <c r="AG64" s="54">
        <f>IF(AQ64="2",BI64,0)</f>
        <v>0</v>
      </c>
      <c r="AH64" s="54">
        <f>IF(AQ64="0",BJ64,0)</f>
        <v>0</v>
      </c>
      <c r="AI64" s="34" t="s">
        <v>1512</v>
      </c>
      <c r="AJ64" s="67">
        <f>IF(AN64=0,I64,0)</f>
        <v>0</v>
      </c>
      <c r="AK64" s="67">
        <f>IF(AN64=12,I64,0)</f>
        <v>0</v>
      </c>
      <c r="AL64" s="67">
        <f>IF(AN64=21,I64,0)</f>
        <v>0</v>
      </c>
      <c r="AN64" s="54">
        <v>21</v>
      </c>
      <c r="AO64" s="54">
        <f>H64*1</f>
        <v>0</v>
      </c>
      <c r="AP64" s="54">
        <f>H64*(1-1)</f>
        <v>0</v>
      </c>
      <c r="AQ64" s="69" t="s">
        <v>107</v>
      </c>
      <c r="AV64" s="54">
        <f>AW64+AX64</f>
        <v>0</v>
      </c>
      <c r="AW64" s="54">
        <f>G64*AO64</f>
        <v>0</v>
      </c>
      <c r="AX64" s="54">
        <f>G64*AP64</f>
        <v>0</v>
      </c>
      <c r="AY64" s="56" t="s">
        <v>1558</v>
      </c>
      <c r="AZ64" s="56" t="s">
        <v>1529</v>
      </c>
      <c r="BA64" s="34" t="s">
        <v>1520</v>
      </c>
      <c r="BC64" s="54">
        <f>AW64+AX64</f>
        <v>0</v>
      </c>
      <c r="BD64" s="54">
        <f>H64/(100-BE64)*100</f>
        <v>0</v>
      </c>
      <c r="BE64" s="54">
        <v>0</v>
      </c>
      <c r="BF64" s="54">
        <f>L64</f>
        <v>5.6000000000000006E-4</v>
      </c>
      <c r="BH64" s="67">
        <f>G64*AO64</f>
        <v>0</v>
      </c>
      <c r="BI64" s="67">
        <f>G64*AP64</f>
        <v>0</v>
      </c>
      <c r="BJ64" s="67">
        <f>G64*H64</f>
        <v>0</v>
      </c>
      <c r="BK64" s="67"/>
      <c r="BL64" s="54"/>
      <c r="BW64" s="54">
        <v>21</v>
      </c>
      <c r="BX64" s="66" t="s">
        <v>1601</v>
      </c>
    </row>
    <row r="65" spans="1:76" ht="52" x14ac:dyDescent="0.35">
      <c r="A65" s="57"/>
      <c r="C65" s="62" t="s">
        <v>156</v>
      </c>
      <c r="D65" s="211" t="s">
        <v>1602</v>
      </c>
      <c r="E65" s="212"/>
      <c r="F65" s="212"/>
      <c r="G65" s="212"/>
      <c r="H65" s="212"/>
      <c r="I65" s="212"/>
      <c r="J65" s="212"/>
      <c r="K65" s="212"/>
      <c r="L65" s="212"/>
      <c r="M65" s="213"/>
      <c r="BX65" s="70" t="s">
        <v>1602</v>
      </c>
    </row>
    <row r="66" spans="1:76" ht="14.5" x14ac:dyDescent="0.35">
      <c r="A66" s="1" t="s">
        <v>363</v>
      </c>
      <c r="B66" s="2" t="s">
        <v>1512</v>
      </c>
      <c r="C66" s="2" t="s">
        <v>1603</v>
      </c>
      <c r="D66" s="155" t="s">
        <v>1604</v>
      </c>
      <c r="E66" s="153"/>
      <c r="F66" s="2" t="s">
        <v>196</v>
      </c>
      <c r="G66" s="54">
        <f>'Stavební rozpočet'!G732</f>
        <v>24</v>
      </c>
      <c r="H66" s="94">
        <f>'Stavební rozpočet'!H732</f>
        <v>0</v>
      </c>
      <c r="I66" s="54">
        <f>G66*H66</f>
        <v>0</v>
      </c>
      <c r="J66" s="54">
        <f>'Stavební rozpočet'!J732</f>
        <v>0</v>
      </c>
      <c r="K66" s="54">
        <f>'Stavební rozpočet'!K732</f>
        <v>0</v>
      </c>
      <c r="L66" s="54">
        <f>G66*J66</f>
        <v>0</v>
      </c>
      <c r="M66" s="55" t="s">
        <v>111</v>
      </c>
      <c r="Z66" s="54">
        <f>IF(AQ66="5",BJ66,0)</f>
        <v>0</v>
      </c>
      <c r="AB66" s="54">
        <f>IF(AQ66="1",BH66,0)</f>
        <v>0</v>
      </c>
      <c r="AC66" s="54">
        <f>IF(AQ66="1",BI66,0)</f>
        <v>0</v>
      </c>
      <c r="AD66" s="54">
        <f>IF(AQ66="7",BH66,0)</f>
        <v>0</v>
      </c>
      <c r="AE66" s="54">
        <f>IF(AQ66="7",BI66,0)</f>
        <v>0</v>
      </c>
      <c r="AF66" s="54">
        <f>IF(AQ66="2",BH66,0)</f>
        <v>0</v>
      </c>
      <c r="AG66" s="54">
        <f>IF(AQ66="2",BI66,0)</f>
        <v>0</v>
      </c>
      <c r="AH66" s="54">
        <f>IF(AQ66="0",BJ66,0)</f>
        <v>0</v>
      </c>
      <c r="AI66" s="34" t="s">
        <v>1512</v>
      </c>
      <c r="AJ66" s="54">
        <f>IF(AN66=0,I66,0)</f>
        <v>0</v>
      </c>
      <c r="AK66" s="54">
        <f>IF(AN66=12,I66,0)</f>
        <v>0</v>
      </c>
      <c r="AL66" s="54">
        <f>IF(AN66=21,I66,0)</f>
        <v>0</v>
      </c>
      <c r="AN66" s="54">
        <v>21</v>
      </c>
      <c r="AO66" s="54">
        <f>H66*0</f>
        <v>0</v>
      </c>
      <c r="AP66" s="54">
        <f>H66*(1-0)</f>
        <v>0</v>
      </c>
      <c r="AQ66" s="56" t="s">
        <v>119</v>
      </c>
      <c r="AV66" s="54">
        <f>AW66+AX66</f>
        <v>0</v>
      </c>
      <c r="AW66" s="54">
        <f>G66*AO66</f>
        <v>0</v>
      </c>
      <c r="AX66" s="54">
        <f>G66*AP66</f>
        <v>0</v>
      </c>
      <c r="AY66" s="56" t="s">
        <v>1558</v>
      </c>
      <c r="AZ66" s="56" t="s">
        <v>1529</v>
      </c>
      <c r="BA66" s="34" t="s">
        <v>1520</v>
      </c>
      <c r="BC66" s="54">
        <f>AW66+AX66</f>
        <v>0</v>
      </c>
      <c r="BD66" s="54">
        <f>H66/(100-BE66)*100</f>
        <v>0</v>
      </c>
      <c r="BE66" s="54">
        <v>0</v>
      </c>
      <c r="BF66" s="54">
        <f>L66</f>
        <v>0</v>
      </c>
      <c r="BH66" s="54">
        <f>G66*AO66</f>
        <v>0</v>
      </c>
      <c r="BI66" s="54">
        <f>G66*AP66</f>
        <v>0</v>
      </c>
      <c r="BJ66" s="54">
        <f>G66*H66</f>
        <v>0</v>
      </c>
      <c r="BK66" s="54"/>
      <c r="BL66" s="54"/>
      <c r="BW66" s="54">
        <v>21</v>
      </c>
      <c r="BX66" s="3" t="s">
        <v>1604</v>
      </c>
    </row>
    <row r="67" spans="1:76" ht="14.5" x14ac:dyDescent="0.35">
      <c r="A67" s="64" t="s">
        <v>374</v>
      </c>
      <c r="B67" s="65" t="s">
        <v>1512</v>
      </c>
      <c r="C67" s="65" t="s">
        <v>1605</v>
      </c>
      <c r="D67" s="217" t="s">
        <v>1606</v>
      </c>
      <c r="E67" s="218"/>
      <c r="F67" s="65" t="s">
        <v>196</v>
      </c>
      <c r="G67" s="67">
        <f>'Stavební rozpočet'!G733</f>
        <v>24</v>
      </c>
      <c r="H67" s="95">
        <f>'Stavební rozpočet'!H733</f>
        <v>0</v>
      </c>
      <c r="I67" s="67">
        <f>G67*H67</f>
        <v>0</v>
      </c>
      <c r="J67" s="67">
        <f>'Stavební rozpočet'!J733</f>
        <v>5.0000000000000002E-5</v>
      </c>
      <c r="K67" s="67">
        <f>'Stavební rozpočet'!K733</f>
        <v>0</v>
      </c>
      <c r="L67" s="67">
        <f>G67*J67</f>
        <v>1.2000000000000001E-3</v>
      </c>
      <c r="M67" s="68" t="s">
        <v>111</v>
      </c>
      <c r="Z67" s="54">
        <f>IF(AQ67="5",BJ67,0)</f>
        <v>0</v>
      </c>
      <c r="AB67" s="54">
        <f>IF(AQ67="1",BH67,0)</f>
        <v>0</v>
      </c>
      <c r="AC67" s="54">
        <f>IF(AQ67="1",BI67,0)</f>
        <v>0</v>
      </c>
      <c r="AD67" s="54">
        <f>IF(AQ67="7",BH67,0)</f>
        <v>0</v>
      </c>
      <c r="AE67" s="54">
        <f>IF(AQ67="7",BI67,0)</f>
        <v>0</v>
      </c>
      <c r="AF67" s="54">
        <f>IF(AQ67="2",BH67,0)</f>
        <v>0</v>
      </c>
      <c r="AG67" s="54">
        <f>IF(AQ67="2",BI67,0)</f>
        <v>0</v>
      </c>
      <c r="AH67" s="54">
        <f>IF(AQ67="0",BJ67,0)</f>
        <v>0</v>
      </c>
      <c r="AI67" s="34" t="s">
        <v>1512</v>
      </c>
      <c r="AJ67" s="67">
        <f>IF(AN67=0,I67,0)</f>
        <v>0</v>
      </c>
      <c r="AK67" s="67">
        <f>IF(AN67=12,I67,0)</f>
        <v>0</v>
      </c>
      <c r="AL67" s="67">
        <f>IF(AN67=21,I67,0)</f>
        <v>0</v>
      </c>
      <c r="AN67" s="54">
        <v>21</v>
      </c>
      <c r="AO67" s="54">
        <f>H67*1</f>
        <v>0</v>
      </c>
      <c r="AP67" s="54">
        <f>H67*(1-1)</f>
        <v>0</v>
      </c>
      <c r="AQ67" s="69" t="s">
        <v>107</v>
      </c>
      <c r="AV67" s="54">
        <f>AW67+AX67</f>
        <v>0</v>
      </c>
      <c r="AW67" s="54">
        <f>G67*AO67</f>
        <v>0</v>
      </c>
      <c r="AX67" s="54">
        <f>G67*AP67</f>
        <v>0</v>
      </c>
      <c r="AY67" s="56" t="s">
        <v>1558</v>
      </c>
      <c r="AZ67" s="56" t="s">
        <v>1529</v>
      </c>
      <c r="BA67" s="34" t="s">
        <v>1520</v>
      </c>
      <c r="BC67" s="54">
        <f>AW67+AX67</f>
        <v>0</v>
      </c>
      <c r="BD67" s="54">
        <f>H67/(100-BE67)*100</f>
        <v>0</v>
      </c>
      <c r="BE67" s="54">
        <v>0</v>
      </c>
      <c r="BF67" s="54">
        <f>L67</f>
        <v>1.2000000000000001E-3</v>
      </c>
      <c r="BH67" s="67">
        <f>G67*AO67</f>
        <v>0</v>
      </c>
      <c r="BI67" s="67">
        <f>G67*AP67</f>
        <v>0</v>
      </c>
      <c r="BJ67" s="67">
        <f>G67*H67</f>
        <v>0</v>
      </c>
      <c r="BK67" s="67"/>
      <c r="BL67" s="54"/>
      <c r="BW67" s="54">
        <v>21</v>
      </c>
      <c r="BX67" s="66" t="s">
        <v>1606</v>
      </c>
    </row>
    <row r="68" spans="1:76" ht="104" x14ac:dyDescent="0.35">
      <c r="A68" s="57"/>
      <c r="C68" s="62" t="s">
        <v>156</v>
      </c>
      <c r="D68" s="211" t="s">
        <v>1607</v>
      </c>
      <c r="E68" s="212"/>
      <c r="F68" s="212"/>
      <c r="G68" s="212"/>
      <c r="H68" s="212"/>
      <c r="I68" s="212"/>
      <c r="J68" s="212"/>
      <c r="K68" s="212"/>
      <c r="L68" s="212"/>
      <c r="M68" s="213"/>
      <c r="BX68" s="70" t="s">
        <v>1607</v>
      </c>
    </row>
    <row r="69" spans="1:76" ht="14.5" x14ac:dyDescent="0.35">
      <c r="A69" s="1" t="s">
        <v>388</v>
      </c>
      <c r="B69" s="2" t="s">
        <v>1512</v>
      </c>
      <c r="C69" s="2" t="s">
        <v>1608</v>
      </c>
      <c r="D69" s="155" t="s">
        <v>1609</v>
      </c>
      <c r="E69" s="153"/>
      <c r="F69" s="2" t="s">
        <v>196</v>
      </c>
      <c r="G69" s="54">
        <f>'Stavební rozpočet'!G734</f>
        <v>150</v>
      </c>
      <c r="H69" s="94">
        <f>'Stavební rozpočet'!H734</f>
        <v>0</v>
      </c>
      <c r="I69" s="54">
        <f>G69*H69</f>
        <v>0</v>
      </c>
      <c r="J69" s="54">
        <f>'Stavební rozpočet'!J734</f>
        <v>0</v>
      </c>
      <c r="K69" s="54">
        <f>'Stavební rozpočet'!K734</f>
        <v>0</v>
      </c>
      <c r="L69" s="54">
        <f>G69*J69</f>
        <v>0</v>
      </c>
      <c r="M69" s="55" t="s">
        <v>111</v>
      </c>
      <c r="Z69" s="54">
        <f>IF(AQ69="5",BJ69,0)</f>
        <v>0</v>
      </c>
      <c r="AB69" s="54">
        <f>IF(AQ69="1",BH69,0)</f>
        <v>0</v>
      </c>
      <c r="AC69" s="54">
        <f>IF(AQ69="1",BI69,0)</f>
        <v>0</v>
      </c>
      <c r="AD69" s="54">
        <f>IF(AQ69="7",BH69,0)</f>
        <v>0</v>
      </c>
      <c r="AE69" s="54">
        <f>IF(AQ69="7",BI69,0)</f>
        <v>0</v>
      </c>
      <c r="AF69" s="54">
        <f>IF(AQ69="2",BH69,0)</f>
        <v>0</v>
      </c>
      <c r="AG69" s="54">
        <f>IF(AQ69="2",BI69,0)</f>
        <v>0</v>
      </c>
      <c r="AH69" s="54">
        <f>IF(AQ69="0",BJ69,0)</f>
        <v>0</v>
      </c>
      <c r="AI69" s="34" t="s">
        <v>1512</v>
      </c>
      <c r="AJ69" s="54">
        <f>IF(AN69=0,I69,0)</f>
        <v>0</v>
      </c>
      <c r="AK69" s="54">
        <f>IF(AN69=12,I69,0)</f>
        <v>0</v>
      </c>
      <c r="AL69" s="54">
        <f>IF(AN69=21,I69,0)</f>
        <v>0</v>
      </c>
      <c r="AN69" s="54">
        <v>21</v>
      </c>
      <c r="AO69" s="54">
        <f>H69*0</f>
        <v>0</v>
      </c>
      <c r="AP69" s="54">
        <f>H69*(1-0)</f>
        <v>0</v>
      </c>
      <c r="AQ69" s="56" t="s">
        <v>119</v>
      </c>
      <c r="AV69" s="54">
        <f>AW69+AX69</f>
        <v>0</v>
      </c>
      <c r="AW69" s="54">
        <f>G69*AO69</f>
        <v>0</v>
      </c>
      <c r="AX69" s="54">
        <f>G69*AP69</f>
        <v>0</v>
      </c>
      <c r="AY69" s="56" t="s">
        <v>1558</v>
      </c>
      <c r="AZ69" s="56" t="s">
        <v>1529</v>
      </c>
      <c r="BA69" s="34" t="s">
        <v>1520</v>
      </c>
      <c r="BC69" s="54">
        <f>AW69+AX69</f>
        <v>0</v>
      </c>
      <c r="BD69" s="54">
        <f>H69/(100-BE69)*100</f>
        <v>0</v>
      </c>
      <c r="BE69" s="54">
        <v>0</v>
      </c>
      <c r="BF69" s="54">
        <f>L69</f>
        <v>0</v>
      </c>
      <c r="BH69" s="54">
        <f>G69*AO69</f>
        <v>0</v>
      </c>
      <c r="BI69" s="54">
        <f>G69*AP69</f>
        <v>0</v>
      </c>
      <c r="BJ69" s="54">
        <f>G69*H69</f>
        <v>0</v>
      </c>
      <c r="BK69" s="54"/>
      <c r="BL69" s="54"/>
      <c r="BW69" s="54">
        <v>21</v>
      </c>
      <c r="BX69" s="3" t="s">
        <v>1609</v>
      </c>
    </row>
    <row r="70" spans="1:76" ht="14.5" x14ac:dyDescent="0.35">
      <c r="A70" s="1" t="s">
        <v>397</v>
      </c>
      <c r="B70" s="2" t="s">
        <v>1512</v>
      </c>
      <c r="C70" s="2" t="s">
        <v>1610</v>
      </c>
      <c r="D70" s="155" t="s">
        <v>1611</v>
      </c>
      <c r="E70" s="153"/>
      <c r="F70" s="2" t="s">
        <v>196</v>
      </c>
      <c r="G70" s="54">
        <f>'Stavební rozpočet'!G735</f>
        <v>50</v>
      </c>
      <c r="H70" s="94">
        <f>'Stavební rozpočet'!H735</f>
        <v>0</v>
      </c>
      <c r="I70" s="54">
        <f>G70*H70</f>
        <v>0</v>
      </c>
      <c r="J70" s="54">
        <f>'Stavební rozpočet'!J735</f>
        <v>0</v>
      </c>
      <c r="K70" s="54">
        <f>'Stavební rozpočet'!K735</f>
        <v>0</v>
      </c>
      <c r="L70" s="54">
        <f>G70*J70</f>
        <v>0</v>
      </c>
      <c r="M70" s="55" t="s">
        <v>111</v>
      </c>
      <c r="Z70" s="54">
        <f>IF(AQ70="5",BJ70,0)</f>
        <v>0</v>
      </c>
      <c r="AB70" s="54">
        <f>IF(AQ70="1",BH70,0)</f>
        <v>0</v>
      </c>
      <c r="AC70" s="54">
        <f>IF(AQ70="1",BI70,0)</f>
        <v>0</v>
      </c>
      <c r="AD70" s="54">
        <f>IF(AQ70="7",BH70,0)</f>
        <v>0</v>
      </c>
      <c r="AE70" s="54">
        <f>IF(AQ70="7",BI70,0)</f>
        <v>0</v>
      </c>
      <c r="AF70" s="54">
        <f>IF(AQ70="2",BH70,0)</f>
        <v>0</v>
      </c>
      <c r="AG70" s="54">
        <f>IF(AQ70="2",BI70,0)</f>
        <v>0</v>
      </c>
      <c r="AH70" s="54">
        <f>IF(AQ70="0",BJ70,0)</f>
        <v>0</v>
      </c>
      <c r="AI70" s="34" t="s">
        <v>1512</v>
      </c>
      <c r="AJ70" s="54">
        <f>IF(AN70=0,I70,0)</f>
        <v>0</v>
      </c>
      <c r="AK70" s="54">
        <f>IF(AN70=12,I70,0)</f>
        <v>0</v>
      </c>
      <c r="AL70" s="54">
        <f>IF(AN70=21,I70,0)</f>
        <v>0</v>
      </c>
      <c r="AN70" s="54">
        <v>21</v>
      </c>
      <c r="AO70" s="54">
        <f>H70*0</f>
        <v>0</v>
      </c>
      <c r="AP70" s="54">
        <f>H70*(1-0)</f>
        <v>0</v>
      </c>
      <c r="AQ70" s="56" t="s">
        <v>119</v>
      </c>
      <c r="AV70" s="54">
        <f>AW70+AX70</f>
        <v>0</v>
      </c>
      <c r="AW70" s="54">
        <f>G70*AO70</f>
        <v>0</v>
      </c>
      <c r="AX70" s="54">
        <f>G70*AP70</f>
        <v>0</v>
      </c>
      <c r="AY70" s="56" t="s">
        <v>1558</v>
      </c>
      <c r="AZ70" s="56" t="s">
        <v>1529</v>
      </c>
      <c r="BA70" s="34" t="s">
        <v>1520</v>
      </c>
      <c r="BC70" s="54">
        <f>AW70+AX70</f>
        <v>0</v>
      </c>
      <c r="BD70" s="54">
        <f>H70/(100-BE70)*100</f>
        <v>0</v>
      </c>
      <c r="BE70" s="54">
        <v>0</v>
      </c>
      <c r="BF70" s="54">
        <f>L70</f>
        <v>0</v>
      </c>
      <c r="BH70" s="54">
        <f>G70*AO70</f>
        <v>0</v>
      </c>
      <c r="BI70" s="54">
        <f>G70*AP70</f>
        <v>0</v>
      </c>
      <c r="BJ70" s="54">
        <f>G70*H70</f>
        <v>0</v>
      </c>
      <c r="BK70" s="54"/>
      <c r="BL70" s="54"/>
      <c r="BW70" s="54">
        <v>21</v>
      </c>
      <c r="BX70" s="3" t="s">
        <v>1611</v>
      </c>
    </row>
    <row r="71" spans="1:76" ht="14.5" x14ac:dyDescent="0.35">
      <c r="A71" s="1" t="s">
        <v>403</v>
      </c>
      <c r="B71" s="2" t="s">
        <v>1512</v>
      </c>
      <c r="C71" s="2" t="s">
        <v>1612</v>
      </c>
      <c r="D71" s="155" t="s">
        <v>1613</v>
      </c>
      <c r="E71" s="153"/>
      <c r="F71" s="2" t="s">
        <v>196</v>
      </c>
      <c r="G71" s="54">
        <f>'Stavební rozpočet'!G736</f>
        <v>24</v>
      </c>
      <c r="H71" s="94">
        <f>'Stavební rozpočet'!H736</f>
        <v>0</v>
      </c>
      <c r="I71" s="54">
        <f>G71*H71</f>
        <v>0</v>
      </c>
      <c r="J71" s="54">
        <f>'Stavební rozpočet'!J736</f>
        <v>0</v>
      </c>
      <c r="K71" s="54">
        <f>'Stavební rozpočet'!K736</f>
        <v>0</v>
      </c>
      <c r="L71" s="54">
        <f>G71*J71</f>
        <v>0</v>
      </c>
      <c r="M71" s="55" t="s">
        <v>111</v>
      </c>
      <c r="Z71" s="54">
        <f>IF(AQ71="5",BJ71,0)</f>
        <v>0</v>
      </c>
      <c r="AB71" s="54">
        <f>IF(AQ71="1",BH71,0)</f>
        <v>0</v>
      </c>
      <c r="AC71" s="54">
        <f>IF(AQ71="1",BI71,0)</f>
        <v>0</v>
      </c>
      <c r="AD71" s="54">
        <f>IF(AQ71="7",BH71,0)</f>
        <v>0</v>
      </c>
      <c r="AE71" s="54">
        <f>IF(AQ71="7",BI71,0)</f>
        <v>0</v>
      </c>
      <c r="AF71" s="54">
        <f>IF(AQ71="2",BH71,0)</f>
        <v>0</v>
      </c>
      <c r="AG71" s="54">
        <f>IF(AQ71="2",BI71,0)</f>
        <v>0</v>
      </c>
      <c r="AH71" s="54">
        <f>IF(AQ71="0",BJ71,0)</f>
        <v>0</v>
      </c>
      <c r="AI71" s="34" t="s">
        <v>1512</v>
      </c>
      <c r="AJ71" s="54">
        <f>IF(AN71=0,I71,0)</f>
        <v>0</v>
      </c>
      <c r="AK71" s="54">
        <f>IF(AN71=12,I71,0)</f>
        <v>0</v>
      </c>
      <c r="AL71" s="54">
        <f>IF(AN71=21,I71,0)</f>
        <v>0</v>
      </c>
      <c r="AN71" s="54">
        <v>21</v>
      </c>
      <c r="AO71" s="54">
        <f>H71*0</f>
        <v>0</v>
      </c>
      <c r="AP71" s="54">
        <f>H71*(1-0)</f>
        <v>0</v>
      </c>
      <c r="AQ71" s="56" t="s">
        <v>119</v>
      </c>
      <c r="AV71" s="54">
        <f>AW71+AX71</f>
        <v>0</v>
      </c>
      <c r="AW71" s="54">
        <f>G71*AO71</f>
        <v>0</v>
      </c>
      <c r="AX71" s="54">
        <f>G71*AP71</f>
        <v>0</v>
      </c>
      <c r="AY71" s="56" t="s">
        <v>1558</v>
      </c>
      <c r="AZ71" s="56" t="s">
        <v>1529</v>
      </c>
      <c r="BA71" s="34" t="s">
        <v>1520</v>
      </c>
      <c r="BC71" s="54">
        <f>AW71+AX71</f>
        <v>0</v>
      </c>
      <c r="BD71" s="54">
        <f>H71/(100-BE71)*100</f>
        <v>0</v>
      </c>
      <c r="BE71" s="54">
        <v>0</v>
      </c>
      <c r="BF71" s="54">
        <f>L71</f>
        <v>0</v>
      </c>
      <c r="BH71" s="54">
        <f>G71*AO71</f>
        <v>0</v>
      </c>
      <c r="BI71" s="54">
        <f>G71*AP71</f>
        <v>0</v>
      </c>
      <c r="BJ71" s="54">
        <f>G71*H71</f>
        <v>0</v>
      </c>
      <c r="BK71" s="54"/>
      <c r="BL71" s="54"/>
      <c r="BW71" s="54">
        <v>21</v>
      </c>
      <c r="BX71" s="3" t="s">
        <v>1613</v>
      </c>
    </row>
    <row r="72" spans="1:76" ht="14.5" x14ac:dyDescent="0.35">
      <c r="A72" s="64" t="s">
        <v>409</v>
      </c>
      <c r="B72" s="65" t="s">
        <v>1512</v>
      </c>
      <c r="C72" s="65" t="s">
        <v>1614</v>
      </c>
      <c r="D72" s="217" t="s">
        <v>1615</v>
      </c>
      <c r="E72" s="218"/>
      <c r="F72" s="65" t="s">
        <v>196</v>
      </c>
      <c r="G72" s="67">
        <f>'Stavební rozpočet'!G737</f>
        <v>24</v>
      </c>
      <c r="H72" s="95">
        <f>'Stavební rozpočet'!H737</f>
        <v>0</v>
      </c>
      <c r="I72" s="67">
        <f>G72*H72</f>
        <v>0</v>
      </c>
      <c r="J72" s="67">
        <f>'Stavební rozpočet'!J737</f>
        <v>6.0000000000000002E-5</v>
      </c>
      <c r="K72" s="67">
        <f>'Stavební rozpočet'!K737</f>
        <v>0</v>
      </c>
      <c r="L72" s="67">
        <f>G72*J72</f>
        <v>1.4400000000000001E-3</v>
      </c>
      <c r="M72" s="68" t="s">
        <v>111</v>
      </c>
      <c r="Z72" s="54">
        <f>IF(AQ72="5",BJ72,0)</f>
        <v>0</v>
      </c>
      <c r="AB72" s="54">
        <f>IF(AQ72="1",BH72,0)</f>
        <v>0</v>
      </c>
      <c r="AC72" s="54">
        <f>IF(AQ72="1",BI72,0)</f>
        <v>0</v>
      </c>
      <c r="AD72" s="54">
        <f>IF(AQ72="7",BH72,0)</f>
        <v>0</v>
      </c>
      <c r="AE72" s="54">
        <f>IF(AQ72="7",BI72,0)</f>
        <v>0</v>
      </c>
      <c r="AF72" s="54">
        <f>IF(AQ72="2",BH72,0)</f>
        <v>0</v>
      </c>
      <c r="AG72" s="54">
        <f>IF(AQ72="2",BI72,0)</f>
        <v>0</v>
      </c>
      <c r="AH72" s="54">
        <f>IF(AQ72="0",BJ72,0)</f>
        <v>0</v>
      </c>
      <c r="AI72" s="34" t="s">
        <v>1512</v>
      </c>
      <c r="AJ72" s="67">
        <f>IF(AN72=0,I72,0)</f>
        <v>0</v>
      </c>
      <c r="AK72" s="67">
        <f>IF(AN72=12,I72,0)</f>
        <v>0</v>
      </c>
      <c r="AL72" s="67">
        <f>IF(AN72=21,I72,0)</f>
        <v>0</v>
      </c>
      <c r="AN72" s="54">
        <v>21</v>
      </c>
      <c r="AO72" s="54">
        <f>H72*1</f>
        <v>0</v>
      </c>
      <c r="AP72" s="54">
        <f>H72*(1-1)</f>
        <v>0</v>
      </c>
      <c r="AQ72" s="69" t="s">
        <v>107</v>
      </c>
      <c r="AV72" s="54">
        <f>AW72+AX72</f>
        <v>0</v>
      </c>
      <c r="AW72" s="54">
        <f>G72*AO72</f>
        <v>0</v>
      </c>
      <c r="AX72" s="54">
        <f>G72*AP72</f>
        <v>0</v>
      </c>
      <c r="AY72" s="56" t="s">
        <v>1558</v>
      </c>
      <c r="AZ72" s="56" t="s">
        <v>1529</v>
      </c>
      <c r="BA72" s="34" t="s">
        <v>1520</v>
      </c>
      <c r="BC72" s="54">
        <f>AW72+AX72</f>
        <v>0</v>
      </c>
      <c r="BD72" s="54">
        <f>H72/(100-BE72)*100</f>
        <v>0</v>
      </c>
      <c r="BE72" s="54">
        <v>0</v>
      </c>
      <c r="BF72" s="54">
        <f>L72</f>
        <v>1.4400000000000001E-3</v>
      </c>
      <c r="BH72" s="67">
        <f>G72*AO72</f>
        <v>0</v>
      </c>
      <c r="BI72" s="67">
        <f>G72*AP72</f>
        <v>0</v>
      </c>
      <c r="BJ72" s="67">
        <f>G72*H72</f>
        <v>0</v>
      </c>
      <c r="BK72" s="67"/>
      <c r="BL72" s="54"/>
      <c r="BW72" s="54">
        <v>21</v>
      </c>
      <c r="BX72" s="66" t="s">
        <v>1615</v>
      </c>
    </row>
    <row r="73" spans="1:76" ht="39" x14ac:dyDescent="0.35">
      <c r="A73" s="57"/>
      <c r="C73" s="62" t="s">
        <v>156</v>
      </c>
      <c r="D73" s="211" t="s">
        <v>1616</v>
      </c>
      <c r="E73" s="212"/>
      <c r="F73" s="212"/>
      <c r="G73" s="212"/>
      <c r="H73" s="212"/>
      <c r="I73" s="212"/>
      <c r="J73" s="212"/>
      <c r="K73" s="212"/>
      <c r="L73" s="212"/>
      <c r="M73" s="213"/>
      <c r="BX73" s="70" t="s">
        <v>1616</v>
      </c>
    </row>
    <row r="74" spans="1:76" ht="14.5" x14ac:dyDescent="0.35">
      <c r="A74" s="1" t="s">
        <v>105</v>
      </c>
      <c r="B74" s="2" t="s">
        <v>1512</v>
      </c>
      <c r="C74" s="2" t="s">
        <v>1617</v>
      </c>
      <c r="D74" s="155" t="s">
        <v>1618</v>
      </c>
      <c r="E74" s="153"/>
      <c r="F74" s="2" t="s">
        <v>196</v>
      </c>
      <c r="G74" s="54">
        <f>'Stavební rozpočet'!G738</f>
        <v>53</v>
      </c>
      <c r="H74" s="94">
        <f>'Stavební rozpočet'!H738</f>
        <v>0</v>
      </c>
      <c r="I74" s="54">
        <f>G74*H74</f>
        <v>0</v>
      </c>
      <c r="J74" s="54">
        <f>'Stavební rozpočet'!J738</f>
        <v>0</v>
      </c>
      <c r="K74" s="54">
        <f>'Stavební rozpočet'!K738</f>
        <v>0</v>
      </c>
      <c r="L74" s="54">
        <f>G74*J74</f>
        <v>0</v>
      </c>
      <c r="M74" s="55" t="s">
        <v>111</v>
      </c>
      <c r="Z74" s="54">
        <f>IF(AQ74="5",BJ74,0)</f>
        <v>0</v>
      </c>
      <c r="AB74" s="54">
        <f>IF(AQ74="1",BH74,0)</f>
        <v>0</v>
      </c>
      <c r="AC74" s="54">
        <f>IF(AQ74="1",BI74,0)</f>
        <v>0</v>
      </c>
      <c r="AD74" s="54">
        <f>IF(AQ74="7",BH74,0)</f>
        <v>0</v>
      </c>
      <c r="AE74" s="54">
        <f>IF(AQ74="7",BI74,0)</f>
        <v>0</v>
      </c>
      <c r="AF74" s="54">
        <f>IF(AQ74="2",BH74,0)</f>
        <v>0</v>
      </c>
      <c r="AG74" s="54">
        <f>IF(AQ74="2",BI74,0)</f>
        <v>0</v>
      </c>
      <c r="AH74" s="54">
        <f>IF(AQ74="0",BJ74,0)</f>
        <v>0</v>
      </c>
      <c r="AI74" s="34" t="s">
        <v>1512</v>
      </c>
      <c r="AJ74" s="54">
        <f>IF(AN74=0,I74,0)</f>
        <v>0</v>
      </c>
      <c r="AK74" s="54">
        <f>IF(AN74=12,I74,0)</f>
        <v>0</v>
      </c>
      <c r="AL74" s="54">
        <f>IF(AN74=21,I74,0)</f>
        <v>0</v>
      </c>
      <c r="AN74" s="54">
        <v>21</v>
      </c>
      <c r="AO74" s="54">
        <f>H74*0</f>
        <v>0</v>
      </c>
      <c r="AP74" s="54">
        <f>H74*(1-0)</f>
        <v>0</v>
      </c>
      <c r="AQ74" s="56" t="s">
        <v>119</v>
      </c>
      <c r="AV74" s="54">
        <f>AW74+AX74</f>
        <v>0</v>
      </c>
      <c r="AW74" s="54">
        <f>G74*AO74</f>
        <v>0</v>
      </c>
      <c r="AX74" s="54">
        <f>G74*AP74</f>
        <v>0</v>
      </c>
      <c r="AY74" s="56" t="s">
        <v>1558</v>
      </c>
      <c r="AZ74" s="56" t="s">
        <v>1529</v>
      </c>
      <c r="BA74" s="34" t="s">
        <v>1520</v>
      </c>
      <c r="BC74" s="54">
        <f>AW74+AX74</f>
        <v>0</v>
      </c>
      <c r="BD74" s="54">
        <f>H74/(100-BE74)*100</f>
        <v>0</v>
      </c>
      <c r="BE74" s="54">
        <v>0</v>
      </c>
      <c r="BF74" s="54">
        <f>L74</f>
        <v>0</v>
      </c>
      <c r="BH74" s="54">
        <f>G74*AO74</f>
        <v>0</v>
      </c>
      <c r="BI74" s="54">
        <f>G74*AP74</f>
        <v>0</v>
      </c>
      <c r="BJ74" s="54">
        <f>G74*H74</f>
        <v>0</v>
      </c>
      <c r="BK74" s="54"/>
      <c r="BL74" s="54"/>
      <c r="BW74" s="54">
        <v>21</v>
      </c>
      <c r="BX74" s="3" t="s">
        <v>1618</v>
      </c>
    </row>
    <row r="75" spans="1:76" ht="14.5" x14ac:dyDescent="0.35">
      <c r="A75" s="64" t="s">
        <v>422</v>
      </c>
      <c r="B75" s="65" t="s">
        <v>1512</v>
      </c>
      <c r="C75" s="65" t="s">
        <v>1619</v>
      </c>
      <c r="D75" s="217" t="s">
        <v>1620</v>
      </c>
      <c r="E75" s="218"/>
      <c r="F75" s="65" t="s">
        <v>196</v>
      </c>
      <c r="G75" s="67">
        <f>'Stavební rozpočet'!G739</f>
        <v>53</v>
      </c>
      <c r="H75" s="95">
        <f>'Stavební rozpočet'!H739</f>
        <v>0</v>
      </c>
      <c r="I75" s="67">
        <f>G75*H75</f>
        <v>0</v>
      </c>
      <c r="J75" s="67">
        <f>'Stavební rozpočet'!J739</f>
        <v>1.0000000000000001E-5</v>
      </c>
      <c r="K75" s="67">
        <f>'Stavební rozpočet'!K739</f>
        <v>0</v>
      </c>
      <c r="L75" s="67">
        <f>G75*J75</f>
        <v>5.3000000000000009E-4</v>
      </c>
      <c r="M75" s="68" t="s">
        <v>111</v>
      </c>
      <c r="Z75" s="54">
        <f>IF(AQ75="5",BJ75,0)</f>
        <v>0</v>
      </c>
      <c r="AB75" s="54">
        <f>IF(AQ75="1",BH75,0)</f>
        <v>0</v>
      </c>
      <c r="AC75" s="54">
        <f>IF(AQ75="1",BI75,0)</f>
        <v>0</v>
      </c>
      <c r="AD75" s="54">
        <f>IF(AQ75="7",BH75,0)</f>
        <v>0</v>
      </c>
      <c r="AE75" s="54">
        <f>IF(AQ75="7",BI75,0)</f>
        <v>0</v>
      </c>
      <c r="AF75" s="54">
        <f>IF(AQ75="2",BH75,0)</f>
        <v>0</v>
      </c>
      <c r="AG75" s="54">
        <f>IF(AQ75="2",BI75,0)</f>
        <v>0</v>
      </c>
      <c r="AH75" s="54">
        <f>IF(AQ75="0",BJ75,0)</f>
        <v>0</v>
      </c>
      <c r="AI75" s="34" t="s">
        <v>1512</v>
      </c>
      <c r="AJ75" s="67">
        <f>IF(AN75=0,I75,0)</f>
        <v>0</v>
      </c>
      <c r="AK75" s="67">
        <f>IF(AN75=12,I75,0)</f>
        <v>0</v>
      </c>
      <c r="AL75" s="67">
        <f>IF(AN75=21,I75,0)</f>
        <v>0</v>
      </c>
      <c r="AN75" s="54">
        <v>21</v>
      </c>
      <c r="AO75" s="54">
        <f>H75*1</f>
        <v>0</v>
      </c>
      <c r="AP75" s="54">
        <f>H75*(1-1)</f>
        <v>0</v>
      </c>
      <c r="AQ75" s="69" t="s">
        <v>107</v>
      </c>
      <c r="AV75" s="54">
        <f>AW75+AX75</f>
        <v>0</v>
      </c>
      <c r="AW75" s="54">
        <f>G75*AO75</f>
        <v>0</v>
      </c>
      <c r="AX75" s="54">
        <f>G75*AP75</f>
        <v>0</v>
      </c>
      <c r="AY75" s="56" t="s">
        <v>1558</v>
      </c>
      <c r="AZ75" s="56" t="s">
        <v>1529</v>
      </c>
      <c r="BA75" s="34" t="s">
        <v>1520</v>
      </c>
      <c r="BC75" s="54">
        <f>AW75+AX75</f>
        <v>0</v>
      </c>
      <c r="BD75" s="54">
        <f>H75/(100-BE75)*100</f>
        <v>0</v>
      </c>
      <c r="BE75" s="54">
        <v>0</v>
      </c>
      <c r="BF75" s="54">
        <f>L75</f>
        <v>5.3000000000000009E-4</v>
      </c>
      <c r="BH75" s="67">
        <f>G75*AO75</f>
        <v>0</v>
      </c>
      <c r="BI75" s="67">
        <f>G75*AP75</f>
        <v>0</v>
      </c>
      <c r="BJ75" s="67">
        <f>G75*H75</f>
        <v>0</v>
      </c>
      <c r="BK75" s="67"/>
      <c r="BL75" s="54"/>
      <c r="BW75" s="54">
        <v>21</v>
      </c>
      <c r="BX75" s="66" t="s">
        <v>1620</v>
      </c>
    </row>
    <row r="76" spans="1:76" ht="65" x14ac:dyDescent="0.35">
      <c r="A76" s="57"/>
      <c r="C76" s="62" t="s">
        <v>156</v>
      </c>
      <c r="D76" s="211" t="s">
        <v>1621</v>
      </c>
      <c r="E76" s="212"/>
      <c r="F76" s="212"/>
      <c r="G76" s="212"/>
      <c r="H76" s="212"/>
      <c r="I76" s="212"/>
      <c r="J76" s="212"/>
      <c r="K76" s="212"/>
      <c r="L76" s="212"/>
      <c r="M76" s="213"/>
      <c r="BX76" s="70" t="s">
        <v>1621</v>
      </c>
    </row>
    <row r="77" spans="1:76" ht="14.5" x14ac:dyDescent="0.35">
      <c r="A77" s="1" t="s">
        <v>427</v>
      </c>
      <c r="B77" s="2" t="s">
        <v>1512</v>
      </c>
      <c r="C77" s="2" t="s">
        <v>1622</v>
      </c>
      <c r="D77" s="155" t="s">
        <v>1623</v>
      </c>
      <c r="E77" s="153"/>
      <c r="F77" s="2" t="s">
        <v>196</v>
      </c>
      <c r="G77" s="54">
        <f>'Stavební rozpočet'!G740</f>
        <v>100</v>
      </c>
      <c r="H77" s="94">
        <f>'Stavební rozpočet'!H740</f>
        <v>0</v>
      </c>
      <c r="I77" s="54">
        <f>G77*H77</f>
        <v>0</v>
      </c>
      <c r="J77" s="54">
        <f>'Stavební rozpočet'!J740</f>
        <v>0</v>
      </c>
      <c r="K77" s="54">
        <f>'Stavební rozpočet'!K740</f>
        <v>0</v>
      </c>
      <c r="L77" s="54">
        <f>G77*J77</f>
        <v>0</v>
      </c>
      <c r="M77" s="55" t="s">
        <v>111</v>
      </c>
      <c r="Z77" s="54">
        <f>IF(AQ77="5",BJ77,0)</f>
        <v>0</v>
      </c>
      <c r="AB77" s="54">
        <f>IF(AQ77="1",BH77,0)</f>
        <v>0</v>
      </c>
      <c r="AC77" s="54">
        <f>IF(AQ77="1",BI77,0)</f>
        <v>0</v>
      </c>
      <c r="AD77" s="54">
        <f>IF(AQ77="7",BH77,0)</f>
        <v>0</v>
      </c>
      <c r="AE77" s="54">
        <f>IF(AQ77="7",BI77,0)</f>
        <v>0</v>
      </c>
      <c r="AF77" s="54">
        <f>IF(AQ77="2",BH77,0)</f>
        <v>0</v>
      </c>
      <c r="AG77" s="54">
        <f>IF(AQ77="2",BI77,0)</f>
        <v>0</v>
      </c>
      <c r="AH77" s="54">
        <f>IF(AQ77="0",BJ77,0)</f>
        <v>0</v>
      </c>
      <c r="AI77" s="34" t="s">
        <v>1512</v>
      </c>
      <c r="AJ77" s="54">
        <f>IF(AN77=0,I77,0)</f>
        <v>0</v>
      </c>
      <c r="AK77" s="54">
        <f>IF(AN77=12,I77,0)</f>
        <v>0</v>
      </c>
      <c r="AL77" s="54">
        <f>IF(AN77=21,I77,0)</f>
        <v>0</v>
      </c>
      <c r="AN77" s="54">
        <v>21</v>
      </c>
      <c r="AO77" s="54">
        <f>H77*0</f>
        <v>0</v>
      </c>
      <c r="AP77" s="54">
        <f>H77*(1-0)</f>
        <v>0</v>
      </c>
      <c r="AQ77" s="56" t="s">
        <v>119</v>
      </c>
      <c r="AV77" s="54">
        <f>AW77+AX77</f>
        <v>0</v>
      </c>
      <c r="AW77" s="54">
        <f>G77*AO77</f>
        <v>0</v>
      </c>
      <c r="AX77" s="54">
        <f>G77*AP77</f>
        <v>0</v>
      </c>
      <c r="AY77" s="56" t="s">
        <v>1558</v>
      </c>
      <c r="AZ77" s="56" t="s">
        <v>1529</v>
      </c>
      <c r="BA77" s="34" t="s">
        <v>1520</v>
      </c>
      <c r="BC77" s="54">
        <f>AW77+AX77</f>
        <v>0</v>
      </c>
      <c r="BD77" s="54">
        <f>H77/(100-BE77)*100</f>
        <v>0</v>
      </c>
      <c r="BE77" s="54">
        <v>0</v>
      </c>
      <c r="BF77" s="54">
        <f>L77</f>
        <v>0</v>
      </c>
      <c r="BH77" s="54">
        <f>G77*AO77</f>
        <v>0</v>
      </c>
      <c r="BI77" s="54">
        <f>G77*AP77</f>
        <v>0</v>
      </c>
      <c r="BJ77" s="54">
        <f>G77*H77</f>
        <v>0</v>
      </c>
      <c r="BK77" s="54"/>
      <c r="BL77" s="54"/>
      <c r="BW77" s="54">
        <v>21</v>
      </c>
      <c r="BX77" s="3" t="s">
        <v>1623</v>
      </c>
    </row>
    <row r="78" spans="1:76" ht="14.5" x14ac:dyDescent="0.35">
      <c r="A78" s="64" t="s">
        <v>432</v>
      </c>
      <c r="B78" s="65" t="s">
        <v>1512</v>
      </c>
      <c r="C78" s="65" t="s">
        <v>1624</v>
      </c>
      <c r="D78" s="217" t="s">
        <v>1625</v>
      </c>
      <c r="E78" s="218"/>
      <c r="F78" s="65" t="s">
        <v>196</v>
      </c>
      <c r="G78" s="67">
        <f>'Stavební rozpočet'!G741</f>
        <v>100</v>
      </c>
      <c r="H78" s="95">
        <f>'Stavební rozpočet'!H741</f>
        <v>0</v>
      </c>
      <c r="I78" s="67">
        <f>G78*H78</f>
        <v>0</v>
      </c>
      <c r="J78" s="67">
        <f>'Stavební rozpočet'!J741</f>
        <v>1.0000000000000001E-5</v>
      </c>
      <c r="K78" s="67">
        <f>'Stavební rozpočet'!K741</f>
        <v>0</v>
      </c>
      <c r="L78" s="67">
        <f>G78*J78</f>
        <v>1E-3</v>
      </c>
      <c r="M78" s="68" t="s">
        <v>111</v>
      </c>
      <c r="Z78" s="54">
        <f>IF(AQ78="5",BJ78,0)</f>
        <v>0</v>
      </c>
      <c r="AB78" s="54">
        <f>IF(AQ78="1",BH78,0)</f>
        <v>0</v>
      </c>
      <c r="AC78" s="54">
        <f>IF(AQ78="1",BI78,0)</f>
        <v>0</v>
      </c>
      <c r="AD78" s="54">
        <f>IF(AQ78="7",BH78,0)</f>
        <v>0</v>
      </c>
      <c r="AE78" s="54">
        <f>IF(AQ78="7",BI78,0)</f>
        <v>0</v>
      </c>
      <c r="AF78" s="54">
        <f>IF(AQ78="2",BH78,0)</f>
        <v>0</v>
      </c>
      <c r="AG78" s="54">
        <f>IF(AQ78="2",BI78,0)</f>
        <v>0</v>
      </c>
      <c r="AH78" s="54">
        <f>IF(AQ78="0",BJ78,0)</f>
        <v>0</v>
      </c>
      <c r="AI78" s="34" t="s">
        <v>1512</v>
      </c>
      <c r="AJ78" s="67">
        <f>IF(AN78=0,I78,0)</f>
        <v>0</v>
      </c>
      <c r="AK78" s="67">
        <f>IF(AN78=12,I78,0)</f>
        <v>0</v>
      </c>
      <c r="AL78" s="67">
        <f>IF(AN78=21,I78,0)</f>
        <v>0</v>
      </c>
      <c r="AN78" s="54">
        <v>21</v>
      </c>
      <c r="AO78" s="54">
        <f>H78*1</f>
        <v>0</v>
      </c>
      <c r="AP78" s="54">
        <f>H78*(1-1)</f>
        <v>0</v>
      </c>
      <c r="AQ78" s="69" t="s">
        <v>107</v>
      </c>
      <c r="AV78" s="54">
        <f>AW78+AX78</f>
        <v>0</v>
      </c>
      <c r="AW78" s="54">
        <f>G78*AO78</f>
        <v>0</v>
      </c>
      <c r="AX78" s="54">
        <f>G78*AP78</f>
        <v>0</v>
      </c>
      <c r="AY78" s="56" t="s">
        <v>1558</v>
      </c>
      <c r="AZ78" s="56" t="s">
        <v>1529</v>
      </c>
      <c r="BA78" s="34" t="s">
        <v>1520</v>
      </c>
      <c r="BC78" s="54">
        <f>AW78+AX78</f>
        <v>0</v>
      </c>
      <c r="BD78" s="54">
        <f>H78/(100-BE78)*100</f>
        <v>0</v>
      </c>
      <c r="BE78" s="54">
        <v>0</v>
      </c>
      <c r="BF78" s="54">
        <f>L78</f>
        <v>1E-3</v>
      </c>
      <c r="BH78" s="67">
        <f>G78*AO78</f>
        <v>0</v>
      </c>
      <c r="BI78" s="67">
        <f>G78*AP78</f>
        <v>0</v>
      </c>
      <c r="BJ78" s="67">
        <f>G78*H78</f>
        <v>0</v>
      </c>
      <c r="BK78" s="67"/>
      <c r="BL78" s="54"/>
      <c r="BW78" s="54">
        <v>21</v>
      </c>
      <c r="BX78" s="66" t="s">
        <v>1625</v>
      </c>
    </row>
    <row r="79" spans="1:76" ht="39" x14ac:dyDescent="0.35">
      <c r="A79" s="57"/>
      <c r="C79" s="62" t="s">
        <v>156</v>
      </c>
      <c r="D79" s="211" t="s">
        <v>1626</v>
      </c>
      <c r="E79" s="212"/>
      <c r="F79" s="212"/>
      <c r="G79" s="212"/>
      <c r="H79" s="212"/>
      <c r="I79" s="212"/>
      <c r="J79" s="212"/>
      <c r="K79" s="212"/>
      <c r="L79" s="212"/>
      <c r="M79" s="213"/>
      <c r="BX79" s="70" t="s">
        <v>1626</v>
      </c>
    </row>
    <row r="80" spans="1:76" ht="14.5" x14ac:dyDescent="0.35">
      <c r="A80" s="1" t="s">
        <v>437</v>
      </c>
      <c r="B80" s="2" t="s">
        <v>1512</v>
      </c>
      <c r="C80" s="2" t="s">
        <v>1627</v>
      </c>
      <c r="D80" s="155" t="s">
        <v>1628</v>
      </c>
      <c r="E80" s="153"/>
      <c r="F80" s="2" t="s">
        <v>196</v>
      </c>
      <c r="G80" s="54">
        <f>'Stavební rozpočet'!G742</f>
        <v>50</v>
      </c>
      <c r="H80" s="94">
        <f>'Stavební rozpočet'!H742</f>
        <v>0</v>
      </c>
      <c r="I80" s="54">
        <f>G80*H80</f>
        <v>0</v>
      </c>
      <c r="J80" s="54">
        <f>'Stavební rozpočet'!J742</f>
        <v>0</v>
      </c>
      <c r="K80" s="54">
        <f>'Stavební rozpočet'!K742</f>
        <v>0</v>
      </c>
      <c r="L80" s="54">
        <f>G80*J80</f>
        <v>0</v>
      </c>
      <c r="M80" s="55" t="s">
        <v>111</v>
      </c>
      <c r="Z80" s="54">
        <f>IF(AQ80="5",BJ80,0)</f>
        <v>0</v>
      </c>
      <c r="AB80" s="54">
        <f>IF(AQ80="1",BH80,0)</f>
        <v>0</v>
      </c>
      <c r="AC80" s="54">
        <f>IF(AQ80="1",BI80,0)</f>
        <v>0</v>
      </c>
      <c r="AD80" s="54">
        <f>IF(AQ80="7",BH80,0)</f>
        <v>0</v>
      </c>
      <c r="AE80" s="54">
        <f>IF(AQ80="7",BI80,0)</f>
        <v>0</v>
      </c>
      <c r="AF80" s="54">
        <f>IF(AQ80="2",BH80,0)</f>
        <v>0</v>
      </c>
      <c r="AG80" s="54">
        <f>IF(AQ80="2",BI80,0)</f>
        <v>0</v>
      </c>
      <c r="AH80" s="54">
        <f>IF(AQ80="0",BJ80,0)</f>
        <v>0</v>
      </c>
      <c r="AI80" s="34" t="s">
        <v>1512</v>
      </c>
      <c r="AJ80" s="54">
        <f>IF(AN80=0,I80,0)</f>
        <v>0</v>
      </c>
      <c r="AK80" s="54">
        <f>IF(AN80=12,I80,0)</f>
        <v>0</v>
      </c>
      <c r="AL80" s="54">
        <f>IF(AN80=21,I80,0)</f>
        <v>0</v>
      </c>
      <c r="AN80" s="54">
        <v>21</v>
      </c>
      <c r="AO80" s="54">
        <f>H80*0</f>
        <v>0</v>
      </c>
      <c r="AP80" s="54">
        <f>H80*(1-0)</f>
        <v>0</v>
      </c>
      <c r="AQ80" s="56" t="s">
        <v>119</v>
      </c>
      <c r="AV80" s="54">
        <f>AW80+AX80</f>
        <v>0</v>
      </c>
      <c r="AW80" s="54">
        <f>G80*AO80</f>
        <v>0</v>
      </c>
      <c r="AX80" s="54">
        <f>G80*AP80</f>
        <v>0</v>
      </c>
      <c r="AY80" s="56" t="s">
        <v>1558</v>
      </c>
      <c r="AZ80" s="56" t="s">
        <v>1529</v>
      </c>
      <c r="BA80" s="34" t="s">
        <v>1520</v>
      </c>
      <c r="BC80" s="54">
        <f>AW80+AX80</f>
        <v>0</v>
      </c>
      <c r="BD80" s="54">
        <f>H80/(100-BE80)*100</f>
        <v>0</v>
      </c>
      <c r="BE80" s="54">
        <v>0</v>
      </c>
      <c r="BF80" s="54">
        <f>L80</f>
        <v>0</v>
      </c>
      <c r="BH80" s="54">
        <f>G80*AO80</f>
        <v>0</v>
      </c>
      <c r="BI80" s="54">
        <f>G80*AP80</f>
        <v>0</v>
      </c>
      <c r="BJ80" s="54">
        <f>G80*H80</f>
        <v>0</v>
      </c>
      <c r="BK80" s="54"/>
      <c r="BL80" s="54"/>
      <c r="BW80" s="54">
        <v>21</v>
      </c>
      <c r="BX80" s="3" t="s">
        <v>1628</v>
      </c>
    </row>
    <row r="81" spans="1:76" ht="14.5" x14ac:dyDescent="0.35">
      <c r="A81" s="64" t="s">
        <v>441</v>
      </c>
      <c r="B81" s="65" t="s">
        <v>1512</v>
      </c>
      <c r="C81" s="65" t="s">
        <v>1629</v>
      </c>
      <c r="D81" s="217" t="s">
        <v>1630</v>
      </c>
      <c r="E81" s="218"/>
      <c r="F81" s="65" t="s">
        <v>196</v>
      </c>
      <c r="G81" s="67">
        <f>'Stavební rozpočet'!G743</f>
        <v>2</v>
      </c>
      <c r="H81" s="95">
        <f>'Stavební rozpočet'!H743</f>
        <v>0</v>
      </c>
      <c r="I81" s="67">
        <f>G81*H81</f>
        <v>0</v>
      </c>
      <c r="J81" s="67">
        <f>'Stavební rozpočet'!J743</f>
        <v>1.0000000000000001E-5</v>
      </c>
      <c r="K81" s="67">
        <f>'Stavební rozpočet'!K743</f>
        <v>0</v>
      </c>
      <c r="L81" s="67">
        <f>G81*J81</f>
        <v>2.0000000000000002E-5</v>
      </c>
      <c r="M81" s="68" t="s">
        <v>111</v>
      </c>
      <c r="Z81" s="54">
        <f>IF(AQ81="5",BJ81,0)</f>
        <v>0</v>
      </c>
      <c r="AB81" s="54">
        <f>IF(AQ81="1",BH81,0)</f>
        <v>0</v>
      </c>
      <c r="AC81" s="54">
        <f>IF(AQ81="1",BI81,0)</f>
        <v>0</v>
      </c>
      <c r="AD81" s="54">
        <f>IF(AQ81="7",BH81,0)</f>
        <v>0</v>
      </c>
      <c r="AE81" s="54">
        <f>IF(AQ81="7",BI81,0)</f>
        <v>0</v>
      </c>
      <c r="AF81" s="54">
        <f>IF(AQ81="2",BH81,0)</f>
        <v>0</v>
      </c>
      <c r="AG81" s="54">
        <f>IF(AQ81="2",BI81,0)</f>
        <v>0</v>
      </c>
      <c r="AH81" s="54">
        <f>IF(AQ81="0",BJ81,0)</f>
        <v>0</v>
      </c>
      <c r="AI81" s="34" t="s">
        <v>1512</v>
      </c>
      <c r="AJ81" s="67">
        <f>IF(AN81=0,I81,0)</f>
        <v>0</v>
      </c>
      <c r="AK81" s="67">
        <f>IF(AN81=12,I81,0)</f>
        <v>0</v>
      </c>
      <c r="AL81" s="67">
        <f>IF(AN81=21,I81,0)</f>
        <v>0</v>
      </c>
      <c r="AN81" s="54">
        <v>21</v>
      </c>
      <c r="AO81" s="54">
        <f>H81*1</f>
        <v>0</v>
      </c>
      <c r="AP81" s="54">
        <f>H81*(1-1)</f>
        <v>0</v>
      </c>
      <c r="AQ81" s="69" t="s">
        <v>107</v>
      </c>
      <c r="AV81" s="54">
        <f>AW81+AX81</f>
        <v>0</v>
      </c>
      <c r="AW81" s="54">
        <f>G81*AO81</f>
        <v>0</v>
      </c>
      <c r="AX81" s="54">
        <f>G81*AP81</f>
        <v>0</v>
      </c>
      <c r="AY81" s="56" t="s">
        <v>1558</v>
      </c>
      <c r="AZ81" s="56" t="s">
        <v>1529</v>
      </c>
      <c r="BA81" s="34" t="s">
        <v>1520</v>
      </c>
      <c r="BC81" s="54">
        <f>AW81+AX81</f>
        <v>0</v>
      </c>
      <c r="BD81" s="54">
        <f>H81/(100-BE81)*100</f>
        <v>0</v>
      </c>
      <c r="BE81" s="54">
        <v>0</v>
      </c>
      <c r="BF81" s="54">
        <f>L81</f>
        <v>2.0000000000000002E-5</v>
      </c>
      <c r="BH81" s="67">
        <f>G81*AO81</f>
        <v>0</v>
      </c>
      <c r="BI81" s="67">
        <f>G81*AP81</f>
        <v>0</v>
      </c>
      <c r="BJ81" s="67">
        <f>G81*H81</f>
        <v>0</v>
      </c>
      <c r="BK81" s="67"/>
      <c r="BL81" s="54"/>
      <c r="BW81" s="54">
        <v>21</v>
      </c>
      <c r="BX81" s="66" t="s">
        <v>1630</v>
      </c>
    </row>
    <row r="82" spans="1:76" ht="65" x14ac:dyDescent="0.35">
      <c r="A82" s="57"/>
      <c r="C82" s="62" t="s">
        <v>156</v>
      </c>
      <c r="D82" s="211" t="s">
        <v>1631</v>
      </c>
      <c r="E82" s="212"/>
      <c r="F82" s="212"/>
      <c r="G82" s="212"/>
      <c r="H82" s="212"/>
      <c r="I82" s="212"/>
      <c r="J82" s="212"/>
      <c r="K82" s="212"/>
      <c r="L82" s="212"/>
      <c r="M82" s="213"/>
      <c r="BX82" s="70" t="s">
        <v>1631</v>
      </c>
    </row>
    <row r="83" spans="1:76" ht="25" x14ac:dyDescent="0.35">
      <c r="A83" s="64" t="s">
        <v>445</v>
      </c>
      <c r="B83" s="65" t="s">
        <v>1512</v>
      </c>
      <c r="C83" s="65" t="s">
        <v>1632</v>
      </c>
      <c r="D83" s="217" t="s">
        <v>1633</v>
      </c>
      <c r="E83" s="218"/>
      <c r="F83" s="65" t="s">
        <v>196</v>
      </c>
      <c r="G83" s="67">
        <f>'Stavební rozpočet'!G744</f>
        <v>48</v>
      </c>
      <c r="H83" s="95">
        <f>'Stavební rozpočet'!H744</f>
        <v>0</v>
      </c>
      <c r="I83" s="67">
        <f>G83*H83</f>
        <v>0</v>
      </c>
      <c r="J83" s="67">
        <f>'Stavební rozpočet'!J744</f>
        <v>1.0000000000000001E-5</v>
      </c>
      <c r="K83" s="67">
        <f>'Stavební rozpočet'!K744</f>
        <v>0</v>
      </c>
      <c r="L83" s="67">
        <f>G83*J83</f>
        <v>4.8000000000000007E-4</v>
      </c>
      <c r="M83" s="68" t="s">
        <v>111</v>
      </c>
      <c r="Z83" s="54">
        <f>IF(AQ83="5",BJ83,0)</f>
        <v>0</v>
      </c>
      <c r="AB83" s="54">
        <f>IF(AQ83="1",BH83,0)</f>
        <v>0</v>
      </c>
      <c r="AC83" s="54">
        <f>IF(AQ83="1",BI83,0)</f>
        <v>0</v>
      </c>
      <c r="AD83" s="54">
        <f>IF(AQ83="7",BH83,0)</f>
        <v>0</v>
      </c>
      <c r="AE83" s="54">
        <f>IF(AQ83="7",BI83,0)</f>
        <v>0</v>
      </c>
      <c r="AF83" s="54">
        <f>IF(AQ83="2",BH83,0)</f>
        <v>0</v>
      </c>
      <c r="AG83" s="54">
        <f>IF(AQ83="2",BI83,0)</f>
        <v>0</v>
      </c>
      <c r="AH83" s="54">
        <f>IF(AQ83="0",BJ83,0)</f>
        <v>0</v>
      </c>
      <c r="AI83" s="34" t="s">
        <v>1512</v>
      </c>
      <c r="AJ83" s="67">
        <f>IF(AN83=0,I83,0)</f>
        <v>0</v>
      </c>
      <c r="AK83" s="67">
        <f>IF(AN83=12,I83,0)</f>
        <v>0</v>
      </c>
      <c r="AL83" s="67">
        <f>IF(AN83=21,I83,0)</f>
        <v>0</v>
      </c>
      <c r="AN83" s="54">
        <v>21</v>
      </c>
      <c r="AO83" s="54">
        <f>H83*1</f>
        <v>0</v>
      </c>
      <c r="AP83" s="54">
        <f>H83*(1-1)</f>
        <v>0</v>
      </c>
      <c r="AQ83" s="69" t="s">
        <v>107</v>
      </c>
      <c r="AV83" s="54">
        <f>AW83+AX83</f>
        <v>0</v>
      </c>
      <c r="AW83" s="54">
        <f>G83*AO83</f>
        <v>0</v>
      </c>
      <c r="AX83" s="54">
        <f>G83*AP83</f>
        <v>0</v>
      </c>
      <c r="AY83" s="56" t="s">
        <v>1558</v>
      </c>
      <c r="AZ83" s="56" t="s">
        <v>1529</v>
      </c>
      <c r="BA83" s="34" t="s">
        <v>1520</v>
      </c>
      <c r="BC83" s="54">
        <f>AW83+AX83</f>
        <v>0</v>
      </c>
      <c r="BD83" s="54">
        <f>H83/(100-BE83)*100</f>
        <v>0</v>
      </c>
      <c r="BE83" s="54">
        <v>0</v>
      </c>
      <c r="BF83" s="54">
        <f>L83</f>
        <v>4.8000000000000007E-4</v>
      </c>
      <c r="BH83" s="67">
        <f>G83*AO83</f>
        <v>0</v>
      </c>
      <c r="BI83" s="67">
        <f>G83*AP83</f>
        <v>0</v>
      </c>
      <c r="BJ83" s="67">
        <f>G83*H83</f>
        <v>0</v>
      </c>
      <c r="BK83" s="67"/>
      <c r="BL83" s="54"/>
      <c r="BW83" s="54">
        <v>21</v>
      </c>
      <c r="BX83" s="66" t="s">
        <v>1633</v>
      </c>
    </row>
    <row r="84" spans="1:76" ht="39" x14ac:dyDescent="0.35">
      <c r="A84" s="57"/>
      <c r="C84" s="62" t="s">
        <v>156</v>
      </c>
      <c r="D84" s="211" t="s">
        <v>1634</v>
      </c>
      <c r="E84" s="212"/>
      <c r="F84" s="212"/>
      <c r="G84" s="212"/>
      <c r="H84" s="212"/>
      <c r="I84" s="212"/>
      <c r="J84" s="212"/>
      <c r="K84" s="212"/>
      <c r="L84" s="212"/>
      <c r="M84" s="213"/>
      <c r="BX84" s="70" t="s">
        <v>1634</v>
      </c>
    </row>
    <row r="85" spans="1:76" ht="14.5" x14ac:dyDescent="0.35">
      <c r="A85" s="1" t="s">
        <v>201</v>
      </c>
      <c r="B85" s="2" t="s">
        <v>1512</v>
      </c>
      <c r="C85" s="2" t="s">
        <v>1635</v>
      </c>
      <c r="D85" s="155" t="s">
        <v>1636</v>
      </c>
      <c r="E85" s="153"/>
      <c r="F85" s="2" t="s">
        <v>196</v>
      </c>
      <c r="G85" s="54">
        <f>'Stavební rozpočet'!G745</f>
        <v>4</v>
      </c>
      <c r="H85" s="94">
        <f>'Stavební rozpočet'!H745</f>
        <v>0</v>
      </c>
      <c r="I85" s="54">
        <f>G85*H85</f>
        <v>0</v>
      </c>
      <c r="J85" s="54">
        <f>'Stavební rozpočet'!J745</f>
        <v>0</v>
      </c>
      <c r="K85" s="54">
        <f>'Stavební rozpočet'!K745</f>
        <v>0</v>
      </c>
      <c r="L85" s="54">
        <f>G85*J85</f>
        <v>0</v>
      </c>
      <c r="M85" s="55" t="s">
        <v>111</v>
      </c>
      <c r="Z85" s="54">
        <f>IF(AQ85="5",BJ85,0)</f>
        <v>0</v>
      </c>
      <c r="AB85" s="54">
        <f>IF(AQ85="1",BH85,0)</f>
        <v>0</v>
      </c>
      <c r="AC85" s="54">
        <f>IF(AQ85="1",BI85,0)</f>
        <v>0</v>
      </c>
      <c r="AD85" s="54">
        <f>IF(AQ85="7",BH85,0)</f>
        <v>0</v>
      </c>
      <c r="AE85" s="54">
        <f>IF(AQ85="7",BI85,0)</f>
        <v>0</v>
      </c>
      <c r="AF85" s="54">
        <f>IF(AQ85="2",BH85,0)</f>
        <v>0</v>
      </c>
      <c r="AG85" s="54">
        <f>IF(AQ85="2",BI85,0)</f>
        <v>0</v>
      </c>
      <c r="AH85" s="54">
        <f>IF(AQ85="0",BJ85,0)</f>
        <v>0</v>
      </c>
      <c r="AI85" s="34" t="s">
        <v>1512</v>
      </c>
      <c r="AJ85" s="54">
        <f>IF(AN85=0,I85,0)</f>
        <v>0</v>
      </c>
      <c r="AK85" s="54">
        <f>IF(AN85=12,I85,0)</f>
        <v>0</v>
      </c>
      <c r="AL85" s="54">
        <f>IF(AN85=21,I85,0)</f>
        <v>0</v>
      </c>
      <c r="AN85" s="54">
        <v>21</v>
      </c>
      <c r="AO85" s="54">
        <f>H85*0</f>
        <v>0</v>
      </c>
      <c r="AP85" s="54">
        <f>H85*(1-0)</f>
        <v>0</v>
      </c>
      <c r="AQ85" s="56" t="s">
        <v>119</v>
      </c>
      <c r="AV85" s="54">
        <f>AW85+AX85</f>
        <v>0</v>
      </c>
      <c r="AW85" s="54">
        <f>G85*AO85</f>
        <v>0</v>
      </c>
      <c r="AX85" s="54">
        <f>G85*AP85</f>
        <v>0</v>
      </c>
      <c r="AY85" s="56" t="s">
        <v>1558</v>
      </c>
      <c r="AZ85" s="56" t="s">
        <v>1529</v>
      </c>
      <c r="BA85" s="34" t="s">
        <v>1520</v>
      </c>
      <c r="BC85" s="54">
        <f>AW85+AX85</f>
        <v>0</v>
      </c>
      <c r="BD85" s="54">
        <f>H85/(100-BE85)*100</f>
        <v>0</v>
      </c>
      <c r="BE85" s="54">
        <v>0</v>
      </c>
      <c r="BF85" s="54">
        <f>L85</f>
        <v>0</v>
      </c>
      <c r="BH85" s="54">
        <f>G85*AO85</f>
        <v>0</v>
      </c>
      <c r="BI85" s="54">
        <f>G85*AP85</f>
        <v>0</v>
      </c>
      <c r="BJ85" s="54">
        <f>G85*H85</f>
        <v>0</v>
      </c>
      <c r="BK85" s="54"/>
      <c r="BL85" s="54"/>
      <c r="BW85" s="54">
        <v>21</v>
      </c>
      <c r="BX85" s="3" t="s">
        <v>1636</v>
      </c>
    </row>
    <row r="86" spans="1:76" ht="14.5" x14ac:dyDescent="0.35">
      <c r="A86" s="64" t="s">
        <v>452</v>
      </c>
      <c r="B86" s="65" t="s">
        <v>1512</v>
      </c>
      <c r="C86" s="65" t="s">
        <v>1637</v>
      </c>
      <c r="D86" s="217" t="s">
        <v>1638</v>
      </c>
      <c r="E86" s="218"/>
      <c r="F86" s="65" t="s">
        <v>196</v>
      </c>
      <c r="G86" s="67">
        <f>'Stavební rozpočet'!G746</f>
        <v>4</v>
      </c>
      <c r="H86" s="95">
        <f>'Stavební rozpočet'!H746</f>
        <v>0</v>
      </c>
      <c r="I86" s="67">
        <f>G86*H86</f>
        <v>0</v>
      </c>
      <c r="J86" s="67">
        <f>'Stavební rozpočet'!J746</f>
        <v>1.2E-4</v>
      </c>
      <c r="K86" s="67">
        <f>'Stavební rozpočet'!K746</f>
        <v>0</v>
      </c>
      <c r="L86" s="67">
        <f>G86*J86</f>
        <v>4.8000000000000001E-4</v>
      </c>
      <c r="M86" s="68" t="s">
        <v>111</v>
      </c>
      <c r="Z86" s="54">
        <f>IF(AQ86="5",BJ86,0)</f>
        <v>0</v>
      </c>
      <c r="AB86" s="54">
        <f>IF(AQ86="1",BH86,0)</f>
        <v>0</v>
      </c>
      <c r="AC86" s="54">
        <f>IF(AQ86="1",BI86,0)</f>
        <v>0</v>
      </c>
      <c r="AD86" s="54">
        <f>IF(AQ86="7",BH86,0)</f>
        <v>0</v>
      </c>
      <c r="AE86" s="54">
        <f>IF(AQ86="7",BI86,0)</f>
        <v>0</v>
      </c>
      <c r="AF86" s="54">
        <f>IF(AQ86="2",BH86,0)</f>
        <v>0</v>
      </c>
      <c r="AG86" s="54">
        <f>IF(AQ86="2",BI86,0)</f>
        <v>0</v>
      </c>
      <c r="AH86" s="54">
        <f>IF(AQ86="0",BJ86,0)</f>
        <v>0</v>
      </c>
      <c r="AI86" s="34" t="s">
        <v>1512</v>
      </c>
      <c r="AJ86" s="67">
        <f>IF(AN86=0,I86,0)</f>
        <v>0</v>
      </c>
      <c r="AK86" s="67">
        <f>IF(AN86=12,I86,0)</f>
        <v>0</v>
      </c>
      <c r="AL86" s="67">
        <f>IF(AN86=21,I86,0)</f>
        <v>0</v>
      </c>
      <c r="AN86" s="54">
        <v>21</v>
      </c>
      <c r="AO86" s="54">
        <f>H86*1</f>
        <v>0</v>
      </c>
      <c r="AP86" s="54">
        <f>H86*(1-1)</f>
        <v>0</v>
      </c>
      <c r="AQ86" s="69" t="s">
        <v>107</v>
      </c>
      <c r="AV86" s="54">
        <f>AW86+AX86</f>
        <v>0</v>
      </c>
      <c r="AW86" s="54">
        <f>G86*AO86</f>
        <v>0</v>
      </c>
      <c r="AX86" s="54">
        <f>G86*AP86</f>
        <v>0</v>
      </c>
      <c r="AY86" s="56" t="s">
        <v>1558</v>
      </c>
      <c r="AZ86" s="56" t="s">
        <v>1529</v>
      </c>
      <c r="BA86" s="34" t="s">
        <v>1520</v>
      </c>
      <c r="BC86" s="54">
        <f>AW86+AX86</f>
        <v>0</v>
      </c>
      <c r="BD86" s="54">
        <f>H86/(100-BE86)*100</f>
        <v>0</v>
      </c>
      <c r="BE86" s="54">
        <v>0</v>
      </c>
      <c r="BF86" s="54">
        <f>L86</f>
        <v>4.8000000000000001E-4</v>
      </c>
      <c r="BH86" s="67">
        <f>G86*AO86</f>
        <v>0</v>
      </c>
      <c r="BI86" s="67">
        <f>G86*AP86</f>
        <v>0</v>
      </c>
      <c r="BJ86" s="67">
        <f>G86*H86</f>
        <v>0</v>
      </c>
      <c r="BK86" s="67"/>
      <c r="BL86" s="54"/>
      <c r="BW86" s="54">
        <v>21</v>
      </c>
      <c r="BX86" s="66" t="s">
        <v>1638</v>
      </c>
    </row>
    <row r="87" spans="1:76" ht="65" x14ac:dyDescent="0.35">
      <c r="A87" s="57"/>
      <c r="C87" s="62" t="s">
        <v>156</v>
      </c>
      <c r="D87" s="211" t="s">
        <v>1639</v>
      </c>
      <c r="E87" s="212"/>
      <c r="F87" s="212"/>
      <c r="G87" s="212"/>
      <c r="H87" s="212"/>
      <c r="I87" s="212"/>
      <c r="J87" s="212"/>
      <c r="K87" s="212"/>
      <c r="L87" s="212"/>
      <c r="M87" s="213"/>
      <c r="BX87" s="70" t="s">
        <v>1639</v>
      </c>
    </row>
    <row r="88" spans="1:76" ht="14.5" x14ac:dyDescent="0.35">
      <c r="A88" s="1" t="s">
        <v>457</v>
      </c>
      <c r="B88" s="2" t="s">
        <v>1512</v>
      </c>
      <c r="C88" s="2" t="s">
        <v>1640</v>
      </c>
      <c r="D88" s="155" t="s">
        <v>1641</v>
      </c>
      <c r="E88" s="153"/>
      <c r="F88" s="2" t="s">
        <v>196</v>
      </c>
      <c r="G88" s="54">
        <f>'Stavební rozpočet'!G747</f>
        <v>1</v>
      </c>
      <c r="H88" s="94">
        <f>'Stavební rozpočet'!H747</f>
        <v>0</v>
      </c>
      <c r="I88" s="54">
        <f>G88*H88</f>
        <v>0</v>
      </c>
      <c r="J88" s="54">
        <f>'Stavební rozpočet'!J747</f>
        <v>0</v>
      </c>
      <c r="K88" s="54">
        <f>'Stavební rozpočet'!K747</f>
        <v>0</v>
      </c>
      <c r="L88" s="54">
        <f>G88*J88</f>
        <v>0</v>
      </c>
      <c r="M88" s="55" t="s">
        <v>111</v>
      </c>
      <c r="Z88" s="54">
        <f>IF(AQ88="5",BJ88,0)</f>
        <v>0</v>
      </c>
      <c r="AB88" s="54">
        <f>IF(AQ88="1",BH88,0)</f>
        <v>0</v>
      </c>
      <c r="AC88" s="54">
        <f>IF(AQ88="1",BI88,0)</f>
        <v>0</v>
      </c>
      <c r="AD88" s="54">
        <f>IF(AQ88="7",BH88,0)</f>
        <v>0</v>
      </c>
      <c r="AE88" s="54">
        <f>IF(AQ88="7",BI88,0)</f>
        <v>0</v>
      </c>
      <c r="AF88" s="54">
        <f>IF(AQ88="2",BH88,0)</f>
        <v>0</v>
      </c>
      <c r="AG88" s="54">
        <f>IF(AQ88="2",BI88,0)</f>
        <v>0</v>
      </c>
      <c r="AH88" s="54">
        <f>IF(AQ88="0",BJ88,0)</f>
        <v>0</v>
      </c>
      <c r="AI88" s="34" t="s">
        <v>1512</v>
      </c>
      <c r="AJ88" s="54">
        <f>IF(AN88=0,I88,0)</f>
        <v>0</v>
      </c>
      <c r="AK88" s="54">
        <f>IF(AN88=12,I88,0)</f>
        <v>0</v>
      </c>
      <c r="AL88" s="54">
        <f>IF(AN88=21,I88,0)</f>
        <v>0</v>
      </c>
      <c r="AN88" s="54">
        <v>21</v>
      </c>
      <c r="AO88" s="54">
        <f>H88*0</f>
        <v>0</v>
      </c>
      <c r="AP88" s="54">
        <f>H88*(1-0)</f>
        <v>0</v>
      </c>
      <c r="AQ88" s="56" t="s">
        <v>119</v>
      </c>
      <c r="AV88" s="54">
        <f>AW88+AX88</f>
        <v>0</v>
      </c>
      <c r="AW88" s="54">
        <f>G88*AO88</f>
        <v>0</v>
      </c>
      <c r="AX88" s="54">
        <f>G88*AP88</f>
        <v>0</v>
      </c>
      <c r="AY88" s="56" t="s">
        <v>1558</v>
      </c>
      <c r="AZ88" s="56" t="s">
        <v>1529</v>
      </c>
      <c r="BA88" s="34" t="s">
        <v>1520</v>
      </c>
      <c r="BC88" s="54">
        <f>AW88+AX88</f>
        <v>0</v>
      </c>
      <c r="BD88" s="54">
        <f>H88/(100-BE88)*100</f>
        <v>0</v>
      </c>
      <c r="BE88" s="54">
        <v>0</v>
      </c>
      <c r="BF88" s="54">
        <f>L88</f>
        <v>0</v>
      </c>
      <c r="BH88" s="54">
        <f>G88*AO88</f>
        <v>0</v>
      </c>
      <c r="BI88" s="54">
        <f>G88*AP88</f>
        <v>0</v>
      </c>
      <c r="BJ88" s="54">
        <f>G88*H88</f>
        <v>0</v>
      </c>
      <c r="BK88" s="54"/>
      <c r="BL88" s="54"/>
      <c r="BW88" s="54">
        <v>21</v>
      </c>
      <c r="BX88" s="3" t="s">
        <v>1641</v>
      </c>
    </row>
    <row r="89" spans="1:76" ht="14.5" x14ac:dyDescent="0.35">
      <c r="A89" s="64" t="s">
        <v>462</v>
      </c>
      <c r="B89" s="65" t="s">
        <v>1512</v>
      </c>
      <c r="C89" s="65" t="s">
        <v>1642</v>
      </c>
      <c r="D89" s="217" t="s">
        <v>1643</v>
      </c>
      <c r="E89" s="218"/>
      <c r="F89" s="65" t="s">
        <v>196</v>
      </c>
      <c r="G89" s="67">
        <f>'Stavební rozpočet'!G748</f>
        <v>1</v>
      </c>
      <c r="H89" s="95">
        <f>'Stavební rozpočet'!H748</f>
        <v>0</v>
      </c>
      <c r="I89" s="67">
        <f>G89*H89</f>
        <v>0</v>
      </c>
      <c r="J89" s="67">
        <f>'Stavební rozpočet'!J748</f>
        <v>0</v>
      </c>
      <c r="K89" s="67">
        <f>'Stavební rozpočet'!K748</f>
        <v>0</v>
      </c>
      <c r="L89" s="67">
        <f>G89*J89</f>
        <v>0</v>
      </c>
      <c r="M89" s="68" t="s">
        <v>10</v>
      </c>
      <c r="Z89" s="54">
        <f>IF(AQ89="5",BJ89,0)</f>
        <v>0</v>
      </c>
      <c r="AB89" s="54">
        <f>IF(AQ89="1",BH89,0)</f>
        <v>0</v>
      </c>
      <c r="AC89" s="54">
        <f>IF(AQ89="1",BI89,0)</f>
        <v>0</v>
      </c>
      <c r="AD89" s="54">
        <f>IF(AQ89="7",BH89,0)</f>
        <v>0</v>
      </c>
      <c r="AE89" s="54">
        <f>IF(AQ89="7",BI89,0)</f>
        <v>0</v>
      </c>
      <c r="AF89" s="54">
        <f>IF(AQ89="2",BH89,0)</f>
        <v>0</v>
      </c>
      <c r="AG89" s="54">
        <f>IF(AQ89="2",BI89,0)</f>
        <v>0</v>
      </c>
      <c r="AH89" s="54">
        <f>IF(AQ89="0",BJ89,0)</f>
        <v>0</v>
      </c>
      <c r="AI89" s="34" t="s">
        <v>1512</v>
      </c>
      <c r="AJ89" s="67">
        <f>IF(AN89=0,I89,0)</f>
        <v>0</v>
      </c>
      <c r="AK89" s="67">
        <f>IF(AN89=12,I89,0)</f>
        <v>0</v>
      </c>
      <c r="AL89" s="67">
        <f>IF(AN89=21,I89,0)</f>
        <v>0</v>
      </c>
      <c r="AN89" s="54">
        <v>21</v>
      </c>
      <c r="AO89" s="54">
        <f>H89*1</f>
        <v>0</v>
      </c>
      <c r="AP89" s="54">
        <f>H89*(1-1)</f>
        <v>0</v>
      </c>
      <c r="AQ89" s="69" t="s">
        <v>107</v>
      </c>
      <c r="AV89" s="54">
        <f>AW89+AX89</f>
        <v>0</v>
      </c>
      <c r="AW89" s="54">
        <f>G89*AO89</f>
        <v>0</v>
      </c>
      <c r="AX89" s="54">
        <f>G89*AP89</f>
        <v>0</v>
      </c>
      <c r="AY89" s="56" t="s">
        <v>1558</v>
      </c>
      <c r="AZ89" s="56" t="s">
        <v>1529</v>
      </c>
      <c r="BA89" s="34" t="s">
        <v>1520</v>
      </c>
      <c r="BC89" s="54">
        <f>AW89+AX89</f>
        <v>0</v>
      </c>
      <c r="BD89" s="54">
        <f>H89/(100-BE89)*100</f>
        <v>0</v>
      </c>
      <c r="BE89" s="54">
        <v>0</v>
      </c>
      <c r="BF89" s="54">
        <f>L89</f>
        <v>0</v>
      </c>
      <c r="BH89" s="67">
        <f>G89*AO89</f>
        <v>0</v>
      </c>
      <c r="BI89" s="67">
        <f>G89*AP89</f>
        <v>0</v>
      </c>
      <c r="BJ89" s="67">
        <f>G89*H89</f>
        <v>0</v>
      </c>
      <c r="BK89" s="67"/>
      <c r="BL89" s="54"/>
      <c r="BW89" s="54">
        <v>21</v>
      </c>
      <c r="BX89" s="66" t="s">
        <v>1643</v>
      </c>
    </row>
    <row r="90" spans="1:76" ht="14.5" x14ac:dyDescent="0.35">
      <c r="A90" s="1" t="s">
        <v>466</v>
      </c>
      <c r="B90" s="2" t="s">
        <v>1512</v>
      </c>
      <c r="C90" s="2" t="s">
        <v>1644</v>
      </c>
      <c r="D90" s="155" t="s">
        <v>1645</v>
      </c>
      <c r="E90" s="153"/>
      <c r="F90" s="2" t="s">
        <v>196</v>
      </c>
      <c r="G90" s="54">
        <f>'Stavební rozpočet'!G749</f>
        <v>25</v>
      </c>
      <c r="H90" s="94">
        <f>'Stavební rozpočet'!H749</f>
        <v>0</v>
      </c>
      <c r="I90" s="54">
        <f>G90*H90</f>
        <v>0</v>
      </c>
      <c r="J90" s="54">
        <f>'Stavební rozpočet'!J749</f>
        <v>0</v>
      </c>
      <c r="K90" s="54">
        <f>'Stavební rozpočet'!K749</f>
        <v>0</v>
      </c>
      <c r="L90" s="54">
        <f>G90*J90</f>
        <v>0</v>
      </c>
      <c r="M90" s="55" t="s">
        <v>111</v>
      </c>
      <c r="Z90" s="54">
        <f>IF(AQ90="5",BJ90,0)</f>
        <v>0</v>
      </c>
      <c r="AB90" s="54">
        <f>IF(AQ90="1",BH90,0)</f>
        <v>0</v>
      </c>
      <c r="AC90" s="54">
        <f>IF(AQ90="1",BI90,0)</f>
        <v>0</v>
      </c>
      <c r="AD90" s="54">
        <f>IF(AQ90="7",BH90,0)</f>
        <v>0</v>
      </c>
      <c r="AE90" s="54">
        <f>IF(AQ90="7",BI90,0)</f>
        <v>0</v>
      </c>
      <c r="AF90" s="54">
        <f>IF(AQ90="2",BH90,0)</f>
        <v>0</v>
      </c>
      <c r="AG90" s="54">
        <f>IF(AQ90="2",BI90,0)</f>
        <v>0</v>
      </c>
      <c r="AH90" s="54">
        <f>IF(AQ90="0",BJ90,0)</f>
        <v>0</v>
      </c>
      <c r="AI90" s="34" t="s">
        <v>1512</v>
      </c>
      <c r="AJ90" s="54">
        <f>IF(AN90=0,I90,0)</f>
        <v>0</v>
      </c>
      <c r="AK90" s="54">
        <f>IF(AN90=12,I90,0)</f>
        <v>0</v>
      </c>
      <c r="AL90" s="54">
        <f>IF(AN90=21,I90,0)</f>
        <v>0</v>
      </c>
      <c r="AN90" s="54">
        <v>21</v>
      </c>
      <c r="AO90" s="54">
        <f>H90*0</f>
        <v>0</v>
      </c>
      <c r="AP90" s="54">
        <f>H90*(1-0)</f>
        <v>0</v>
      </c>
      <c r="AQ90" s="56" t="s">
        <v>119</v>
      </c>
      <c r="AV90" s="54">
        <f>AW90+AX90</f>
        <v>0</v>
      </c>
      <c r="AW90" s="54">
        <f>G90*AO90</f>
        <v>0</v>
      </c>
      <c r="AX90" s="54">
        <f>G90*AP90</f>
        <v>0</v>
      </c>
      <c r="AY90" s="56" t="s">
        <v>1558</v>
      </c>
      <c r="AZ90" s="56" t="s">
        <v>1529</v>
      </c>
      <c r="BA90" s="34" t="s">
        <v>1520</v>
      </c>
      <c r="BC90" s="54">
        <f>AW90+AX90</f>
        <v>0</v>
      </c>
      <c r="BD90" s="54">
        <f>H90/(100-BE90)*100</f>
        <v>0</v>
      </c>
      <c r="BE90" s="54">
        <v>0</v>
      </c>
      <c r="BF90" s="54">
        <f>L90</f>
        <v>0</v>
      </c>
      <c r="BH90" s="54">
        <f>G90*AO90</f>
        <v>0</v>
      </c>
      <c r="BI90" s="54">
        <f>G90*AP90</f>
        <v>0</v>
      </c>
      <c r="BJ90" s="54">
        <f>G90*H90</f>
        <v>0</v>
      </c>
      <c r="BK90" s="54"/>
      <c r="BL90" s="54"/>
      <c r="BW90" s="54">
        <v>21</v>
      </c>
      <c r="BX90" s="3" t="s">
        <v>1645</v>
      </c>
    </row>
    <row r="91" spans="1:76" ht="25" x14ac:dyDescent="0.35">
      <c r="A91" s="64" t="s">
        <v>470</v>
      </c>
      <c r="B91" s="65" t="s">
        <v>1512</v>
      </c>
      <c r="C91" s="65" t="s">
        <v>1646</v>
      </c>
      <c r="D91" s="217" t="s">
        <v>1647</v>
      </c>
      <c r="E91" s="218"/>
      <c r="F91" s="65" t="s">
        <v>196</v>
      </c>
      <c r="G91" s="67">
        <f>'Stavební rozpočet'!G750</f>
        <v>25</v>
      </c>
      <c r="H91" s="95">
        <f>'Stavební rozpočet'!H750</f>
        <v>0</v>
      </c>
      <c r="I91" s="67">
        <f>G91*H91</f>
        <v>0</v>
      </c>
      <c r="J91" s="67">
        <f>'Stavební rozpočet'!J750</f>
        <v>0</v>
      </c>
      <c r="K91" s="67">
        <f>'Stavební rozpočet'!K750</f>
        <v>0</v>
      </c>
      <c r="L91" s="67">
        <f>G91*J91</f>
        <v>0</v>
      </c>
      <c r="M91" s="68" t="s">
        <v>10</v>
      </c>
      <c r="Z91" s="54">
        <f>IF(AQ91="5",BJ91,0)</f>
        <v>0</v>
      </c>
      <c r="AB91" s="54">
        <f>IF(AQ91="1",BH91,0)</f>
        <v>0</v>
      </c>
      <c r="AC91" s="54">
        <f>IF(AQ91="1",BI91,0)</f>
        <v>0</v>
      </c>
      <c r="AD91" s="54">
        <f>IF(AQ91="7",BH91,0)</f>
        <v>0</v>
      </c>
      <c r="AE91" s="54">
        <f>IF(AQ91="7",BI91,0)</f>
        <v>0</v>
      </c>
      <c r="AF91" s="54">
        <f>IF(AQ91="2",BH91,0)</f>
        <v>0</v>
      </c>
      <c r="AG91" s="54">
        <f>IF(AQ91="2",BI91,0)</f>
        <v>0</v>
      </c>
      <c r="AH91" s="54">
        <f>IF(AQ91="0",BJ91,0)</f>
        <v>0</v>
      </c>
      <c r="AI91" s="34" t="s">
        <v>1512</v>
      </c>
      <c r="AJ91" s="67">
        <f>IF(AN91=0,I91,0)</f>
        <v>0</v>
      </c>
      <c r="AK91" s="67">
        <f>IF(AN91=12,I91,0)</f>
        <v>0</v>
      </c>
      <c r="AL91" s="67">
        <f>IF(AN91=21,I91,0)</f>
        <v>0</v>
      </c>
      <c r="AN91" s="54">
        <v>21</v>
      </c>
      <c r="AO91" s="54">
        <f>H91*1</f>
        <v>0</v>
      </c>
      <c r="AP91" s="54">
        <f>H91*(1-1)</f>
        <v>0</v>
      </c>
      <c r="AQ91" s="69" t="s">
        <v>107</v>
      </c>
      <c r="AV91" s="54">
        <f>AW91+AX91</f>
        <v>0</v>
      </c>
      <c r="AW91" s="54">
        <f>G91*AO91</f>
        <v>0</v>
      </c>
      <c r="AX91" s="54">
        <f>G91*AP91</f>
        <v>0</v>
      </c>
      <c r="AY91" s="56" t="s">
        <v>1558</v>
      </c>
      <c r="AZ91" s="56" t="s">
        <v>1529</v>
      </c>
      <c r="BA91" s="34" t="s">
        <v>1520</v>
      </c>
      <c r="BC91" s="54">
        <f>AW91+AX91</f>
        <v>0</v>
      </c>
      <c r="BD91" s="54">
        <f>H91/(100-BE91)*100</f>
        <v>0</v>
      </c>
      <c r="BE91" s="54">
        <v>0</v>
      </c>
      <c r="BF91" s="54">
        <f>L91</f>
        <v>0</v>
      </c>
      <c r="BH91" s="67">
        <f>G91*AO91</f>
        <v>0</v>
      </c>
      <c r="BI91" s="67">
        <f>G91*AP91</f>
        <v>0</v>
      </c>
      <c r="BJ91" s="67">
        <f>G91*H91</f>
        <v>0</v>
      </c>
      <c r="BK91" s="67"/>
      <c r="BL91" s="54"/>
      <c r="BW91" s="54">
        <v>21</v>
      </c>
      <c r="BX91" s="66" t="s">
        <v>1647</v>
      </c>
    </row>
    <row r="92" spans="1:76" ht="14.5" x14ac:dyDescent="0.35">
      <c r="A92" s="57"/>
      <c r="D92" s="58" t="s">
        <v>406</v>
      </c>
      <c r="E92" s="59" t="s">
        <v>1648</v>
      </c>
      <c r="G92" s="60">
        <v>24</v>
      </c>
      <c r="M92" s="61"/>
    </row>
    <row r="93" spans="1:76" ht="14.5" x14ac:dyDescent="0.35">
      <c r="A93" s="57"/>
      <c r="D93" s="58" t="s">
        <v>629</v>
      </c>
      <c r="E93" s="59" t="s">
        <v>1151</v>
      </c>
      <c r="G93" s="60">
        <v>1</v>
      </c>
      <c r="M93" s="61"/>
    </row>
    <row r="94" spans="1:76" ht="14.5" x14ac:dyDescent="0.35">
      <c r="A94" s="1" t="s">
        <v>475</v>
      </c>
      <c r="B94" s="2" t="s">
        <v>1512</v>
      </c>
      <c r="C94" s="2" t="s">
        <v>1649</v>
      </c>
      <c r="D94" s="155" t="s">
        <v>1650</v>
      </c>
      <c r="E94" s="153"/>
      <c r="F94" s="2" t="s">
        <v>196</v>
      </c>
      <c r="G94" s="54">
        <f>'Stavební rozpočet'!G753</f>
        <v>11</v>
      </c>
      <c r="H94" s="94">
        <f>'Stavební rozpočet'!H753</f>
        <v>0</v>
      </c>
      <c r="I94" s="54">
        <f>G94*H94</f>
        <v>0</v>
      </c>
      <c r="J94" s="54">
        <f>'Stavební rozpočet'!J753</f>
        <v>0</v>
      </c>
      <c r="K94" s="54">
        <f>'Stavební rozpočet'!K753</f>
        <v>0</v>
      </c>
      <c r="L94" s="54">
        <f>G94*J94</f>
        <v>0</v>
      </c>
      <c r="M94" s="55" t="s">
        <v>111</v>
      </c>
      <c r="Z94" s="54">
        <f>IF(AQ94="5",BJ94,0)</f>
        <v>0</v>
      </c>
      <c r="AB94" s="54">
        <f>IF(AQ94="1",BH94,0)</f>
        <v>0</v>
      </c>
      <c r="AC94" s="54">
        <f>IF(AQ94="1",BI94,0)</f>
        <v>0</v>
      </c>
      <c r="AD94" s="54">
        <f>IF(AQ94="7",BH94,0)</f>
        <v>0</v>
      </c>
      <c r="AE94" s="54">
        <f>IF(AQ94="7",BI94,0)</f>
        <v>0</v>
      </c>
      <c r="AF94" s="54">
        <f>IF(AQ94="2",BH94,0)</f>
        <v>0</v>
      </c>
      <c r="AG94" s="54">
        <f>IF(AQ94="2",BI94,0)</f>
        <v>0</v>
      </c>
      <c r="AH94" s="54">
        <f>IF(AQ94="0",BJ94,0)</f>
        <v>0</v>
      </c>
      <c r="AI94" s="34" t="s">
        <v>1512</v>
      </c>
      <c r="AJ94" s="54">
        <f>IF(AN94=0,I94,0)</f>
        <v>0</v>
      </c>
      <c r="AK94" s="54">
        <f>IF(AN94=12,I94,0)</f>
        <v>0</v>
      </c>
      <c r="AL94" s="54">
        <f>IF(AN94=21,I94,0)</f>
        <v>0</v>
      </c>
      <c r="AN94" s="54">
        <v>21</v>
      </c>
      <c r="AO94" s="54">
        <f>H94*0</f>
        <v>0</v>
      </c>
      <c r="AP94" s="54">
        <f>H94*(1-0)</f>
        <v>0</v>
      </c>
      <c r="AQ94" s="56" t="s">
        <v>119</v>
      </c>
      <c r="AV94" s="54">
        <f>AW94+AX94</f>
        <v>0</v>
      </c>
      <c r="AW94" s="54">
        <f>G94*AO94</f>
        <v>0</v>
      </c>
      <c r="AX94" s="54">
        <f>G94*AP94</f>
        <v>0</v>
      </c>
      <c r="AY94" s="56" t="s">
        <v>1558</v>
      </c>
      <c r="AZ94" s="56" t="s">
        <v>1529</v>
      </c>
      <c r="BA94" s="34" t="s">
        <v>1520</v>
      </c>
      <c r="BC94" s="54">
        <f>AW94+AX94</f>
        <v>0</v>
      </c>
      <c r="BD94" s="54">
        <f>H94/(100-BE94)*100</f>
        <v>0</v>
      </c>
      <c r="BE94" s="54">
        <v>0</v>
      </c>
      <c r="BF94" s="54">
        <f>L94</f>
        <v>0</v>
      </c>
      <c r="BH94" s="54">
        <f>G94*AO94</f>
        <v>0</v>
      </c>
      <c r="BI94" s="54">
        <f>G94*AP94</f>
        <v>0</v>
      </c>
      <c r="BJ94" s="54">
        <f>G94*H94</f>
        <v>0</v>
      </c>
      <c r="BK94" s="54"/>
      <c r="BL94" s="54"/>
      <c r="BW94" s="54">
        <v>21</v>
      </c>
      <c r="BX94" s="3" t="s">
        <v>1650</v>
      </c>
    </row>
    <row r="95" spans="1:76" ht="14.5" x14ac:dyDescent="0.35">
      <c r="A95" s="57"/>
      <c r="D95" s="58" t="s">
        <v>203</v>
      </c>
      <c r="E95" s="59" t="s">
        <v>1651</v>
      </c>
      <c r="G95" s="60">
        <v>11</v>
      </c>
      <c r="M95" s="61"/>
    </row>
    <row r="96" spans="1:76" ht="25" x14ac:dyDescent="0.35">
      <c r="A96" s="64" t="s">
        <v>478</v>
      </c>
      <c r="B96" s="65" t="s">
        <v>1512</v>
      </c>
      <c r="C96" s="65" t="s">
        <v>1652</v>
      </c>
      <c r="D96" s="217" t="s">
        <v>1653</v>
      </c>
      <c r="E96" s="218"/>
      <c r="F96" s="65" t="s">
        <v>196</v>
      </c>
      <c r="G96" s="67">
        <f>'Stavební rozpočet'!G755</f>
        <v>11</v>
      </c>
      <c r="H96" s="95">
        <f>'Stavební rozpočet'!H755</f>
        <v>0</v>
      </c>
      <c r="I96" s="67">
        <f>G96*H96</f>
        <v>0</v>
      </c>
      <c r="J96" s="67">
        <f>'Stavební rozpočet'!J755</f>
        <v>0</v>
      </c>
      <c r="K96" s="67">
        <f>'Stavební rozpočet'!K755</f>
        <v>0</v>
      </c>
      <c r="L96" s="67">
        <f>G96*J96</f>
        <v>0</v>
      </c>
      <c r="M96" s="68" t="s">
        <v>10</v>
      </c>
      <c r="Z96" s="54">
        <f>IF(AQ96="5",BJ96,0)</f>
        <v>0</v>
      </c>
      <c r="AB96" s="54">
        <f>IF(AQ96="1",BH96,0)</f>
        <v>0</v>
      </c>
      <c r="AC96" s="54">
        <f>IF(AQ96="1",BI96,0)</f>
        <v>0</v>
      </c>
      <c r="AD96" s="54">
        <f>IF(AQ96="7",BH96,0)</f>
        <v>0</v>
      </c>
      <c r="AE96" s="54">
        <f>IF(AQ96="7",BI96,0)</f>
        <v>0</v>
      </c>
      <c r="AF96" s="54">
        <f>IF(AQ96="2",BH96,0)</f>
        <v>0</v>
      </c>
      <c r="AG96" s="54">
        <f>IF(AQ96="2",BI96,0)</f>
        <v>0</v>
      </c>
      <c r="AH96" s="54">
        <f>IF(AQ96="0",BJ96,0)</f>
        <v>0</v>
      </c>
      <c r="AI96" s="34" t="s">
        <v>1512</v>
      </c>
      <c r="AJ96" s="67">
        <f>IF(AN96=0,I96,0)</f>
        <v>0</v>
      </c>
      <c r="AK96" s="67">
        <f>IF(AN96=12,I96,0)</f>
        <v>0</v>
      </c>
      <c r="AL96" s="67">
        <f>IF(AN96=21,I96,0)</f>
        <v>0</v>
      </c>
      <c r="AN96" s="54">
        <v>21</v>
      </c>
      <c r="AO96" s="54">
        <f>H96*1</f>
        <v>0</v>
      </c>
      <c r="AP96" s="54">
        <f>H96*(1-1)</f>
        <v>0</v>
      </c>
      <c r="AQ96" s="69" t="s">
        <v>107</v>
      </c>
      <c r="AV96" s="54">
        <f>AW96+AX96</f>
        <v>0</v>
      </c>
      <c r="AW96" s="54">
        <f>G96*AO96</f>
        <v>0</v>
      </c>
      <c r="AX96" s="54">
        <f>G96*AP96</f>
        <v>0</v>
      </c>
      <c r="AY96" s="56" t="s">
        <v>1558</v>
      </c>
      <c r="AZ96" s="56" t="s">
        <v>1529</v>
      </c>
      <c r="BA96" s="34" t="s">
        <v>1520</v>
      </c>
      <c r="BC96" s="54">
        <f>AW96+AX96</f>
        <v>0</v>
      </c>
      <c r="BD96" s="54">
        <f>H96/(100-BE96)*100</f>
        <v>0</v>
      </c>
      <c r="BE96" s="54">
        <v>0</v>
      </c>
      <c r="BF96" s="54">
        <f>L96</f>
        <v>0</v>
      </c>
      <c r="BH96" s="67">
        <f>G96*AO96</f>
        <v>0</v>
      </c>
      <c r="BI96" s="67">
        <f>G96*AP96</f>
        <v>0</v>
      </c>
      <c r="BJ96" s="67">
        <f>G96*H96</f>
        <v>0</v>
      </c>
      <c r="BK96" s="67"/>
      <c r="BL96" s="54"/>
      <c r="BW96" s="54">
        <v>21</v>
      </c>
      <c r="BX96" s="66" t="s">
        <v>1653</v>
      </c>
    </row>
    <row r="97" spans="1:76" ht="13.5" customHeight="1" x14ac:dyDescent="0.35">
      <c r="A97" s="57"/>
      <c r="C97" s="62" t="s">
        <v>122</v>
      </c>
      <c r="D97" s="214" t="s">
        <v>1654</v>
      </c>
      <c r="E97" s="215"/>
      <c r="F97" s="215"/>
      <c r="G97" s="215"/>
      <c r="H97" s="215"/>
      <c r="I97" s="215"/>
      <c r="J97" s="215"/>
      <c r="K97" s="215"/>
      <c r="L97" s="215"/>
      <c r="M97" s="216"/>
    </row>
    <row r="98" spans="1:76" ht="14.5" x14ac:dyDescent="0.35">
      <c r="A98" s="57"/>
      <c r="D98" s="58" t="s">
        <v>354</v>
      </c>
      <c r="E98" s="59" t="s">
        <v>1655</v>
      </c>
      <c r="G98" s="60">
        <v>11</v>
      </c>
      <c r="M98" s="61"/>
    </row>
    <row r="99" spans="1:76" ht="14.5" x14ac:dyDescent="0.35">
      <c r="A99" s="1" t="s">
        <v>485</v>
      </c>
      <c r="B99" s="2" t="s">
        <v>1512</v>
      </c>
      <c r="C99" s="2" t="s">
        <v>1656</v>
      </c>
      <c r="D99" s="155" t="s">
        <v>1657</v>
      </c>
      <c r="E99" s="153"/>
      <c r="F99" s="2" t="s">
        <v>196</v>
      </c>
      <c r="G99" s="54">
        <f>'Stavební rozpočet'!G757</f>
        <v>29</v>
      </c>
      <c r="H99" s="94">
        <f>'Stavební rozpočet'!H757</f>
        <v>0</v>
      </c>
      <c r="I99" s="54">
        <f>G99*H99</f>
        <v>0</v>
      </c>
      <c r="J99" s="54">
        <f>'Stavební rozpočet'!J757</f>
        <v>0</v>
      </c>
      <c r="K99" s="54">
        <f>'Stavební rozpočet'!K757</f>
        <v>0</v>
      </c>
      <c r="L99" s="54">
        <f>G99*J99</f>
        <v>0</v>
      </c>
      <c r="M99" s="55" t="s">
        <v>111</v>
      </c>
      <c r="Z99" s="54">
        <f>IF(AQ99="5",BJ99,0)</f>
        <v>0</v>
      </c>
      <c r="AB99" s="54">
        <f>IF(AQ99="1",BH99,0)</f>
        <v>0</v>
      </c>
      <c r="AC99" s="54">
        <f>IF(AQ99="1",BI99,0)</f>
        <v>0</v>
      </c>
      <c r="AD99" s="54">
        <f>IF(AQ99="7",BH99,0)</f>
        <v>0</v>
      </c>
      <c r="AE99" s="54">
        <f>IF(AQ99="7",BI99,0)</f>
        <v>0</v>
      </c>
      <c r="AF99" s="54">
        <f>IF(AQ99="2",BH99,0)</f>
        <v>0</v>
      </c>
      <c r="AG99" s="54">
        <f>IF(AQ99="2",BI99,0)</f>
        <v>0</v>
      </c>
      <c r="AH99" s="54">
        <f>IF(AQ99="0",BJ99,0)</f>
        <v>0</v>
      </c>
      <c r="AI99" s="34" t="s">
        <v>1512</v>
      </c>
      <c r="AJ99" s="54">
        <f>IF(AN99=0,I99,0)</f>
        <v>0</v>
      </c>
      <c r="AK99" s="54">
        <f>IF(AN99=12,I99,0)</f>
        <v>0</v>
      </c>
      <c r="AL99" s="54">
        <f>IF(AN99=21,I99,0)</f>
        <v>0</v>
      </c>
      <c r="AN99" s="54">
        <v>21</v>
      </c>
      <c r="AO99" s="54">
        <f>H99*0</f>
        <v>0</v>
      </c>
      <c r="AP99" s="54">
        <f>H99*(1-0)</f>
        <v>0</v>
      </c>
      <c r="AQ99" s="56" t="s">
        <v>119</v>
      </c>
      <c r="AV99" s="54">
        <f>AW99+AX99</f>
        <v>0</v>
      </c>
      <c r="AW99" s="54">
        <f>G99*AO99</f>
        <v>0</v>
      </c>
      <c r="AX99" s="54">
        <f>G99*AP99</f>
        <v>0</v>
      </c>
      <c r="AY99" s="56" t="s">
        <v>1558</v>
      </c>
      <c r="AZ99" s="56" t="s">
        <v>1529</v>
      </c>
      <c r="BA99" s="34" t="s">
        <v>1520</v>
      </c>
      <c r="BC99" s="54">
        <f>AW99+AX99</f>
        <v>0</v>
      </c>
      <c r="BD99" s="54">
        <f>H99/(100-BE99)*100</f>
        <v>0</v>
      </c>
      <c r="BE99" s="54">
        <v>0</v>
      </c>
      <c r="BF99" s="54">
        <f>L99</f>
        <v>0</v>
      </c>
      <c r="BH99" s="54">
        <f>G99*AO99</f>
        <v>0</v>
      </c>
      <c r="BI99" s="54">
        <f>G99*AP99</f>
        <v>0</v>
      </c>
      <c r="BJ99" s="54">
        <f>G99*H99</f>
        <v>0</v>
      </c>
      <c r="BK99" s="54"/>
      <c r="BL99" s="54"/>
      <c r="BW99" s="54">
        <v>21</v>
      </c>
      <c r="BX99" s="3" t="s">
        <v>1657</v>
      </c>
    </row>
    <row r="100" spans="1:76" ht="14.5" x14ac:dyDescent="0.35">
      <c r="A100" s="57"/>
      <c r="D100" s="58" t="s">
        <v>198</v>
      </c>
      <c r="E100" s="59" t="s">
        <v>199</v>
      </c>
      <c r="G100" s="60">
        <v>24</v>
      </c>
      <c r="M100" s="61"/>
    </row>
    <row r="101" spans="1:76" ht="14.5" x14ac:dyDescent="0.35">
      <c r="A101" s="57"/>
      <c r="D101" s="58" t="s">
        <v>107</v>
      </c>
      <c r="E101" s="59" t="s">
        <v>1658</v>
      </c>
      <c r="G101" s="60">
        <v>1</v>
      </c>
      <c r="M101" s="61"/>
    </row>
    <row r="102" spans="1:76" ht="14.5" x14ac:dyDescent="0.35">
      <c r="A102" s="57"/>
      <c r="D102" s="58" t="s">
        <v>107</v>
      </c>
      <c r="E102" s="59" t="s">
        <v>1659</v>
      </c>
      <c r="G102" s="60">
        <v>1</v>
      </c>
      <c r="M102" s="61"/>
    </row>
    <row r="103" spans="1:76" ht="14.5" x14ac:dyDescent="0.35">
      <c r="A103" s="57"/>
      <c r="D103" s="58" t="s">
        <v>107</v>
      </c>
      <c r="E103" s="59" t="s">
        <v>1660</v>
      </c>
      <c r="G103" s="60">
        <v>1</v>
      </c>
      <c r="M103" s="61"/>
    </row>
    <row r="104" spans="1:76" ht="14.5" x14ac:dyDescent="0.35">
      <c r="A104" s="57"/>
      <c r="D104" s="58" t="s">
        <v>1661</v>
      </c>
      <c r="E104" s="59" t="s">
        <v>1662</v>
      </c>
      <c r="G104" s="60">
        <v>2</v>
      </c>
      <c r="M104" s="61"/>
    </row>
    <row r="105" spans="1:76" ht="14.5" x14ac:dyDescent="0.35">
      <c r="A105" s="64" t="s">
        <v>490</v>
      </c>
      <c r="B105" s="65" t="s">
        <v>1512</v>
      </c>
      <c r="C105" s="65" t="s">
        <v>1663</v>
      </c>
      <c r="D105" s="217" t="s">
        <v>1664</v>
      </c>
      <c r="E105" s="218"/>
      <c r="F105" s="65" t="s">
        <v>196</v>
      </c>
      <c r="G105" s="67">
        <f>'Stavební rozpočet'!G763</f>
        <v>29</v>
      </c>
      <c r="H105" s="95">
        <f>'Stavební rozpočet'!H763</f>
        <v>0</v>
      </c>
      <c r="I105" s="67">
        <f>G105*H105</f>
        <v>0</v>
      </c>
      <c r="J105" s="67">
        <f>'Stavební rozpočet'!J763</f>
        <v>2.3E-3</v>
      </c>
      <c r="K105" s="67">
        <f>'Stavební rozpočet'!K763</f>
        <v>0</v>
      </c>
      <c r="L105" s="67">
        <f>G105*J105</f>
        <v>6.6699999999999995E-2</v>
      </c>
      <c r="M105" s="68" t="s">
        <v>111</v>
      </c>
      <c r="Z105" s="54">
        <f>IF(AQ105="5",BJ105,0)</f>
        <v>0</v>
      </c>
      <c r="AB105" s="54">
        <f>IF(AQ105="1",BH105,0)</f>
        <v>0</v>
      </c>
      <c r="AC105" s="54">
        <f>IF(AQ105="1",BI105,0)</f>
        <v>0</v>
      </c>
      <c r="AD105" s="54">
        <f>IF(AQ105="7",BH105,0)</f>
        <v>0</v>
      </c>
      <c r="AE105" s="54">
        <f>IF(AQ105="7",BI105,0)</f>
        <v>0</v>
      </c>
      <c r="AF105" s="54">
        <f>IF(AQ105="2",BH105,0)</f>
        <v>0</v>
      </c>
      <c r="AG105" s="54">
        <f>IF(AQ105="2",BI105,0)</f>
        <v>0</v>
      </c>
      <c r="AH105" s="54">
        <f>IF(AQ105="0",BJ105,0)</f>
        <v>0</v>
      </c>
      <c r="AI105" s="34" t="s">
        <v>1512</v>
      </c>
      <c r="AJ105" s="67">
        <f>IF(AN105=0,I105,0)</f>
        <v>0</v>
      </c>
      <c r="AK105" s="67">
        <f>IF(AN105=12,I105,0)</f>
        <v>0</v>
      </c>
      <c r="AL105" s="67">
        <f>IF(AN105=21,I105,0)</f>
        <v>0</v>
      </c>
      <c r="AN105" s="54">
        <v>21</v>
      </c>
      <c r="AO105" s="54">
        <f>H105*1</f>
        <v>0</v>
      </c>
      <c r="AP105" s="54">
        <f>H105*(1-1)</f>
        <v>0</v>
      </c>
      <c r="AQ105" s="69" t="s">
        <v>107</v>
      </c>
      <c r="AV105" s="54">
        <f>AW105+AX105</f>
        <v>0</v>
      </c>
      <c r="AW105" s="54">
        <f>G105*AO105</f>
        <v>0</v>
      </c>
      <c r="AX105" s="54">
        <f>G105*AP105</f>
        <v>0</v>
      </c>
      <c r="AY105" s="56" t="s">
        <v>1558</v>
      </c>
      <c r="AZ105" s="56" t="s">
        <v>1529</v>
      </c>
      <c r="BA105" s="34" t="s">
        <v>1520</v>
      </c>
      <c r="BC105" s="54">
        <f>AW105+AX105</f>
        <v>0</v>
      </c>
      <c r="BD105" s="54">
        <f>H105/(100-BE105)*100</f>
        <v>0</v>
      </c>
      <c r="BE105" s="54">
        <v>0</v>
      </c>
      <c r="BF105" s="54">
        <f>L105</f>
        <v>6.6699999999999995E-2</v>
      </c>
      <c r="BH105" s="67">
        <f>G105*AO105</f>
        <v>0</v>
      </c>
      <c r="BI105" s="67">
        <f>G105*AP105</f>
        <v>0</v>
      </c>
      <c r="BJ105" s="67">
        <f>G105*H105</f>
        <v>0</v>
      </c>
      <c r="BK105" s="67"/>
      <c r="BL105" s="54"/>
      <c r="BW105" s="54">
        <v>21</v>
      </c>
      <c r="BX105" s="66" t="s">
        <v>1664</v>
      </c>
    </row>
    <row r="106" spans="1:76" ht="14.5" x14ac:dyDescent="0.35">
      <c r="A106" s="57"/>
      <c r="D106" s="58" t="s">
        <v>374</v>
      </c>
      <c r="E106" s="59" t="s">
        <v>10</v>
      </c>
      <c r="G106" s="60">
        <v>29</v>
      </c>
      <c r="M106" s="61"/>
    </row>
    <row r="107" spans="1:76" ht="14.5" x14ac:dyDescent="0.35">
      <c r="A107" s="57"/>
      <c r="C107" s="62" t="s">
        <v>156</v>
      </c>
      <c r="D107" s="211" t="s">
        <v>1665</v>
      </c>
      <c r="E107" s="212"/>
      <c r="F107" s="212"/>
      <c r="G107" s="212"/>
      <c r="H107" s="212"/>
      <c r="I107" s="212"/>
      <c r="J107" s="212"/>
      <c r="K107" s="212"/>
      <c r="L107" s="212"/>
      <c r="M107" s="213"/>
      <c r="BX107" s="70" t="s">
        <v>1665</v>
      </c>
    </row>
    <row r="108" spans="1:76" ht="14.5" x14ac:dyDescent="0.35">
      <c r="A108" s="1" t="s">
        <v>498</v>
      </c>
      <c r="B108" s="2" t="s">
        <v>1512</v>
      </c>
      <c r="C108" s="2" t="s">
        <v>1666</v>
      </c>
      <c r="D108" s="155" t="s">
        <v>1667</v>
      </c>
      <c r="E108" s="153"/>
      <c r="F108" s="2" t="s">
        <v>196</v>
      </c>
      <c r="G108" s="54">
        <f>'Stavební rozpočet'!G765</f>
        <v>96</v>
      </c>
      <c r="H108" s="94">
        <f>'Stavební rozpočet'!H765</f>
        <v>0</v>
      </c>
      <c r="I108" s="54">
        <f>G108*H108</f>
        <v>0</v>
      </c>
      <c r="J108" s="54">
        <f>'Stavební rozpočet'!J765</f>
        <v>0</v>
      </c>
      <c r="K108" s="54">
        <f>'Stavební rozpočet'!K765</f>
        <v>0</v>
      </c>
      <c r="L108" s="54">
        <f>G108*J108</f>
        <v>0</v>
      </c>
      <c r="M108" s="55" t="s">
        <v>111</v>
      </c>
      <c r="Z108" s="54">
        <f>IF(AQ108="5",BJ108,0)</f>
        <v>0</v>
      </c>
      <c r="AB108" s="54">
        <f>IF(AQ108="1",BH108,0)</f>
        <v>0</v>
      </c>
      <c r="AC108" s="54">
        <f>IF(AQ108="1",BI108,0)</f>
        <v>0</v>
      </c>
      <c r="AD108" s="54">
        <f>IF(AQ108="7",BH108,0)</f>
        <v>0</v>
      </c>
      <c r="AE108" s="54">
        <f>IF(AQ108="7",BI108,0)</f>
        <v>0</v>
      </c>
      <c r="AF108" s="54">
        <f>IF(AQ108="2",BH108,0)</f>
        <v>0</v>
      </c>
      <c r="AG108" s="54">
        <f>IF(AQ108="2",BI108,0)</f>
        <v>0</v>
      </c>
      <c r="AH108" s="54">
        <f>IF(AQ108="0",BJ108,0)</f>
        <v>0</v>
      </c>
      <c r="AI108" s="34" t="s">
        <v>1512</v>
      </c>
      <c r="AJ108" s="54">
        <f>IF(AN108=0,I108,0)</f>
        <v>0</v>
      </c>
      <c r="AK108" s="54">
        <f>IF(AN108=12,I108,0)</f>
        <v>0</v>
      </c>
      <c r="AL108" s="54">
        <f>IF(AN108=21,I108,0)</f>
        <v>0</v>
      </c>
      <c r="AN108" s="54">
        <v>21</v>
      </c>
      <c r="AO108" s="54">
        <f>H108*0</f>
        <v>0</v>
      </c>
      <c r="AP108" s="54">
        <f>H108*(1-0)</f>
        <v>0</v>
      </c>
      <c r="AQ108" s="56" t="s">
        <v>119</v>
      </c>
      <c r="AV108" s="54">
        <f>AW108+AX108</f>
        <v>0</v>
      </c>
      <c r="AW108" s="54">
        <f>G108*AO108</f>
        <v>0</v>
      </c>
      <c r="AX108" s="54">
        <f>G108*AP108</f>
        <v>0</v>
      </c>
      <c r="AY108" s="56" t="s">
        <v>1558</v>
      </c>
      <c r="AZ108" s="56" t="s">
        <v>1529</v>
      </c>
      <c r="BA108" s="34" t="s">
        <v>1520</v>
      </c>
      <c r="BC108" s="54">
        <f>AW108+AX108</f>
        <v>0</v>
      </c>
      <c r="BD108" s="54">
        <f>H108/(100-BE108)*100</f>
        <v>0</v>
      </c>
      <c r="BE108" s="54">
        <v>0</v>
      </c>
      <c r="BF108" s="54">
        <f>L108</f>
        <v>0</v>
      </c>
      <c r="BH108" s="54">
        <f>G108*AO108</f>
        <v>0</v>
      </c>
      <c r="BI108" s="54">
        <f>G108*AP108</f>
        <v>0</v>
      </c>
      <c r="BJ108" s="54">
        <f>G108*H108</f>
        <v>0</v>
      </c>
      <c r="BK108" s="54"/>
      <c r="BL108" s="54"/>
      <c r="BW108" s="54">
        <v>21</v>
      </c>
      <c r="BX108" s="3" t="s">
        <v>1667</v>
      </c>
    </row>
    <row r="109" spans="1:76" ht="25" x14ac:dyDescent="0.35">
      <c r="A109" s="1" t="s">
        <v>505</v>
      </c>
      <c r="B109" s="2" t="s">
        <v>1512</v>
      </c>
      <c r="C109" s="2" t="s">
        <v>1668</v>
      </c>
      <c r="D109" s="155" t="s">
        <v>1669</v>
      </c>
      <c r="E109" s="153"/>
      <c r="F109" s="2" t="s">
        <v>196</v>
      </c>
      <c r="G109" s="54">
        <f>'Stavební rozpočet'!G766</f>
        <v>96</v>
      </c>
      <c r="H109" s="94">
        <f>'Stavební rozpočet'!H766</f>
        <v>0</v>
      </c>
      <c r="I109" s="54">
        <f>G109*H109</f>
        <v>0</v>
      </c>
      <c r="J109" s="54">
        <f>'Stavební rozpočet'!J766</f>
        <v>0</v>
      </c>
      <c r="K109" s="54">
        <f>'Stavební rozpočet'!K766</f>
        <v>0</v>
      </c>
      <c r="L109" s="54">
        <f>G109*J109</f>
        <v>0</v>
      </c>
      <c r="M109" s="55" t="s">
        <v>10</v>
      </c>
      <c r="Z109" s="54">
        <f>IF(AQ109="5",BJ109,0)</f>
        <v>0</v>
      </c>
      <c r="AB109" s="54">
        <f>IF(AQ109="1",BH109,0)</f>
        <v>0</v>
      </c>
      <c r="AC109" s="54">
        <f>IF(AQ109="1",BI109,0)</f>
        <v>0</v>
      </c>
      <c r="AD109" s="54">
        <f>IF(AQ109="7",BH109,0)</f>
        <v>0</v>
      </c>
      <c r="AE109" s="54">
        <f>IF(AQ109="7",BI109,0)</f>
        <v>0</v>
      </c>
      <c r="AF109" s="54">
        <f>IF(AQ109="2",BH109,0)</f>
        <v>0</v>
      </c>
      <c r="AG109" s="54">
        <f>IF(AQ109="2",BI109,0)</f>
        <v>0</v>
      </c>
      <c r="AH109" s="54">
        <f>IF(AQ109="0",BJ109,0)</f>
        <v>0</v>
      </c>
      <c r="AI109" s="34" t="s">
        <v>1512</v>
      </c>
      <c r="AJ109" s="54">
        <f>IF(AN109=0,I109,0)</f>
        <v>0</v>
      </c>
      <c r="AK109" s="54">
        <f>IF(AN109=12,I109,0)</f>
        <v>0</v>
      </c>
      <c r="AL109" s="54">
        <f>IF(AN109=21,I109,0)</f>
        <v>0</v>
      </c>
      <c r="AN109" s="54">
        <v>21</v>
      </c>
      <c r="AO109" s="54">
        <f>H109*1</f>
        <v>0</v>
      </c>
      <c r="AP109" s="54">
        <f>H109*(1-1)</f>
        <v>0</v>
      </c>
      <c r="AQ109" s="56" t="s">
        <v>107</v>
      </c>
      <c r="AV109" s="54">
        <f>AW109+AX109</f>
        <v>0</v>
      </c>
      <c r="AW109" s="54">
        <f>G109*AO109</f>
        <v>0</v>
      </c>
      <c r="AX109" s="54">
        <f>G109*AP109</f>
        <v>0</v>
      </c>
      <c r="AY109" s="56" t="s">
        <v>1558</v>
      </c>
      <c r="AZ109" s="56" t="s">
        <v>1529</v>
      </c>
      <c r="BA109" s="34" t="s">
        <v>1520</v>
      </c>
      <c r="BC109" s="54">
        <f>AW109+AX109</f>
        <v>0</v>
      </c>
      <c r="BD109" s="54">
        <f>H109/(100-BE109)*100</f>
        <v>0</v>
      </c>
      <c r="BE109" s="54">
        <v>0</v>
      </c>
      <c r="BF109" s="54">
        <f>L109</f>
        <v>0</v>
      </c>
      <c r="BH109" s="54">
        <f>G109*AO109</f>
        <v>0</v>
      </c>
      <c r="BI109" s="54">
        <f>G109*AP109</f>
        <v>0</v>
      </c>
      <c r="BJ109" s="54">
        <f>G109*H109</f>
        <v>0</v>
      </c>
      <c r="BK109" s="54"/>
      <c r="BL109" s="54"/>
      <c r="BW109" s="54">
        <v>21</v>
      </c>
      <c r="BX109" s="3" t="s">
        <v>1669</v>
      </c>
    </row>
    <row r="110" spans="1:76" ht="13.5" customHeight="1" x14ac:dyDescent="0.35">
      <c r="A110" s="57"/>
      <c r="C110" s="62" t="s">
        <v>122</v>
      </c>
      <c r="D110" s="214" t="s">
        <v>1670</v>
      </c>
      <c r="E110" s="215"/>
      <c r="F110" s="215"/>
      <c r="G110" s="215"/>
      <c r="H110" s="215"/>
      <c r="I110" s="215"/>
      <c r="J110" s="215"/>
      <c r="K110" s="215"/>
      <c r="L110" s="215"/>
      <c r="M110" s="216"/>
    </row>
    <row r="111" spans="1:76" ht="14.5" x14ac:dyDescent="0.35">
      <c r="A111" s="57"/>
      <c r="D111" s="58" t="s">
        <v>521</v>
      </c>
      <c r="E111" s="59" t="s">
        <v>1671</v>
      </c>
      <c r="G111" s="60">
        <v>96</v>
      </c>
      <c r="M111" s="61"/>
    </row>
    <row r="112" spans="1:76" ht="14.5" x14ac:dyDescent="0.35">
      <c r="A112" s="1" t="s">
        <v>512</v>
      </c>
      <c r="B112" s="2" t="s">
        <v>1512</v>
      </c>
      <c r="C112" s="2" t="s">
        <v>1672</v>
      </c>
      <c r="D112" s="155" t="s">
        <v>1673</v>
      </c>
      <c r="E112" s="153"/>
      <c r="F112" s="2" t="s">
        <v>153</v>
      </c>
      <c r="G112" s="54">
        <f>'Stavební rozpočet'!G768</f>
        <v>5</v>
      </c>
      <c r="H112" s="94">
        <f>'Stavební rozpočet'!H768</f>
        <v>0</v>
      </c>
      <c r="I112" s="54">
        <f t="shared" ref="I112:I117" si="24">G112*H112</f>
        <v>0</v>
      </c>
      <c r="J112" s="54">
        <f>'Stavební rozpočet'!J768</f>
        <v>0</v>
      </c>
      <c r="K112" s="54">
        <f>'Stavební rozpočet'!K768</f>
        <v>0</v>
      </c>
      <c r="L112" s="54">
        <f t="shared" ref="L112:L117" si="25">G112*J112</f>
        <v>0</v>
      </c>
      <c r="M112" s="55" t="s">
        <v>111</v>
      </c>
      <c r="Z112" s="54">
        <f t="shared" ref="Z112:Z117" si="26">IF(AQ112="5",BJ112,0)</f>
        <v>0</v>
      </c>
      <c r="AB112" s="54">
        <f t="shared" ref="AB112:AB117" si="27">IF(AQ112="1",BH112,0)</f>
        <v>0</v>
      </c>
      <c r="AC112" s="54">
        <f t="shared" ref="AC112:AC117" si="28">IF(AQ112="1",BI112,0)</f>
        <v>0</v>
      </c>
      <c r="AD112" s="54">
        <f t="shared" ref="AD112:AD117" si="29">IF(AQ112="7",BH112,0)</f>
        <v>0</v>
      </c>
      <c r="AE112" s="54">
        <f t="shared" ref="AE112:AE117" si="30">IF(AQ112="7",BI112,0)</f>
        <v>0</v>
      </c>
      <c r="AF112" s="54">
        <f t="shared" ref="AF112:AF117" si="31">IF(AQ112="2",BH112,0)</f>
        <v>0</v>
      </c>
      <c r="AG112" s="54">
        <f t="shared" ref="AG112:AG117" si="32">IF(AQ112="2",BI112,0)</f>
        <v>0</v>
      </c>
      <c r="AH112" s="54">
        <f t="shared" ref="AH112:AH117" si="33">IF(AQ112="0",BJ112,0)</f>
        <v>0</v>
      </c>
      <c r="AI112" s="34" t="s">
        <v>1512</v>
      </c>
      <c r="AJ112" s="54">
        <f t="shared" ref="AJ112:AJ117" si="34">IF(AN112=0,I112,0)</f>
        <v>0</v>
      </c>
      <c r="AK112" s="54">
        <f t="shared" ref="AK112:AK117" si="35">IF(AN112=12,I112,0)</f>
        <v>0</v>
      </c>
      <c r="AL112" s="54">
        <f t="shared" ref="AL112:AL117" si="36">IF(AN112=21,I112,0)</f>
        <v>0</v>
      </c>
      <c r="AN112" s="54">
        <v>21</v>
      </c>
      <c r="AO112" s="54">
        <f>H112*0</f>
        <v>0</v>
      </c>
      <c r="AP112" s="54">
        <f>H112*(1-0)</f>
        <v>0</v>
      </c>
      <c r="AQ112" s="56" t="s">
        <v>119</v>
      </c>
      <c r="AV112" s="54">
        <f t="shared" ref="AV112:AV117" si="37">AW112+AX112</f>
        <v>0</v>
      </c>
      <c r="AW112" s="54">
        <f t="shared" ref="AW112:AW117" si="38">G112*AO112</f>
        <v>0</v>
      </c>
      <c r="AX112" s="54">
        <f t="shared" ref="AX112:AX117" si="39">G112*AP112</f>
        <v>0</v>
      </c>
      <c r="AY112" s="56" t="s">
        <v>1558</v>
      </c>
      <c r="AZ112" s="56" t="s">
        <v>1529</v>
      </c>
      <c r="BA112" s="34" t="s">
        <v>1520</v>
      </c>
      <c r="BC112" s="54">
        <f t="shared" ref="BC112:BC117" si="40">AW112+AX112</f>
        <v>0</v>
      </c>
      <c r="BD112" s="54">
        <f t="shared" ref="BD112:BD117" si="41">H112/(100-BE112)*100</f>
        <v>0</v>
      </c>
      <c r="BE112" s="54">
        <v>0</v>
      </c>
      <c r="BF112" s="54">
        <f t="shared" ref="BF112:BF117" si="42">L112</f>
        <v>0</v>
      </c>
      <c r="BH112" s="54">
        <f t="shared" ref="BH112:BH117" si="43">G112*AO112</f>
        <v>0</v>
      </c>
      <c r="BI112" s="54">
        <f t="shared" ref="BI112:BI117" si="44">G112*AP112</f>
        <v>0</v>
      </c>
      <c r="BJ112" s="54">
        <f t="shared" ref="BJ112:BJ117" si="45">G112*H112</f>
        <v>0</v>
      </c>
      <c r="BK112" s="54"/>
      <c r="BL112" s="54"/>
      <c r="BW112" s="54">
        <v>21</v>
      </c>
      <c r="BX112" s="3" t="s">
        <v>1673</v>
      </c>
    </row>
    <row r="113" spans="1:76" ht="14.5" x14ac:dyDescent="0.35">
      <c r="A113" s="1" t="s">
        <v>517</v>
      </c>
      <c r="B113" s="2" t="s">
        <v>1512</v>
      </c>
      <c r="C113" s="2" t="s">
        <v>1674</v>
      </c>
      <c r="D113" s="155" t="s">
        <v>1675</v>
      </c>
      <c r="E113" s="153"/>
      <c r="F113" s="2" t="s">
        <v>153</v>
      </c>
      <c r="G113" s="54">
        <f>'Stavební rozpočet'!G769</f>
        <v>1600</v>
      </c>
      <c r="H113" s="94">
        <f>'Stavební rozpočet'!H769</f>
        <v>0</v>
      </c>
      <c r="I113" s="54">
        <f t="shared" si="24"/>
        <v>0</v>
      </c>
      <c r="J113" s="54">
        <f>'Stavební rozpočet'!J769</f>
        <v>0</v>
      </c>
      <c r="K113" s="54">
        <f>'Stavební rozpočet'!K769</f>
        <v>0</v>
      </c>
      <c r="L113" s="54">
        <f t="shared" si="25"/>
        <v>0</v>
      </c>
      <c r="M113" s="55" t="s">
        <v>111</v>
      </c>
      <c r="Z113" s="54">
        <f t="shared" si="26"/>
        <v>0</v>
      </c>
      <c r="AB113" s="54">
        <f t="shared" si="27"/>
        <v>0</v>
      </c>
      <c r="AC113" s="54">
        <f t="shared" si="28"/>
        <v>0</v>
      </c>
      <c r="AD113" s="54">
        <f t="shared" si="29"/>
        <v>0</v>
      </c>
      <c r="AE113" s="54">
        <f t="shared" si="30"/>
        <v>0</v>
      </c>
      <c r="AF113" s="54">
        <f t="shared" si="31"/>
        <v>0</v>
      </c>
      <c r="AG113" s="54">
        <f t="shared" si="32"/>
        <v>0</v>
      </c>
      <c r="AH113" s="54">
        <f t="shared" si="33"/>
        <v>0</v>
      </c>
      <c r="AI113" s="34" t="s">
        <v>1512</v>
      </c>
      <c r="AJ113" s="54">
        <f t="shared" si="34"/>
        <v>0</v>
      </c>
      <c r="AK113" s="54">
        <f t="shared" si="35"/>
        <v>0</v>
      </c>
      <c r="AL113" s="54">
        <f t="shared" si="36"/>
        <v>0</v>
      </c>
      <c r="AN113" s="54">
        <v>21</v>
      </c>
      <c r="AO113" s="54">
        <f>H113*0</f>
        <v>0</v>
      </c>
      <c r="AP113" s="54">
        <f>H113*(1-0)</f>
        <v>0</v>
      </c>
      <c r="AQ113" s="56" t="s">
        <v>119</v>
      </c>
      <c r="AV113" s="54">
        <f t="shared" si="37"/>
        <v>0</v>
      </c>
      <c r="AW113" s="54">
        <f t="shared" si="38"/>
        <v>0</v>
      </c>
      <c r="AX113" s="54">
        <f t="shared" si="39"/>
        <v>0</v>
      </c>
      <c r="AY113" s="56" t="s">
        <v>1558</v>
      </c>
      <c r="AZ113" s="56" t="s">
        <v>1529</v>
      </c>
      <c r="BA113" s="34" t="s">
        <v>1520</v>
      </c>
      <c r="BC113" s="54">
        <f t="shared" si="40"/>
        <v>0</v>
      </c>
      <c r="BD113" s="54">
        <f t="shared" si="41"/>
        <v>0</v>
      </c>
      <c r="BE113" s="54">
        <v>0</v>
      </c>
      <c r="BF113" s="54">
        <f t="shared" si="42"/>
        <v>0</v>
      </c>
      <c r="BH113" s="54">
        <f t="shared" si="43"/>
        <v>0</v>
      </c>
      <c r="BI113" s="54">
        <f t="shared" si="44"/>
        <v>0</v>
      </c>
      <c r="BJ113" s="54">
        <f t="shared" si="45"/>
        <v>0</v>
      </c>
      <c r="BK113" s="54"/>
      <c r="BL113" s="54"/>
      <c r="BW113" s="54">
        <v>21</v>
      </c>
      <c r="BX113" s="3" t="s">
        <v>1675</v>
      </c>
    </row>
    <row r="114" spans="1:76" ht="14.5" x14ac:dyDescent="0.35">
      <c r="A114" s="1" t="s">
        <v>523</v>
      </c>
      <c r="B114" s="2" t="s">
        <v>1512</v>
      </c>
      <c r="C114" s="2" t="s">
        <v>1676</v>
      </c>
      <c r="D114" s="155" t="s">
        <v>1677</v>
      </c>
      <c r="E114" s="153"/>
      <c r="F114" s="2" t="s">
        <v>153</v>
      </c>
      <c r="G114" s="54">
        <f>'Stavební rozpočet'!G770</f>
        <v>1100</v>
      </c>
      <c r="H114" s="94">
        <f>'Stavební rozpočet'!H770</f>
        <v>0</v>
      </c>
      <c r="I114" s="54">
        <f t="shared" si="24"/>
        <v>0</v>
      </c>
      <c r="J114" s="54">
        <f>'Stavební rozpočet'!J770</f>
        <v>0</v>
      </c>
      <c r="K114" s="54">
        <f>'Stavební rozpočet'!K770</f>
        <v>0</v>
      </c>
      <c r="L114" s="54">
        <f t="shared" si="25"/>
        <v>0</v>
      </c>
      <c r="M114" s="55" t="s">
        <v>111</v>
      </c>
      <c r="Z114" s="54">
        <f t="shared" si="26"/>
        <v>0</v>
      </c>
      <c r="AB114" s="54">
        <f t="shared" si="27"/>
        <v>0</v>
      </c>
      <c r="AC114" s="54">
        <f t="shared" si="28"/>
        <v>0</v>
      </c>
      <c r="AD114" s="54">
        <f t="shared" si="29"/>
        <v>0</v>
      </c>
      <c r="AE114" s="54">
        <f t="shared" si="30"/>
        <v>0</v>
      </c>
      <c r="AF114" s="54">
        <f t="shared" si="31"/>
        <v>0</v>
      </c>
      <c r="AG114" s="54">
        <f t="shared" si="32"/>
        <v>0</v>
      </c>
      <c r="AH114" s="54">
        <f t="shared" si="33"/>
        <v>0</v>
      </c>
      <c r="AI114" s="34" t="s">
        <v>1512</v>
      </c>
      <c r="AJ114" s="54">
        <f t="shared" si="34"/>
        <v>0</v>
      </c>
      <c r="AK114" s="54">
        <f t="shared" si="35"/>
        <v>0</v>
      </c>
      <c r="AL114" s="54">
        <f t="shared" si="36"/>
        <v>0</v>
      </c>
      <c r="AN114" s="54">
        <v>21</v>
      </c>
      <c r="AO114" s="54">
        <f>H114*0</f>
        <v>0</v>
      </c>
      <c r="AP114" s="54">
        <f>H114*(1-0)</f>
        <v>0</v>
      </c>
      <c r="AQ114" s="56" t="s">
        <v>119</v>
      </c>
      <c r="AV114" s="54">
        <f t="shared" si="37"/>
        <v>0</v>
      </c>
      <c r="AW114" s="54">
        <f t="shared" si="38"/>
        <v>0</v>
      </c>
      <c r="AX114" s="54">
        <f t="shared" si="39"/>
        <v>0</v>
      </c>
      <c r="AY114" s="56" t="s">
        <v>1558</v>
      </c>
      <c r="AZ114" s="56" t="s">
        <v>1529</v>
      </c>
      <c r="BA114" s="34" t="s">
        <v>1520</v>
      </c>
      <c r="BC114" s="54">
        <f t="shared" si="40"/>
        <v>0</v>
      </c>
      <c r="BD114" s="54">
        <f t="shared" si="41"/>
        <v>0</v>
      </c>
      <c r="BE114" s="54">
        <v>0</v>
      </c>
      <c r="BF114" s="54">
        <f t="shared" si="42"/>
        <v>0</v>
      </c>
      <c r="BH114" s="54">
        <f t="shared" si="43"/>
        <v>0</v>
      </c>
      <c r="BI114" s="54">
        <f t="shared" si="44"/>
        <v>0</v>
      </c>
      <c r="BJ114" s="54">
        <f t="shared" si="45"/>
        <v>0</v>
      </c>
      <c r="BK114" s="54"/>
      <c r="BL114" s="54"/>
      <c r="BW114" s="54">
        <v>21</v>
      </c>
      <c r="BX114" s="3" t="s">
        <v>1677</v>
      </c>
    </row>
    <row r="115" spans="1:76" ht="14.5" x14ac:dyDescent="0.35">
      <c r="A115" s="1" t="s">
        <v>529</v>
      </c>
      <c r="B115" s="2" t="s">
        <v>1512</v>
      </c>
      <c r="C115" s="2" t="s">
        <v>1678</v>
      </c>
      <c r="D115" s="155" t="s">
        <v>1679</v>
      </c>
      <c r="E115" s="153"/>
      <c r="F115" s="2" t="s">
        <v>153</v>
      </c>
      <c r="G115" s="54">
        <f>'Stavební rozpočet'!G771</f>
        <v>10</v>
      </c>
      <c r="H115" s="94">
        <f>'Stavební rozpočet'!H771</f>
        <v>0</v>
      </c>
      <c r="I115" s="54">
        <f t="shared" si="24"/>
        <v>0</v>
      </c>
      <c r="J115" s="54">
        <f>'Stavební rozpočet'!J771</f>
        <v>0</v>
      </c>
      <c r="K115" s="54">
        <f>'Stavební rozpočet'!K771</f>
        <v>0</v>
      </c>
      <c r="L115" s="54">
        <f t="shared" si="25"/>
        <v>0</v>
      </c>
      <c r="M115" s="55" t="s">
        <v>111</v>
      </c>
      <c r="Z115" s="54">
        <f t="shared" si="26"/>
        <v>0</v>
      </c>
      <c r="AB115" s="54">
        <f t="shared" si="27"/>
        <v>0</v>
      </c>
      <c r="AC115" s="54">
        <f t="shared" si="28"/>
        <v>0</v>
      </c>
      <c r="AD115" s="54">
        <f t="shared" si="29"/>
        <v>0</v>
      </c>
      <c r="AE115" s="54">
        <f t="shared" si="30"/>
        <v>0</v>
      </c>
      <c r="AF115" s="54">
        <f t="shared" si="31"/>
        <v>0</v>
      </c>
      <c r="AG115" s="54">
        <f t="shared" si="32"/>
        <v>0</v>
      </c>
      <c r="AH115" s="54">
        <f t="shared" si="33"/>
        <v>0</v>
      </c>
      <c r="AI115" s="34" t="s">
        <v>1512</v>
      </c>
      <c r="AJ115" s="54">
        <f t="shared" si="34"/>
        <v>0</v>
      </c>
      <c r="AK115" s="54">
        <f t="shared" si="35"/>
        <v>0</v>
      </c>
      <c r="AL115" s="54">
        <f t="shared" si="36"/>
        <v>0</v>
      </c>
      <c r="AN115" s="54">
        <v>21</v>
      </c>
      <c r="AO115" s="54">
        <f>H115*0</f>
        <v>0</v>
      </c>
      <c r="AP115" s="54">
        <f>H115*(1-0)</f>
        <v>0</v>
      </c>
      <c r="AQ115" s="56" t="s">
        <v>119</v>
      </c>
      <c r="AV115" s="54">
        <f t="shared" si="37"/>
        <v>0</v>
      </c>
      <c r="AW115" s="54">
        <f t="shared" si="38"/>
        <v>0</v>
      </c>
      <c r="AX115" s="54">
        <f t="shared" si="39"/>
        <v>0</v>
      </c>
      <c r="AY115" s="56" t="s">
        <v>1558</v>
      </c>
      <c r="AZ115" s="56" t="s">
        <v>1529</v>
      </c>
      <c r="BA115" s="34" t="s">
        <v>1520</v>
      </c>
      <c r="BC115" s="54">
        <f t="shared" si="40"/>
        <v>0</v>
      </c>
      <c r="BD115" s="54">
        <f t="shared" si="41"/>
        <v>0</v>
      </c>
      <c r="BE115" s="54">
        <v>0</v>
      </c>
      <c r="BF115" s="54">
        <f t="shared" si="42"/>
        <v>0</v>
      </c>
      <c r="BH115" s="54">
        <f t="shared" si="43"/>
        <v>0</v>
      </c>
      <c r="BI115" s="54">
        <f t="shared" si="44"/>
        <v>0</v>
      </c>
      <c r="BJ115" s="54">
        <f t="shared" si="45"/>
        <v>0</v>
      </c>
      <c r="BK115" s="54"/>
      <c r="BL115" s="54"/>
      <c r="BW115" s="54">
        <v>21</v>
      </c>
      <c r="BX115" s="3" t="s">
        <v>1679</v>
      </c>
    </row>
    <row r="116" spans="1:76" ht="14.5" x14ac:dyDescent="0.35">
      <c r="A116" s="1" t="s">
        <v>533</v>
      </c>
      <c r="B116" s="2" t="s">
        <v>1512</v>
      </c>
      <c r="C116" s="2" t="s">
        <v>1680</v>
      </c>
      <c r="D116" s="155" t="s">
        <v>1681</v>
      </c>
      <c r="E116" s="153"/>
      <c r="F116" s="2" t="s">
        <v>153</v>
      </c>
      <c r="G116" s="54">
        <f>'Stavební rozpočet'!G772</f>
        <v>310</v>
      </c>
      <c r="H116" s="94">
        <f>'Stavební rozpočet'!H772</f>
        <v>0</v>
      </c>
      <c r="I116" s="54">
        <f t="shared" si="24"/>
        <v>0</v>
      </c>
      <c r="J116" s="54">
        <f>'Stavební rozpočet'!J772</f>
        <v>0</v>
      </c>
      <c r="K116" s="54">
        <f>'Stavební rozpočet'!K772</f>
        <v>0</v>
      </c>
      <c r="L116" s="54">
        <f t="shared" si="25"/>
        <v>0</v>
      </c>
      <c r="M116" s="55" t="s">
        <v>111</v>
      </c>
      <c r="Z116" s="54">
        <f t="shared" si="26"/>
        <v>0</v>
      </c>
      <c r="AB116" s="54">
        <f t="shared" si="27"/>
        <v>0</v>
      </c>
      <c r="AC116" s="54">
        <f t="shared" si="28"/>
        <v>0</v>
      </c>
      <c r="AD116" s="54">
        <f t="shared" si="29"/>
        <v>0</v>
      </c>
      <c r="AE116" s="54">
        <f t="shared" si="30"/>
        <v>0</v>
      </c>
      <c r="AF116" s="54">
        <f t="shared" si="31"/>
        <v>0</v>
      </c>
      <c r="AG116" s="54">
        <f t="shared" si="32"/>
        <v>0</v>
      </c>
      <c r="AH116" s="54">
        <f t="shared" si="33"/>
        <v>0</v>
      </c>
      <c r="AI116" s="34" t="s">
        <v>1512</v>
      </c>
      <c r="AJ116" s="54">
        <f t="shared" si="34"/>
        <v>0</v>
      </c>
      <c r="AK116" s="54">
        <f t="shared" si="35"/>
        <v>0</v>
      </c>
      <c r="AL116" s="54">
        <f t="shared" si="36"/>
        <v>0</v>
      </c>
      <c r="AN116" s="54">
        <v>21</v>
      </c>
      <c r="AO116" s="54">
        <f>H116*0</f>
        <v>0</v>
      </c>
      <c r="AP116" s="54">
        <f>H116*(1-0)</f>
        <v>0</v>
      </c>
      <c r="AQ116" s="56" t="s">
        <v>119</v>
      </c>
      <c r="AV116" s="54">
        <f t="shared" si="37"/>
        <v>0</v>
      </c>
      <c r="AW116" s="54">
        <f t="shared" si="38"/>
        <v>0</v>
      </c>
      <c r="AX116" s="54">
        <f t="shared" si="39"/>
        <v>0</v>
      </c>
      <c r="AY116" s="56" t="s">
        <v>1558</v>
      </c>
      <c r="AZ116" s="56" t="s">
        <v>1529</v>
      </c>
      <c r="BA116" s="34" t="s">
        <v>1520</v>
      </c>
      <c r="BC116" s="54">
        <f t="shared" si="40"/>
        <v>0</v>
      </c>
      <c r="BD116" s="54">
        <f t="shared" si="41"/>
        <v>0</v>
      </c>
      <c r="BE116" s="54">
        <v>0</v>
      </c>
      <c r="BF116" s="54">
        <f t="shared" si="42"/>
        <v>0</v>
      </c>
      <c r="BH116" s="54">
        <f t="shared" si="43"/>
        <v>0</v>
      </c>
      <c r="BI116" s="54">
        <f t="shared" si="44"/>
        <v>0</v>
      </c>
      <c r="BJ116" s="54">
        <f t="shared" si="45"/>
        <v>0</v>
      </c>
      <c r="BK116" s="54"/>
      <c r="BL116" s="54"/>
      <c r="BW116" s="54">
        <v>21</v>
      </c>
      <c r="BX116" s="3" t="s">
        <v>1681</v>
      </c>
    </row>
    <row r="117" spans="1:76" ht="14.5" x14ac:dyDescent="0.35">
      <c r="A117" s="64" t="s">
        <v>537</v>
      </c>
      <c r="B117" s="65" t="s">
        <v>1512</v>
      </c>
      <c r="C117" s="65" t="s">
        <v>1682</v>
      </c>
      <c r="D117" s="217" t="s">
        <v>1683</v>
      </c>
      <c r="E117" s="218"/>
      <c r="F117" s="65" t="s">
        <v>153</v>
      </c>
      <c r="G117" s="67">
        <f>'Stavební rozpočet'!G773</f>
        <v>1750</v>
      </c>
      <c r="H117" s="95">
        <f>'Stavební rozpočet'!H773</f>
        <v>0</v>
      </c>
      <c r="I117" s="67">
        <f t="shared" si="24"/>
        <v>0</v>
      </c>
      <c r="J117" s="67">
        <f>'Stavební rozpočet'!J773</f>
        <v>1.4999999999999999E-4</v>
      </c>
      <c r="K117" s="67">
        <f>'Stavební rozpočet'!K773</f>
        <v>0</v>
      </c>
      <c r="L117" s="67">
        <f t="shared" si="25"/>
        <v>0.26249999999999996</v>
      </c>
      <c r="M117" s="68" t="s">
        <v>111</v>
      </c>
      <c r="Z117" s="54">
        <f t="shared" si="26"/>
        <v>0</v>
      </c>
      <c r="AB117" s="54">
        <f t="shared" si="27"/>
        <v>0</v>
      </c>
      <c r="AC117" s="54">
        <f t="shared" si="28"/>
        <v>0</v>
      </c>
      <c r="AD117" s="54">
        <f t="shared" si="29"/>
        <v>0</v>
      </c>
      <c r="AE117" s="54">
        <f t="shared" si="30"/>
        <v>0</v>
      </c>
      <c r="AF117" s="54">
        <f t="shared" si="31"/>
        <v>0</v>
      </c>
      <c r="AG117" s="54">
        <f t="shared" si="32"/>
        <v>0</v>
      </c>
      <c r="AH117" s="54">
        <f t="shared" si="33"/>
        <v>0</v>
      </c>
      <c r="AI117" s="34" t="s">
        <v>1512</v>
      </c>
      <c r="AJ117" s="67">
        <f t="shared" si="34"/>
        <v>0</v>
      </c>
      <c r="AK117" s="67">
        <f t="shared" si="35"/>
        <v>0</v>
      </c>
      <c r="AL117" s="67">
        <f t="shared" si="36"/>
        <v>0</v>
      </c>
      <c r="AN117" s="54">
        <v>21</v>
      </c>
      <c r="AO117" s="54">
        <f>H117*1</f>
        <v>0</v>
      </c>
      <c r="AP117" s="54">
        <f>H117*(1-1)</f>
        <v>0</v>
      </c>
      <c r="AQ117" s="69" t="s">
        <v>107</v>
      </c>
      <c r="AV117" s="54">
        <f t="shared" si="37"/>
        <v>0</v>
      </c>
      <c r="AW117" s="54">
        <f t="shared" si="38"/>
        <v>0</v>
      </c>
      <c r="AX117" s="54">
        <f t="shared" si="39"/>
        <v>0</v>
      </c>
      <c r="AY117" s="56" t="s">
        <v>1558</v>
      </c>
      <c r="AZ117" s="56" t="s">
        <v>1529</v>
      </c>
      <c r="BA117" s="34" t="s">
        <v>1520</v>
      </c>
      <c r="BC117" s="54">
        <f t="shared" si="40"/>
        <v>0</v>
      </c>
      <c r="BD117" s="54">
        <f t="shared" si="41"/>
        <v>0</v>
      </c>
      <c r="BE117" s="54">
        <v>0</v>
      </c>
      <c r="BF117" s="54">
        <f t="shared" si="42"/>
        <v>0.26249999999999996</v>
      </c>
      <c r="BH117" s="67">
        <f t="shared" si="43"/>
        <v>0</v>
      </c>
      <c r="BI117" s="67">
        <f t="shared" si="44"/>
        <v>0</v>
      </c>
      <c r="BJ117" s="67">
        <f t="shared" si="45"/>
        <v>0</v>
      </c>
      <c r="BK117" s="67"/>
      <c r="BL117" s="54"/>
      <c r="BW117" s="54">
        <v>21</v>
      </c>
      <c r="BX117" s="66" t="s">
        <v>1683</v>
      </c>
    </row>
    <row r="118" spans="1:76" ht="39" x14ac:dyDescent="0.35">
      <c r="A118" s="57"/>
      <c r="C118" s="62" t="s">
        <v>156</v>
      </c>
      <c r="D118" s="211" t="s">
        <v>1684</v>
      </c>
      <c r="E118" s="212"/>
      <c r="F118" s="212"/>
      <c r="G118" s="212"/>
      <c r="H118" s="212"/>
      <c r="I118" s="212"/>
      <c r="J118" s="212"/>
      <c r="K118" s="212"/>
      <c r="L118" s="212"/>
      <c r="M118" s="213"/>
      <c r="BX118" s="70" t="s">
        <v>1684</v>
      </c>
    </row>
    <row r="119" spans="1:76" ht="14.5" x14ac:dyDescent="0.35">
      <c r="A119" s="64" t="s">
        <v>541</v>
      </c>
      <c r="B119" s="65" t="s">
        <v>1512</v>
      </c>
      <c r="C119" s="65" t="s">
        <v>1685</v>
      </c>
      <c r="D119" s="217" t="s">
        <v>1686</v>
      </c>
      <c r="E119" s="218"/>
      <c r="F119" s="65" t="s">
        <v>153</v>
      </c>
      <c r="G119" s="67">
        <f>'Stavební rozpočet'!G774</f>
        <v>1200</v>
      </c>
      <c r="H119" s="95">
        <f>'Stavební rozpočet'!H774</f>
        <v>0</v>
      </c>
      <c r="I119" s="67">
        <f>G119*H119</f>
        <v>0</v>
      </c>
      <c r="J119" s="67">
        <f>'Stavební rozpočet'!J774</f>
        <v>2.0000000000000001E-4</v>
      </c>
      <c r="K119" s="67">
        <f>'Stavební rozpočet'!K774</f>
        <v>0</v>
      </c>
      <c r="L119" s="67">
        <f>G119*J119</f>
        <v>0.24000000000000002</v>
      </c>
      <c r="M119" s="68" t="s">
        <v>111</v>
      </c>
      <c r="Z119" s="54">
        <f>IF(AQ119="5",BJ119,0)</f>
        <v>0</v>
      </c>
      <c r="AB119" s="54">
        <f>IF(AQ119="1",BH119,0)</f>
        <v>0</v>
      </c>
      <c r="AC119" s="54">
        <f>IF(AQ119="1",BI119,0)</f>
        <v>0</v>
      </c>
      <c r="AD119" s="54">
        <f>IF(AQ119="7",BH119,0)</f>
        <v>0</v>
      </c>
      <c r="AE119" s="54">
        <f>IF(AQ119="7",BI119,0)</f>
        <v>0</v>
      </c>
      <c r="AF119" s="54">
        <f>IF(AQ119="2",BH119,0)</f>
        <v>0</v>
      </c>
      <c r="AG119" s="54">
        <f>IF(AQ119="2",BI119,0)</f>
        <v>0</v>
      </c>
      <c r="AH119" s="54">
        <f>IF(AQ119="0",BJ119,0)</f>
        <v>0</v>
      </c>
      <c r="AI119" s="34" t="s">
        <v>1512</v>
      </c>
      <c r="AJ119" s="67">
        <f>IF(AN119=0,I119,0)</f>
        <v>0</v>
      </c>
      <c r="AK119" s="67">
        <f>IF(AN119=12,I119,0)</f>
        <v>0</v>
      </c>
      <c r="AL119" s="67">
        <f>IF(AN119=21,I119,0)</f>
        <v>0</v>
      </c>
      <c r="AN119" s="54">
        <v>21</v>
      </c>
      <c r="AO119" s="54">
        <f>H119*1</f>
        <v>0</v>
      </c>
      <c r="AP119" s="54">
        <f>H119*(1-1)</f>
        <v>0</v>
      </c>
      <c r="AQ119" s="69" t="s">
        <v>107</v>
      </c>
      <c r="AV119" s="54">
        <f>AW119+AX119</f>
        <v>0</v>
      </c>
      <c r="AW119" s="54">
        <f>G119*AO119</f>
        <v>0</v>
      </c>
      <c r="AX119" s="54">
        <f>G119*AP119</f>
        <v>0</v>
      </c>
      <c r="AY119" s="56" t="s">
        <v>1558</v>
      </c>
      <c r="AZ119" s="56" t="s">
        <v>1529</v>
      </c>
      <c r="BA119" s="34" t="s">
        <v>1520</v>
      </c>
      <c r="BC119" s="54">
        <f>AW119+AX119</f>
        <v>0</v>
      </c>
      <c r="BD119" s="54">
        <f>H119/(100-BE119)*100</f>
        <v>0</v>
      </c>
      <c r="BE119" s="54">
        <v>0</v>
      </c>
      <c r="BF119" s="54">
        <f>L119</f>
        <v>0.24000000000000002</v>
      </c>
      <c r="BH119" s="67">
        <f>G119*AO119</f>
        <v>0</v>
      </c>
      <c r="BI119" s="67">
        <f>G119*AP119</f>
        <v>0</v>
      </c>
      <c r="BJ119" s="67">
        <f>G119*H119</f>
        <v>0</v>
      </c>
      <c r="BK119" s="67"/>
      <c r="BL119" s="54"/>
      <c r="BW119" s="54">
        <v>21</v>
      </c>
      <c r="BX119" s="66" t="s">
        <v>1686</v>
      </c>
    </row>
    <row r="120" spans="1:76" ht="39" x14ac:dyDescent="0.35">
      <c r="A120" s="57"/>
      <c r="C120" s="62" t="s">
        <v>156</v>
      </c>
      <c r="D120" s="211" t="s">
        <v>1684</v>
      </c>
      <c r="E120" s="212"/>
      <c r="F120" s="212"/>
      <c r="G120" s="212"/>
      <c r="H120" s="212"/>
      <c r="I120" s="212"/>
      <c r="J120" s="212"/>
      <c r="K120" s="212"/>
      <c r="L120" s="212"/>
      <c r="M120" s="213"/>
      <c r="BX120" s="70" t="s">
        <v>1684</v>
      </c>
    </row>
    <row r="121" spans="1:76" ht="14.5" x14ac:dyDescent="0.35">
      <c r="A121" s="64" t="s">
        <v>546</v>
      </c>
      <c r="B121" s="65" t="s">
        <v>1512</v>
      </c>
      <c r="C121" s="65" t="s">
        <v>1687</v>
      </c>
      <c r="D121" s="217" t="s">
        <v>1688</v>
      </c>
      <c r="E121" s="218"/>
      <c r="F121" s="65" t="s">
        <v>153</v>
      </c>
      <c r="G121" s="67">
        <f>'Stavební rozpočet'!G775</f>
        <v>15</v>
      </c>
      <c r="H121" s="95">
        <f>'Stavební rozpočet'!H775</f>
        <v>0</v>
      </c>
      <c r="I121" s="67">
        <f>G121*H121</f>
        <v>0</v>
      </c>
      <c r="J121" s="67">
        <f>'Stavební rozpočet'!J775</f>
        <v>2.9999999999999997E-4</v>
      </c>
      <c r="K121" s="67">
        <f>'Stavební rozpočet'!K775</f>
        <v>0</v>
      </c>
      <c r="L121" s="67">
        <f>G121*J121</f>
        <v>4.4999999999999997E-3</v>
      </c>
      <c r="M121" s="68" t="s">
        <v>111</v>
      </c>
      <c r="Z121" s="54">
        <f>IF(AQ121="5",BJ121,0)</f>
        <v>0</v>
      </c>
      <c r="AB121" s="54">
        <f>IF(AQ121="1",BH121,0)</f>
        <v>0</v>
      </c>
      <c r="AC121" s="54">
        <f>IF(AQ121="1",BI121,0)</f>
        <v>0</v>
      </c>
      <c r="AD121" s="54">
        <f>IF(AQ121="7",BH121,0)</f>
        <v>0</v>
      </c>
      <c r="AE121" s="54">
        <f>IF(AQ121="7",BI121,0)</f>
        <v>0</v>
      </c>
      <c r="AF121" s="54">
        <f>IF(AQ121="2",BH121,0)</f>
        <v>0</v>
      </c>
      <c r="AG121" s="54">
        <f>IF(AQ121="2",BI121,0)</f>
        <v>0</v>
      </c>
      <c r="AH121" s="54">
        <f>IF(AQ121="0",BJ121,0)</f>
        <v>0</v>
      </c>
      <c r="AI121" s="34" t="s">
        <v>1512</v>
      </c>
      <c r="AJ121" s="67">
        <f>IF(AN121=0,I121,0)</f>
        <v>0</v>
      </c>
      <c r="AK121" s="67">
        <f>IF(AN121=12,I121,0)</f>
        <v>0</v>
      </c>
      <c r="AL121" s="67">
        <f>IF(AN121=21,I121,0)</f>
        <v>0</v>
      </c>
      <c r="AN121" s="54">
        <v>21</v>
      </c>
      <c r="AO121" s="54">
        <f>H121*1</f>
        <v>0</v>
      </c>
      <c r="AP121" s="54">
        <f>H121*(1-1)</f>
        <v>0</v>
      </c>
      <c r="AQ121" s="69" t="s">
        <v>107</v>
      </c>
      <c r="AV121" s="54">
        <f>AW121+AX121</f>
        <v>0</v>
      </c>
      <c r="AW121" s="54">
        <f>G121*AO121</f>
        <v>0</v>
      </c>
      <c r="AX121" s="54">
        <f>G121*AP121</f>
        <v>0</v>
      </c>
      <c r="AY121" s="56" t="s">
        <v>1558</v>
      </c>
      <c r="AZ121" s="56" t="s">
        <v>1529</v>
      </c>
      <c r="BA121" s="34" t="s">
        <v>1520</v>
      </c>
      <c r="BC121" s="54">
        <f>AW121+AX121</f>
        <v>0</v>
      </c>
      <c r="BD121" s="54">
        <f>H121/(100-BE121)*100</f>
        <v>0</v>
      </c>
      <c r="BE121" s="54">
        <v>0</v>
      </c>
      <c r="BF121" s="54">
        <f>L121</f>
        <v>4.4999999999999997E-3</v>
      </c>
      <c r="BH121" s="67">
        <f>G121*AO121</f>
        <v>0</v>
      </c>
      <c r="BI121" s="67">
        <f>G121*AP121</f>
        <v>0</v>
      </c>
      <c r="BJ121" s="67">
        <f>G121*H121</f>
        <v>0</v>
      </c>
      <c r="BK121" s="67"/>
      <c r="BL121" s="54"/>
      <c r="BW121" s="54">
        <v>21</v>
      </c>
      <c r="BX121" s="66" t="s">
        <v>1688</v>
      </c>
    </row>
    <row r="122" spans="1:76" ht="39" x14ac:dyDescent="0.35">
      <c r="A122" s="57"/>
      <c r="C122" s="62" t="s">
        <v>156</v>
      </c>
      <c r="D122" s="211" t="s">
        <v>1684</v>
      </c>
      <c r="E122" s="212"/>
      <c r="F122" s="212"/>
      <c r="G122" s="212"/>
      <c r="H122" s="212"/>
      <c r="I122" s="212"/>
      <c r="J122" s="212"/>
      <c r="K122" s="212"/>
      <c r="L122" s="212"/>
      <c r="M122" s="213"/>
      <c r="BX122" s="70" t="s">
        <v>1684</v>
      </c>
    </row>
    <row r="123" spans="1:76" ht="14.5" x14ac:dyDescent="0.35">
      <c r="A123" s="64" t="s">
        <v>253</v>
      </c>
      <c r="B123" s="65" t="s">
        <v>1512</v>
      </c>
      <c r="C123" s="65" t="s">
        <v>1689</v>
      </c>
      <c r="D123" s="217" t="s">
        <v>1690</v>
      </c>
      <c r="E123" s="218"/>
      <c r="F123" s="65" t="s">
        <v>153</v>
      </c>
      <c r="G123" s="67">
        <f>'Stavební rozpočet'!G776</f>
        <v>370</v>
      </c>
      <c r="H123" s="95">
        <f>'Stavební rozpočet'!H776</f>
        <v>0</v>
      </c>
      <c r="I123" s="67">
        <f>G123*H123</f>
        <v>0</v>
      </c>
      <c r="J123" s="67">
        <f>'Stavební rozpočet'!J776</f>
        <v>4.0999999999999999E-4</v>
      </c>
      <c r="K123" s="67">
        <f>'Stavební rozpočet'!K776</f>
        <v>0</v>
      </c>
      <c r="L123" s="67">
        <f>G123*J123</f>
        <v>0.1517</v>
      </c>
      <c r="M123" s="68" t="s">
        <v>111</v>
      </c>
      <c r="Z123" s="54">
        <f>IF(AQ123="5",BJ123,0)</f>
        <v>0</v>
      </c>
      <c r="AB123" s="54">
        <f>IF(AQ123="1",BH123,0)</f>
        <v>0</v>
      </c>
      <c r="AC123" s="54">
        <f>IF(AQ123="1",BI123,0)</f>
        <v>0</v>
      </c>
      <c r="AD123" s="54">
        <f>IF(AQ123="7",BH123,0)</f>
        <v>0</v>
      </c>
      <c r="AE123" s="54">
        <f>IF(AQ123="7",BI123,0)</f>
        <v>0</v>
      </c>
      <c r="AF123" s="54">
        <f>IF(AQ123="2",BH123,0)</f>
        <v>0</v>
      </c>
      <c r="AG123" s="54">
        <f>IF(AQ123="2",BI123,0)</f>
        <v>0</v>
      </c>
      <c r="AH123" s="54">
        <f>IF(AQ123="0",BJ123,0)</f>
        <v>0</v>
      </c>
      <c r="AI123" s="34" t="s">
        <v>1512</v>
      </c>
      <c r="AJ123" s="67">
        <f>IF(AN123=0,I123,0)</f>
        <v>0</v>
      </c>
      <c r="AK123" s="67">
        <f>IF(AN123=12,I123,0)</f>
        <v>0</v>
      </c>
      <c r="AL123" s="67">
        <f>IF(AN123=21,I123,0)</f>
        <v>0</v>
      </c>
      <c r="AN123" s="54">
        <v>21</v>
      </c>
      <c r="AO123" s="54">
        <f>H123*1</f>
        <v>0</v>
      </c>
      <c r="AP123" s="54">
        <f>H123*(1-1)</f>
        <v>0</v>
      </c>
      <c r="AQ123" s="69" t="s">
        <v>107</v>
      </c>
      <c r="AV123" s="54">
        <f>AW123+AX123</f>
        <v>0</v>
      </c>
      <c r="AW123" s="54">
        <f>G123*AO123</f>
        <v>0</v>
      </c>
      <c r="AX123" s="54">
        <f>G123*AP123</f>
        <v>0</v>
      </c>
      <c r="AY123" s="56" t="s">
        <v>1558</v>
      </c>
      <c r="AZ123" s="56" t="s">
        <v>1529</v>
      </c>
      <c r="BA123" s="34" t="s">
        <v>1520</v>
      </c>
      <c r="BC123" s="54">
        <f>AW123+AX123</f>
        <v>0</v>
      </c>
      <c r="BD123" s="54">
        <f>H123/(100-BE123)*100</f>
        <v>0</v>
      </c>
      <c r="BE123" s="54">
        <v>0</v>
      </c>
      <c r="BF123" s="54">
        <f>L123</f>
        <v>0.1517</v>
      </c>
      <c r="BH123" s="67">
        <f>G123*AO123</f>
        <v>0</v>
      </c>
      <c r="BI123" s="67">
        <f>G123*AP123</f>
        <v>0</v>
      </c>
      <c r="BJ123" s="67">
        <f>G123*H123</f>
        <v>0</v>
      </c>
      <c r="BK123" s="67"/>
      <c r="BL123" s="54"/>
      <c r="BW123" s="54">
        <v>21</v>
      </c>
      <c r="BX123" s="66" t="s">
        <v>1690</v>
      </c>
    </row>
    <row r="124" spans="1:76" ht="39" x14ac:dyDescent="0.35">
      <c r="A124" s="57"/>
      <c r="C124" s="62" t="s">
        <v>156</v>
      </c>
      <c r="D124" s="211" t="s">
        <v>1684</v>
      </c>
      <c r="E124" s="212"/>
      <c r="F124" s="212"/>
      <c r="G124" s="212"/>
      <c r="H124" s="212"/>
      <c r="I124" s="212"/>
      <c r="J124" s="212"/>
      <c r="K124" s="212"/>
      <c r="L124" s="212"/>
      <c r="M124" s="213"/>
      <c r="BX124" s="70" t="s">
        <v>1684</v>
      </c>
    </row>
    <row r="125" spans="1:76" ht="14.5" x14ac:dyDescent="0.35">
      <c r="A125" s="64" t="s">
        <v>553</v>
      </c>
      <c r="B125" s="65" t="s">
        <v>1512</v>
      </c>
      <c r="C125" s="65" t="s">
        <v>1691</v>
      </c>
      <c r="D125" s="217" t="s">
        <v>1692</v>
      </c>
      <c r="E125" s="218"/>
      <c r="F125" s="65" t="s">
        <v>153</v>
      </c>
      <c r="G125" s="67">
        <f>'Stavební rozpočet'!G777</f>
        <v>5</v>
      </c>
      <c r="H125" s="95">
        <f>'Stavební rozpočet'!H777</f>
        <v>0</v>
      </c>
      <c r="I125" s="67">
        <f>G125*H125</f>
        <v>0</v>
      </c>
      <c r="J125" s="67">
        <f>'Stavební rozpočet'!J777</f>
        <v>1.9599999999999999E-3</v>
      </c>
      <c r="K125" s="67">
        <f>'Stavební rozpočet'!K777</f>
        <v>0</v>
      </c>
      <c r="L125" s="67">
        <f>G125*J125</f>
        <v>9.7999999999999997E-3</v>
      </c>
      <c r="M125" s="68" t="s">
        <v>111</v>
      </c>
      <c r="Z125" s="54">
        <f>IF(AQ125="5",BJ125,0)</f>
        <v>0</v>
      </c>
      <c r="AB125" s="54">
        <f>IF(AQ125="1",BH125,0)</f>
        <v>0</v>
      </c>
      <c r="AC125" s="54">
        <f>IF(AQ125="1",BI125,0)</f>
        <v>0</v>
      </c>
      <c r="AD125" s="54">
        <f>IF(AQ125="7",BH125,0)</f>
        <v>0</v>
      </c>
      <c r="AE125" s="54">
        <f>IF(AQ125="7",BI125,0)</f>
        <v>0</v>
      </c>
      <c r="AF125" s="54">
        <f>IF(AQ125="2",BH125,0)</f>
        <v>0</v>
      </c>
      <c r="AG125" s="54">
        <f>IF(AQ125="2",BI125,0)</f>
        <v>0</v>
      </c>
      <c r="AH125" s="54">
        <f>IF(AQ125="0",BJ125,0)</f>
        <v>0</v>
      </c>
      <c r="AI125" s="34" t="s">
        <v>1512</v>
      </c>
      <c r="AJ125" s="67">
        <f>IF(AN125=0,I125,0)</f>
        <v>0</v>
      </c>
      <c r="AK125" s="67">
        <f>IF(AN125=12,I125,0)</f>
        <v>0</v>
      </c>
      <c r="AL125" s="67">
        <f>IF(AN125=21,I125,0)</f>
        <v>0</v>
      </c>
      <c r="AN125" s="54">
        <v>21</v>
      </c>
      <c r="AO125" s="54">
        <f>H125*1</f>
        <v>0</v>
      </c>
      <c r="AP125" s="54">
        <f>H125*(1-1)</f>
        <v>0</v>
      </c>
      <c r="AQ125" s="69" t="s">
        <v>107</v>
      </c>
      <c r="AV125" s="54">
        <f>AW125+AX125</f>
        <v>0</v>
      </c>
      <c r="AW125" s="54">
        <f>G125*AO125</f>
        <v>0</v>
      </c>
      <c r="AX125" s="54">
        <f>G125*AP125</f>
        <v>0</v>
      </c>
      <c r="AY125" s="56" t="s">
        <v>1558</v>
      </c>
      <c r="AZ125" s="56" t="s">
        <v>1529</v>
      </c>
      <c r="BA125" s="34" t="s">
        <v>1520</v>
      </c>
      <c r="BC125" s="54">
        <f>AW125+AX125</f>
        <v>0</v>
      </c>
      <c r="BD125" s="54">
        <f>H125/(100-BE125)*100</f>
        <v>0</v>
      </c>
      <c r="BE125" s="54">
        <v>0</v>
      </c>
      <c r="BF125" s="54">
        <f>L125</f>
        <v>9.7999999999999997E-3</v>
      </c>
      <c r="BH125" s="67">
        <f>G125*AO125</f>
        <v>0</v>
      </c>
      <c r="BI125" s="67">
        <f>G125*AP125</f>
        <v>0</v>
      </c>
      <c r="BJ125" s="67">
        <f>G125*H125</f>
        <v>0</v>
      </c>
      <c r="BK125" s="67"/>
      <c r="BL125" s="54"/>
      <c r="BW125" s="54">
        <v>21</v>
      </c>
      <c r="BX125" s="66" t="s">
        <v>1692</v>
      </c>
    </row>
    <row r="126" spans="1:76" ht="39" x14ac:dyDescent="0.35">
      <c r="A126" s="57"/>
      <c r="C126" s="62" t="s">
        <v>156</v>
      </c>
      <c r="D126" s="211" t="s">
        <v>1693</v>
      </c>
      <c r="E126" s="212"/>
      <c r="F126" s="212"/>
      <c r="G126" s="212"/>
      <c r="H126" s="212"/>
      <c r="I126" s="212"/>
      <c r="J126" s="212"/>
      <c r="K126" s="212"/>
      <c r="L126" s="212"/>
      <c r="M126" s="213"/>
      <c r="BX126" s="70" t="s">
        <v>1693</v>
      </c>
    </row>
    <row r="127" spans="1:76" ht="25" x14ac:dyDescent="0.35">
      <c r="A127" s="1" t="s">
        <v>322</v>
      </c>
      <c r="B127" s="2" t="s">
        <v>1512</v>
      </c>
      <c r="C127" s="2" t="s">
        <v>1694</v>
      </c>
      <c r="D127" s="155" t="s">
        <v>1695</v>
      </c>
      <c r="E127" s="153"/>
      <c r="F127" s="2" t="s">
        <v>153</v>
      </c>
      <c r="G127" s="54">
        <f>'Stavební rozpočet'!G778</f>
        <v>80</v>
      </c>
      <c r="H127" s="94">
        <f>'Stavební rozpočet'!H778</f>
        <v>0</v>
      </c>
      <c r="I127" s="54">
        <f>G127*H127</f>
        <v>0</v>
      </c>
      <c r="J127" s="54">
        <f>'Stavební rozpočet'!J778</f>
        <v>1.0300000000000001E-3</v>
      </c>
      <c r="K127" s="54">
        <f>'Stavební rozpočet'!K778</f>
        <v>0</v>
      </c>
      <c r="L127" s="54">
        <f>G127*J127</f>
        <v>8.2400000000000001E-2</v>
      </c>
      <c r="M127" s="55" t="s">
        <v>10</v>
      </c>
      <c r="Z127" s="54">
        <f>IF(AQ127="5",BJ127,0)</f>
        <v>0</v>
      </c>
      <c r="AB127" s="54">
        <f>IF(AQ127="1",BH127,0)</f>
        <v>0</v>
      </c>
      <c r="AC127" s="54">
        <f>IF(AQ127="1",BI127,0)</f>
        <v>0</v>
      </c>
      <c r="AD127" s="54">
        <f>IF(AQ127="7",BH127,0)</f>
        <v>0</v>
      </c>
      <c r="AE127" s="54">
        <f>IF(AQ127="7",BI127,0)</f>
        <v>0</v>
      </c>
      <c r="AF127" s="54">
        <f>IF(AQ127="2",BH127,0)</f>
        <v>0</v>
      </c>
      <c r="AG127" s="54">
        <f>IF(AQ127="2",BI127,0)</f>
        <v>0</v>
      </c>
      <c r="AH127" s="54">
        <f>IF(AQ127="0",BJ127,0)</f>
        <v>0</v>
      </c>
      <c r="AI127" s="34" t="s">
        <v>1512</v>
      </c>
      <c r="AJ127" s="54">
        <f>IF(AN127=0,I127,0)</f>
        <v>0</v>
      </c>
      <c r="AK127" s="54">
        <f>IF(AN127=12,I127,0)</f>
        <v>0</v>
      </c>
      <c r="AL127" s="54">
        <f>IF(AN127=21,I127,0)</f>
        <v>0</v>
      </c>
      <c r="AN127" s="54">
        <v>21</v>
      </c>
      <c r="AO127" s="54">
        <f>H127*0.686522496</f>
        <v>0</v>
      </c>
      <c r="AP127" s="54">
        <f>H127*(1-0.686522496)</f>
        <v>0</v>
      </c>
      <c r="AQ127" s="56" t="s">
        <v>119</v>
      </c>
      <c r="AV127" s="54">
        <f>AW127+AX127</f>
        <v>0</v>
      </c>
      <c r="AW127" s="54">
        <f>G127*AO127</f>
        <v>0</v>
      </c>
      <c r="AX127" s="54">
        <f>G127*AP127</f>
        <v>0</v>
      </c>
      <c r="AY127" s="56" t="s">
        <v>1558</v>
      </c>
      <c r="AZ127" s="56" t="s">
        <v>1529</v>
      </c>
      <c r="BA127" s="34" t="s">
        <v>1520</v>
      </c>
      <c r="BC127" s="54">
        <f>AW127+AX127</f>
        <v>0</v>
      </c>
      <c r="BD127" s="54">
        <f>H127/(100-BE127)*100</f>
        <v>0</v>
      </c>
      <c r="BE127" s="54">
        <v>0</v>
      </c>
      <c r="BF127" s="54">
        <f>L127</f>
        <v>8.2400000000000001E-2</v>
      </c>
      <c r="BH127" s="54">
        <f>G127*AO127</f>
        <v>0</v>
      </c>
      <c r="BI127" s="54">
        <f>G127*AP127</f>
        <v>0</v>
      </c>
      <c r="BJ127" s="54">
        <f>G127*H127</f>
        <v>0</v>
      </c>
      <c r="BK127" s="54"/>
      <c r="BL127" s="54"/>
      <c r="BW127" s="54">
        <v>21</v>
      </c>
      <c r="BX127" s="3" t="s">
        <v>1695</v>
      </c>
    </row>
    <row r="128" spans="1:76" ht="14.5" x14ac:dyDescent="0.35">
      <c r="A128" s="64" t="s">
        <v>343</v>
      </c>
      <c r="B128" s="65" t="s">
        <v>1512</v>
      </c>
      <c r="C128" s="65" t="s">
        <v>1696</v>
      </c>
      <c r="D128" s="217" t="s">
        <v>1697</v>
      </c>
      <c r="E128" s="218"/>
      <c r="F128" s="65" t="s">
        <v>196</v>
      </c>
      <c r="G128" s="67">
        <f>'Stavební rozpočet'!G779</f>
        <v>82</v>
      </c>
      <c r="H128" s="95">
        <f>'Stavební rozpočet'!H779</f>
        <v>0</v>
      </c>
      <c r="I128" s="67">
        <f>G128*H128</f>
        <v>0</v>
      </c>
      <c r="J128" s="67">
        <f>'Stavební rozpočet'!J779</f>
        <v>2.3700000000000001E-3</v>
      </c>
      <c r="K128" s="67">
        <f>'Stavební rozpočet'!K779</f>
        <v>0</v>
      </c>
      <c r="L128" s="67">
        <f>G128*J128</f>
        <v>0.19434000000000001</v>
      </c>
      <c r="M128" s="68" t="s">
        <v>111</v>
      </c>
      <c r="Z128" s="54">
        <f>IF(AQ128="5",BJ128,0)</f>
        <v>0</v>
      </c>
      <c r="AB128" s="54">
        <f>IF(AQ128="1",BH128,0)</f>
        <v>0</v>
      </c>
      <c r="AC128" s="54">
        <f>IF(AQ128="1",BI128,0)</f>
        <v>0</v>
      </c>
      <c r="AD128" s="54">
        <f>IF(AQ128="7",BH128,0)</f>
        <v>0</v>
      </c>
      <c r="AE128" s="54">
        <f>IF(AQ128="7",BI128,0)</f>
        <v>0</v>
      </c>
      <c r="AF128" s="54">
        <f>IF(AQ128="2",BH128,0)</f>
        <v>0</v>
      </c>
      <c r="AG128" s="54">
        <f>IF(AQ128="2",BI128,0)</f>
        <v>0</v>
      </c>
      <c r="AH128" s="54">
        <f>IF(AQ128="0",BJ128,0)</f>
        <v>0</v>
      </c>
      <c r="AI128" s="34" t="s">
        <v>1512</v>
      </c>
      <c r="AJ128" s="67">
        <f>IF(AN128=0,I128,0)</f>
        <v>0</v>
      </c>
      <c r="AK128" s="67">
        <f>IF(AN128=12,I128,0)</f>
        <v>0</v>
      </c>
      <c r="AL128" s="67">
        <f>IF(AN128=21,I128,0)</f>
        <v>0</v>
      </c>
      <c r="AN128" s="54">
        <v>21</v>
      </c>
      <c r="AO128" s="54">
        <f>H128*1</f>
        <v>0</v>
      </c>
      <c r="AP128" s="54">
        <f>H128*(1-1)</f>
        <v>0</v>
      </c>
      <c r="AQ128" s="69" t="s">
        <v>107</v>
      </c>
      <c r="AV128" s="54">
        <f>AW128+AX128</f>
        <v>0</v>
      </c>
      <c r="AW128" s="54">
        <f>G128*AO128</f>
        <v>0</v>
      </c>
      <c r="AX128" s="54">
        <f>G128*AP128</f>
        <v>0</v>
      </c>
      <c r="AY128" s="56" t="s">
        <v>1558</v>
      </c>
      <c r="AZ128" s="56" t="s">
        <v>1529</v>
      </c>
      <c r="BA128" s="34" t="s">
        <v>1520</v>
      </c>
      <c r="BC128" s="54">
        <f>AW128+AX128</f>
        <v>0</v>
      </c>
      <c r="BD128" s="54">
        <f>H128/(100-BE128)*100</f>
        <v>0</v>
      </c>
      <c r="BE128" s="54">
        <v>0</v>
      </c>
      <c r="BF128" s="54">
        <f>L128</f>
        <v>0.19434000000000001</v>
      </c>
      <c r="BH128" s="67">
        <f>G128*AO128</f>
        <v>0</v>
      </c>
      <c r="BI128" s="67">
        <f>G128*AP128</f>
        <v>0</v>
      </c>
      <c r="BJ128" s="67">
        <f>G128*H128</f>
        <v>0</v>
      </c>
      <c r="BK128" s="67"/>
      <c r="BL128" s="54"/>
      <c r="BW128" s="54">
        <v>21</v>
      </c>
      <c r="BX128" s="66" t="s">
        <v>1697</v>
      </c>
    </row>
    <row r="129" spans="1:76" ht="65" x14ac:dyDescent="0.35">
      <c r="A129" s="57"/>
      <c r="C129" s="62" t="s">
        <v>156</v>
      </c>
      <c r="D129" s="211" t="s">
        <v>1698</v>
      </c>
      <c r="E129" s="212"/>
      <c r="F129" s="212"/>
      <c r="G129" s="212"/>
      <c r="H129" s="212"/>
      <c r="I129" s="212"/>
      <c r="J129" s="212"/>
      <c r="K129" s="212"/>
      <c r="L129" s="212"/>
      <c r="M129" s="213"/>
      <c r="BX129" s="70" t="s">
        <v>1698</v>
      </c>
    </row>
    <row r="130" spans="1:76" ht="14.5" x14ac:dyDescent="0.35">
      <c r="A130" s="64" t="s">
        <v>561</v>
      </c>
      <c r="B130" s="65" t="s">
        <v>1512</v>
      </c>
      <c r="C130" s="65" t="s">
        <v>1699</v>
      </c>
      <c r="D130" s="217" t="s">
        <v>1700</v>
      </c>
      <c r="E130" s="218"/>
      <c r="F130" s="65" t="s">
        <v>153</v>
      </c>
      <c r="G130" s="67">
        <f>'Stavební rozpočet'!G780</f>
        <v>10</v>
      </c>
      <c r="H130" s="95">
        <f>'Stavební rozpočet'!H780</f>
        <v>0</v>
      </c>
      <c r="I130" s="67">
        <f>G130*H130</f>
        <v>0</v>
      </c>
      <c r="J130" s="67">
        <f>'Stavební rozpočet'!J780</f>
        <v>4.0000000000000003E-5</v>
      </c>
      <c r="K130" s="67">
        <f>'Stavební rozpočet'!K780</f>
        <v>0</v>
      </c>
      <c r="L130" s="67">
        <f>G130*J130</f>
        <v>4.0000000000000002E-4</v>
      </c>
      <c r="M130" s="68" t="s">
        <v>111</v>
      </c>
      <c r="Z130" s="54">
        <f>IF(AQ130="5",BJ130,0)</f>
        <v>0</v>
      </c>
      <c r="AB130" s="54">
        <f>IF(AQ130="1",BH130,0)</f>
        <v>0</v>
      </c>
      <c r="AC130" s="54">
        <f>IF(AQ130="1",BI130,0)</f>
        <v>0</v>
      </c>
      <c r="AD130" s="54">
        <f>IF(AQ130="7",BH130,0)</f>
        <v>0</v>
      </c>
      <c r="AE130" s="54">
        <f>IF(AQ130="7",BI130,0)</f>
        <v>0</v>
      </c>
      <c r="AF130" s="54">
        <f>IF(AQ130="2",BH130,0)</f>
        <v>0</v>
      </c>
      <c r="AG130" s="54">
        <f>IF(AQ130="2",BI130,0)</f>
        <v>0</v>
      </c>
      <c r="AH130" s="54">
        <f>IF(AQ130="0",BJ130,0)</f>
        <v>0</v>
      </c>
      <c r="AI130" s="34" t="s">
        <v>1512</v>
      </c>
      <c r="AJ130" s="67">
        <f>IF(AN130=0,I130,0)</f>
        <v>0</v>
      </c>
      <c r="AK130" s="67">
        <f>IF(AN130=12,I130,0)</f>
        <v>0</v>
      </c>
      <c r="AL130" s="67">
        <f>IF(AN130=21,I130,0)</f>
        <v>0</v>
      </c>
      <c r="AN130" s="54">
        <v>21</v>
      </c>
      <c r="AO130" s="54">
        <f>H130*1</f>
        <v>0</v>
      </c>
      <c r="AP130" s="54">
        <f>H130*(1-1)</f>
        <v>0</v>
      </c>
      <c r="AQ130" s="69" t="s">
        <v>107</v>
      </c>
      <c r="AV130" s="54">
        <f>AW130+AX130</f>
        <v>0</v>
      </c>
      <c r="AW130" s="54">
        <f>G130*AO130</f>
        <v>0</v>
      </c>
      <c r="AX130" s="54">
        <f>G130*AP130</f>
        <v>0</v>
      </c>
      <c r="AY130" s="56" t="s">
        <v>1558</v>
      </c>
      <c r="AZ130" s="56" t="s">
        <v>1529</v>
      </c>
      <c r="BA130" s="34" t="s">
        <v>1520</v>
      </c>
      <c r="BC130" s="54">
        <f>AW130+AX130</f>
        <v>0</v>
      </c>
      <c r="BD130" s="54">
        <f>H130/(100-BE130)*100</f>
        <v>0</v>
      </c>
      <c r="BE130" s="54">
        <v>0</v>
      </c>
      <c r="BF130" s="54">
        <f>L130</f>
        <v>4.0000000000000002E-4</v>
      </c>
      <c r="BH130" s="67">
        <f>G130*AO130</f>
        <v>0</v>
      </c>
      <c r="BI130" s="67">
        <f>G130*AP130</f>
        <v>0</v>
      </c>
      <c r="BJ130" s="67">
        <f>G130*H130</f>
        <v>0</v>
      </c>
      <c r="BK130" s="67"/>
      <c r="BL130" s="54"/>
      <c r="BW130" s="54">
        <v>21</v>
      </c>
      <c r="BX130" s="66" t="s">
        <v>1700</v>
      </c>
    </row>
    <row r="131" spans="1:76" ht="14.5" x14ac:dyDescent="0.35">
      <c r="A131" s="64" t="s">
        <v>564</v>
      </c>
      <c r="B131" s="65" t="s">
        <v>1512</v>
      </c>
      <c r="C131" s="65" t="s">
        <v>1701</v>
      </c>
      <c r="D131" s="217" t="s">
        <v>1702</v>
      </c>
      <c r="E131" s="218"/>
      <c r="F131" s="65" t="s">
        <v>196</v>
      </c>
      <c r="G131" s="67">
        <f>'Stavební rozpočet'!G781</f>
        <v>120</v>
      </c>
      <c r="H131" s="95">
        <f>'Stavební rozpočet'!H781</f>
        <v>0</v>
      </c>
      <c r="I131" s="67">
        <f>G131*H131</f>
        <v>0</v>
      </c>
      <c r="J131" s="67">
        <f>'Stavební rozpočet'!J781</f>
        <v>2.5000000000000001E-4</v>
      </c>
      <c r="K131" s="67">
        <f>'Stavební rozpočet'!K781</f>
        <v>0</v>
      </c>
      <c r="L131" s="67">
        <f>G131*J131</f>
        <v>0.03</v>
      </c>
      <c r="M131" s="68" t="s">
        <v>111</v>
      </c>
      <c r="Z131" s="54">
        <f>IF(AQ131="5",BJ131,0)</f>
        <v>0</v>
      </c>
      <c r="AB131" s="54">
        <f>IF(AQ131="1",BH131,0)</f>
        <v>0</v>
      </c>
      <c r="AC131" s="54">
        <f>IF(AQ131="1",BI131,0)</f>
        <v>0</v>
      </c>
      <c r="AD131" s="54">
        <f>IF(AQ131="7",BH131,0)</f>
        <v>0</v>
      </c>
      <c r="AE131" s="54">
        <f>IF(AQ131="7",BI131,0)</f>
        <v>0</v>
      </c>
      <c r="AF131" s="54">
        <f>IF(AQ131="2",BH131,0)</f>
        <v>0</v>
      </c>
      <c r="AG131" s="54">
        <f>IF(AQ131="2",BI131,0)</f>
        <v>0</v>
      </c>
      <c r="AH131" s="54">
        <f>IF(AQ131="0",BJ131,0)</f>
        <v>0</v>
      </c>
      <c r="AI131" s="34" t="s">
        <v>1512</v>
      </c>
      <c r="AJ131" s="67">
        <f>IF(AN131=0,I131,0)</f>
        <v>0</v>
      </c>
      <c r="AK131" s="67">
        <f>IF(AN131=12,I131,0)</f>
        <v>0</v>
      </c>
      <c r="AL131" s="67">
        <f>IF(AN131=21,I131,0)</f>
        <v>0</v>
      </c>
      <c r="AN131" s="54">
        <v>21</v>
      </c>
      <c r="AO131" s="54">
        <f>H131*1</f>
        <v>0</v>
      </c>
      <c r="AP131" s="54">
        <f>H131*(1-1)</f>
        <v>0</v>
      </c>
      <c r="AQ131" s="69" t="s">
        <v>107</v>
      </c>
      <c r="AV131" s="54">
        <f>AW131+AX131</f>
        <v>0</v>
      </c>
      <c r="AW131" s="54">
        <f>G131*AO131</f>
        <v>0</v>
      </c>
      <c r="AX131" s="54">
        <f>G131*AP131</f>
        <v>0</v>
      </c>
      <c r="AY131" s="56" t="s">
        <v>1558</v>
      </c>
      <c r="AZ131" s="56" t="s">
        <v>1529</v>
      </c>
      <c r="BA131" s="34" t="s">
        <v>1520</v>
      </c>
      <c r="BC131" s="54">
        <f>AW131+AX131</f>
        <v>0</v>
      </c>
      <c r="BD131" s="54">
        <f>H131/(100-BE131)*100</f>
        <v>0</v>
      </c>
      <c r="BE131" s="54">
        <v>0</v>
      </c>
      <c r="BF131" s="54">
        <f>L131</f>
        <v>0.03</v>
      </c>
      <c r="BH131" s="67">
        <f>G131*AO131</f>
        <v>0</v>
      </c>
      <c r="BI131" s="67">
        <f>G131*AP131</f>
        <v>0</v>
      </c>
      <c r="BJ131" s="67">
        <f>G131*H131</f>
        <v>0</v>
      </c>
      <c r="BK131" s="67"/>
      <c r="BL131" s="54"/>
      <c r="BW131" s="54">
        <v>21</v>
      </c>
      <c r="BX131" s="66" t="s">
        <v>1702</v>
      </c>
    </row>
    <row r="132" spans="1:76" ht="25" x14ac:dyDescent="0.35">
      <c r="A132" s="64" t="s">
        <v>568</v>
      </c>
      <c r="B132" s="65" t="s">
        <v>1512</v>
      </c>
      <c r="C132" s="65" t="s">
        <v>1703</v>
      </c>
      <c r="D132" s="217" t="s">
        <v>1704</v>
      </c>
      <c r="E132" s="218"/>
      <c r="F132" s="65" t="s">
        <v>196</v>
      </c>
      <c r="G132" s="67">
        <f>'Stavební rozpočet'!G782</f>
        <v>1</v>
      </c>
      <c r="H132" s="95">
        <f>'Stavební rozpočet'!H782</f>
        <v>0</v>
      </c>
      <c r="I132" s="67">
        <f>G132*H132</f>
        <v>0</v>
      </c>
      <c r="J132" s="67">
        <f>'Stavební rozpočet'!J782</f>
        <v>0</v>
      </c>
      <c r="K132" s="67">
        <f>'Stavební rozpočet'!K782</f>
        <v>0</v>
      </c>
      <c r="L132" s="67">
        <f>G132*J132</f>
        <v>0</v>
      </c>
      <c r="M132" s="68" t="s">
        <v>616</v>
      </c>
      <c r="Z132" s="54">
        <f>IF(AQ132="5",BJ132,0)</f>
        <v>0</v>
      </c>
      <c r="AB132" s="54">
        <f>IF(AQ132="1",BH132,0)</f>
        <v>0</v>
      </c>
      <c r="AC132" s="54">
        <f>IF(AQ132="1",BI132,0)</f>
        <v>0</v>
      </c>
      <c r="AD132" s="54">
        <f>IF(AQ132="7",BH132,0)</f>
        <v>0</v>
      </c>
      <c r="AE132" s="54">
        <f>IF(AQ132="7",BI132,0)</f>
        <v>0</v>
      </c>
      <c r="AF132" s="54">
        <f>IF(AQ132="2",BH132,0)</f>
        <v>0</v>
      </c>
      <c r="AG132" s="54">
        <f>IF(AQ132="2",BI132,0)</f>
        <v>0</v>
      </c>
      <c r="AH132" s="54">
        <f>IF(AQ132="0",BJ132,0)</f>
        <v>0</v>
      </c>
      <c r="AI132" s="34" t="s">
        <v>1512</v>
      </c>
      <c r="AJ132" s="67">
        <f>IF(AN132=0,I132,0)</f>
        <v>0</v>
      </c>
      <c r="AK132" s="67">
        <f>IF(AN132=12,I132,0)</f>
        <v>0</v>
      </c>
      <c r="AL132" s="67">
        <f>IF(AN132=21,I132,0)</f>
        <v>0</v>
      </c>
      <c r="AN132" s="54">
        <v>21</v>
      </c>
      <c r="AO132" s="54">
        <f>H132*1</f>
        <v>0</v>
      </c>
      <c r="AP132" s="54">
        <f>H132*(1-1)</f>
        <v>0</v>
      </c>
      <c r="AQ132" s="69" t="s">
        <v>107</v>
      </c>
      <c r="AV132" s="54">
        <f>AW132+AX132</f>
        <v>0</v>
      </c>
      <c r="AW132" s="54">
        <f>G132*AO132</f>
        <v>0</v>
      </c>
      <c r="AX132" s="54">
        <f>G132*AP132</f>
        <v>0</v>
      </c>
      <c r="AY132" s="56" t="s">
        <v>1558</v>
      </c>
      <c r="AZ132" s="56" t="s">
        <v>1529</v>
      </c>
      <c r="BA132" s="34" t="s">
        <v>1520</v>
      </c>
      <c r="BC132" s="54">
        <f>AW132+AX132</f>
        <v>0</v>
      </c>
      <c r="BD132" s="54">
        <f>H132/(100-BE132)*100</f>
        <v>0</v>
      </c>
      <c r="BE132" s="54">
        <v>0</v>
      </c>
      <c r="BF132" s="54">
        <f>L132</f>
        <v>0</v>
      </c>
      <c r="BH132" s="67">
        <f>G132*AO132</f>
        <v>0</v>
      </c>
      <c r="BI132" s="67">
        <f>G132*AP132</f>
        <v>0</v>
      </c>
      <c r="BJ132" s="67">
        <f>G132*H132</f>
        <v>0</v>
      </c>
      <c r="BK132" s="67"/>
      <c r="BL132" s="54"/>
      <c r="BW132" s="54">
        <v>21</v>
      </c>
      <c r="BX132" s="66" t="s">
        <v>1704</v>
      </c>
    </row>
    <row r="133" spans="1:76" ht="13.5" customHeight="1" x14ac:dyDescent="0.35">
      <c r="A133" s="57"/>
      <c r="C133" s="62" t="s">
        <v>122</v>
      </c>
      <c r="D133" s="214" t="s">
        <v>1705</v>
      </c>
      <c r="E133" s="215"/>
      <c r="F133" s="215"/>
      <c r="G133" s="215"/>
      <c r="H133" s="215"/>
      <c r="I133" s="215"/>
      <c r="J133" s="215"/>
      <c r="K133" s="215"/>
      <c r="L133" s="215"/>
      <c r="M133" s="216"/>
    </row>
    <row r="134" spans="1:76" ht="14.5" x14ac:dyDescent="0.35">
      <c r="A134" s="57"/>
      <c r="D134" s="58" t="s">
        <v>629</v>
      </c>
      <c r="E134" s="59" t="s">
        <v>1706</v>
      </c>
      <c r="G134" s="60">
        <v>1</v>
      </c>
      <c r="M134" s="61"/>
    </row>
    <row r="135" spans="1:76" ht="14.5" x14ac:dyDescent="0.35">
      <c r="A135" s="57"/>
      <c r="C135" s="62" t="s">
        <v>156</v>
      </c>
      <c r="D135" s="211" t="s">
        <v>1707</v>
      </c>
      <c r="E135" s="212"/>
      <c r="F135" s="212"/>
      <c r="G135" s="212"/>
      <c r="H135" s="212"/>
      <c r="I135" s="212"/>
      <c r="J135" s="212"/>
      <c r="K135" s="212"/>
      <c r="L135" s="212"/>
      <c r="M135" s="213"/>
      <c r="BX135" s="70" t="s">
        <v>1707</v>
      </c>
    </row>
    <row r="136" spans="1:76" ht="14.5" x14ac:dyDescent="0.35">
      <c r="A136" s="1" t="s">
        <v>574</v>
      </c>
      <c r="B136" s="2" t="s">
        <v>1512</v>
      </c>
      <c r="C136" s="2" t="s">
        <v>1708</v>
      </c>
      <c r="D136" s="155" t="s">
        <v>1709</v>
      </c>
      <c r="E136" s="153"/>
      <c r="F136" s="2" t="s">
        <v>196</v>
      </c>
      <c r="G136" s="54">
        <f>'Stavební rozpočet'!G784</f>
        <v>7</v>
      </c>
      <c r="H136" s="94">
        <f>'Stavební rozpočet'!H784</f>
        <v>0</v>
      </c>
      <c r="I136" s="54">
        <f>G136*H136</f>
        <v>0</v>
      </c>
      <c r="J136" s="54">
        <f>'Stavební rozpočet'!J784</f>
        <v>0</v>
      </c>
      <c r="K136" s="54">
        <f>'Stavební rozpočet'!K784</f>
        <v>0</v>
      </c>
      <c r="L136" s="54">
        <f>G136*J136</f>
        <v>0</v>
      </c>
      <c r="M136" s="55" t="s">
        <v>111</v>
      </c>
      <c r="Z136" s="54">
        <f>IF(AQ136="5",BJ136,0)</f>
        <v>0</v>
      </c>
      <c r="AB136" s="54">
        <f>IF(AQ136="1",BH136,0)</f>
        <v>0</v>
      </c>
      <c r="AC136" s="54">
        <f>IF(AQ136="1",BI136,0)</f>
        <v>0</v>
      </c>
      <c r="AD136" s="54">
        <f>IF(AQ136="7",BH136,0)</f>
        <v>0</v>
      </c>
      <c r="AE136" s="54">
        <f>IF(AQ136="7",BI136,0)</f>
        <v>0</v>
      </c>
      <c r="AF136" s="54">
        <f>IF(AQ136="2",BH136,0)</f>
        <v>0</v>
      </c>
      <c r="AG136" s="54">
        <f>IF(AQ136="2",BI136,0)</f>
        <v>0</v>
      </c>
      <c r="AH136" s="54">
        <f>IF(AQ136="0",BJ136,0)</f>
        <v>0</v>
      </c>
      <c r="AI136" s="34" t="s">
        <v>1512</v>
      </c>
      <c r="AJ136" s="54">
        <f>IF(AN136=0,I136,0)</f>
        <v>0</v>
      </c>
      <c r="AK136" s="54">
        <f>IF(AN136=12,I136,0)</f>
        <v>0</v>
      </c>
      <c r="AL136" s="54">
        <f>IF(AN136=21,I136,0)</f>
        <v>0</v>
      </c>
      <c r="AN136" s="54">
        <v>21</v>
      </c>
      <c r="AO136" s="54">
        <f>H136*0</f>
        <v>0</v>
      </c>
      <c r="AP136" s="54">
        <f>H136*(1-0)</f>
        <v>0</v>
      </c>
      <c r="AQ136" s="56" t="s">
        <v>119</v>
      </c>
      <c r="AV136" s="54">
        <f>AW136+AX136</f>
        <v>0</v>
      </c>
      <c r="AW136" s="54">
        <f>G136*AO136</f>
        <v>0</v>
      </c>
      <c r="AX136" s="54">
        <f>G136*AP136</f>
        <v>0</v>
      </c>
      <c r="AY136" s="56" t="s">
        <v>1558</v>
      </c>
      <c r="AZ136" s="56" t="s">
        <v>1529</v>
      </c>
      <c r="BA136" s="34" t="s">
        <v>1520</v>
      </c>
      <c r="BC136" s="54">
        <f>AW136+AX136</f>
        <v>0</v>
      </c>
      <c r="BD136" s="54">
        <f>H136/(100-BE136)*100</f>
        <v>0</v>
      </c>
      <c r="BE136" s="54">
        <v>0</v>
      </c>
      <c r="BF136" s="54">
        <f>L136</f>
        <v>0</v>
      </c>
      <c r="BH136" s="54">
        <f>G136*AO136</f>
        <v>0</v>
      </c>
      <c r="BI136" s="54">
        <f>G136*AP136</f>
        <v>0</v>
      </c>
      <c r="BJ136" s="54">
        <f>G136*H136</f>
        <v>0</v>
      </c>
      <c r="BK136" s="54"/>
      <c r="BL136" s="54"/>
      <c r="BW136" s="54">
        <v>21</v>
      </c>
      <c r="BX136" s="3" t="s">
        <v>1709</v>
      </c>
    </row>
    <row r="137" spans="1:76" ht="13.5" customHeight="1" x14ac:dyDescent="0.35">
      <c r="A137" s="57"/>
      <c r="C137" s="62" t="s">
        <v>122</v>
      </c>
      <c r="D137" s="214" t="s">
        <v>1710</v>
      </c>
      <c r="E137" s="215"/>
      <c r="F137" s="215"/>
      <c r="G137" s="215"/>
      <c r="H137" s="215"/>
      <c r="I137" s="215"/>
      <c r="J137" s="215"/>
      <c r="K137" s="215"/>
      <c r="L137" s="215"/>
      <c r="M137" s="216"/>
    </row>
    <row r="138" spans="1:76" ht="14.5" x14ac:dyDescent="0.35">
      <c r="A138" s="57"/>
      <c r="D138" s="58" t="s">
        <v>126</v>
      </c>
      <c r="E138" s="59" t="s">
        <v>1711</v>
      </c>
      <c r="G138" s="60">
        <v>3</v>
      </c>
      <c r="M138" s="61"/>
    </row>
    <row r="139" spans="1:76" ht="14.5" x14ac:dyDescent="0.35">
      <c r="A139" s="57"/>
      <c r="D139" s="58" t="s">
        <v>144</v>
      </c>
      <c r="E139" s="59" t="s">
        <v>1712</v>
      </c>
      <c r="G139" s="60">
        <v>4</v>
      </c>
      <c r="M139" s="61"/>
    </row>
    <row r="140" spans="1:76" ht="14.5" x14ac:dyDescent="0.35">
      <c r="A140" s="1" t="s">
        <v>578</v>
      </c>
      <c r="B140" s="2" t="s">
        <v>1512</v>
      </c>
      <c r="C140" s="2" t="s">
        <v>1713</v>
      </c>
      <c r="D140" s="155" t="s">
        <v>1714</v>
      </c>
      <c r="E140" s="153"/>
      <c r="F140" s="2" t="s">
        <v>481</v>
      </c>
      <c r="G140" s="54">
        <f>'Stavební rozpočet'!G787</f>
        <v>7</v>
      </c>
      <c r="H140" s="94">
        <f>'Stavební rozpočet'!H787</f>
        <v>0</v>
      </c>
      <c r="I140" s="54">
        <f>G140*H140</f>
        <v>0</v>
      </c>
      <c r="J140" s="54">
        <f>'Stavební rozpočet'!J787</f>
        <v>0</v>
      </c>
      <c r="K140" s="54">
        <f>'Stavební rozpočet'!K787</f>
        <v>0</v>
      </c>
      <c r="L140" s="54">
        <f>G140*J140</f>
        <v>0</v>
      </c>
      <c r="M140" s="55" t="s">
        <v>10</v>
      </c>
      <c r="Z140" s="54">
        <f>IF(AQ140="5",BJ140,0)</f>
        <v>0</v>
      </c>
      <c r="AB140" s="54">
        <f>IF(AQ140="1",BH140,0)</f>
        <v>0</v>
      </c>
      <c r="AC140" s="54">
        <f>IF(AQ140="1",BI140,0)</f>
        <v>0</v>
      </c>
      <c r="AD140" s="54">
        <f>IF(AQ140="7",BH140,0)</f>
        <v>0</v>
      </c>
      <c r="AE140" s="54">
        <f>IF(AQ140="7",BI140,0)</f>
        <v>0</v>
      </c>
      <c r="AF140" s="54">
        <f>IF(AQ140="2",BH140,0)</f>
        <v>0</v>
      </c>
      <c r="AG140" s="54">
        <f>IF(AQ140="2",BI140,0)</f>
        <v>0</v>
      </c>
      <c r="AH140" s="54">
        <f>IF(AQ140="0",BJ140,0)</f>
        <v>0</v>
      </c>
      <c r="AI140" s="34" t="s">
        <v>1512</v>
      </c>
      <c r="AJ140" s="54">
        <f>IF(AN140=0,I140,0)</f>
        <v>0</v>
      </c>
      <c r="AK140" s="54">
        <f>IF(AN140=12,I140,0)</f>
        <v>0</v>
      </c>
      <c r="AL140" s="54">
        <f>IF(AN140=21,I140,0)</f>
        <v>0</v>
      </c>
      <c r="AN140" s="54">
        <v>21</v>
      </c>
      <c r="AO140" s="54">
        <f>H140*0.65</f>
        <v>0</v>
      </c>
      <c r="AP140" s="54">
        <f>H140*(1-0.65)</f>
        <v>0</v>
      </c>
      <c r="AQ140" s="56" t="s">
        <v>107</v>
      </c>
      <c r="AV140" s="54">
        <f>AW140+AX140</f>
        <v>0</v>
      </c>
      <c r="AW140" s="54">
        <f>G140*AO140</f>
        <v>0</v>
      </c>
      <c r="AX140" s="54">
        <f>G140*AP140</f>
        <v>0</v>
      </c>
      <c r="AY140" s="56" t="s">
        <v>1558</v>
      </c>
      <c r="AZ140" s="56" t="s">
        <v>1529</v>
      </c>
      <c r="BA140" s="34" t="s">
        <v>1520</v>
      </c>
      <c r="BC140" s="54">
        <f>AW140+AX140</f>
        <v>0</v>
      </c>
      <c r="BD140" s="54">
        <f>H140/(100-BE140)*100</f>
        <v>0</v>
      </c>
      <c r="BE140" s="54">
        <v>0</v>
      </c>
      <c r="BF140" s="54">
        <f>L140</f>
        <v>0</v>
      </c>
      <c r="BH140" s="54">
        <f>G140*AO140</f>
        <v>0</v>
      </c>
      <c r="BI140" s="54">
        <f>G140*AP140</f>
        <v>0</v>
      </c>
      <c r="BJ140" s="54">
        <f>G140*H140</f>
        <v>0</v>
      </c>
      <c r="BK140" s="54"/>
      <c r="BL140" s="54"/>
      <c r="BW140" s="54">
        <v>21</v>
      </c>
      <c r="BX140" s="3" t="s">
        <v>1714</v>
      </c>
    </row>
    <row r="141" spans="1:76" ht="27" customHeight="1" x14ac:dyDescent="0.35">
      <c r="A141" s="57"/>
      <c r="C141" s="62" t="s">
        <v>122</v>
      </c>
      <c r="D141" s="214" t="s">
        <v>1715</v>
      </c>
      <c r="E141" s="215"/>
      <c r="F141" s="215"/>
      <c r="G141" s="215"/>
      <c r="H141" s="215"/>
      <c r="I141" s="215"/>
      <c r="J141" s="215"/>
      <c r="K141" s="215"/>
      <c r="L141" s="215"/>
      <c r="M141" s="216"/>
    </row>
    <row r="142" spans="1:76" ht="14.5" x14ac:dyDescent="0.35">
      <c r="A142" s="57"/>
      <c r="D142" s="58" t="s">
        <v>144</v>
      </c>
      <c r="E142" s="59" t="s">
        <v>1711</v>
      </c>
      <c r="G142" s="60">
        <v>4</v>
      </c>
      <c r="M142" s="61"/>
    </row>
    <row r="143" spans="1:76" ht="14.5" x14ac:dyDescent="0.35">
      <c r="A143" s="57"/>
      <c r="D143" s="58" t="s">
        <v>126</v>
      </c>
      <c r="E143" s="59" t="s">
        <v>1712</v>
      </c>
      <c r="G143" s="60">
        <v>3</v>
      </c>
      <c r="M143" s="61"/>
    </row>
    <row r="144" spans="1:76" ht="14.5" x14ac:dyDescent="0.35">
      <c r="A144" s="50" t="s">
        <v>10</v>
      </c>
      <c r="B144" s="51" t="s">
        <v>1512</v>
      </c>
      <c r="C144" s="51" t="s">
        <v>1716</v>
      </c>
      <c r="D144" s="206" t="s">
        <v>1717</v>
      </c>
      <c r="E144" s="207"/>
      <c r="F144" s="52" t="s">
        <v>84</v>
      </c>
      <c r="G144" s="52" t="s">
        <v>84</v>
      </c>
      <c r="H144" s="52" t="s">
        <v>84</v>
      </c>
      <c r="I144" s="27">
        <f>SUM(I145:I156)</f>
        <v>0</v>
      </c>
      <c r="J144" s="34" t="s">
        <v>10</v>
      </c>
      <c r="K144" s="34" t="s">
        <v>10</v>
      </c>
      <c r="L144" s="27">
        <f>SUM(L145:L156)</f>
        <v>2.2409999999999999E-2</v>
      </c>
      <c r="M144" s="53" t="s">
        <v>10</v>
      </c>
      <c r="AI144" s="34" t="s">
        <v>1512</v>
      </c>
      <c r="AS144" s="27">
        <f>SUM(AJ145:AJ156)</f>
        <v>0</v>
      </c>
      <c r="AT144" s="27">
        <f>SUM(AK145:AK156)</f>
        <v>0</v>
      </c>
      <c r="AU144" s="27">
        <f>SUM(AL145:AL156)</f>
        <v>0</v>
      </c>
    </row>
    <row r="145" spans="1:76" ht="14.5" x14ac:dyDescent="0.35">
      <c r="A145" s="1" t="s">
        <v>582</v>
      </c>
      <c r="B145" s="2" t="s">
        <v>1512</v>
      </c>
      <c r="C145" s="2" t="s">
        <v>1718</v>
      </c>
      <c r="D145" s="155" t="s">
        <v>1719</v>
      </c>
      <c r="E145" s="153"/>
      <c r="F145" s="2" t="s">
        <v>196</v>
      </c>
      <c r="G145" s="54">
        <f>'Stavební rozpočet'!G791</f>
        <v>6</v>
      </c>
      <c r="H145" s="94">
        <f>'Stavební rozpočet'!H791</f>
        <v>0</v>
      </c>
      <c r="I145" s="54">
        <f>G145*H145</f>
        <v>0</v>
      </c>
      <c r="J145" s="54">
        <f>'Stavební rozpočet'!J791</f>
        <v>0</v>
      </c>
      <c r="K145" s="54">
        <f>'Stavební rozpočet'!K791</f>
        <v>0</v>
      </c>
      <c r="L145" s="54">
        <f>G145*J145</f>
        <v>0</v>
      </c>
      <c r="M145" s="55" t="s">
        <v>111</v>
      </c>
      <c r="Z145" s="54">
        <f>IF(AQ145="5",BJ145,0)</f>
        <v>0</v>
      </c>
      <c r="AB145" s="54">
        <f>IF(AQ145="1",BH145,0)</f>
        <v>0</v>
      </c>
      <c r="AC145" s="54">
        <f>IF(AQ145="1",BI145,0)</f>
        <v>0</v>
      </c>
      <c r="AD145" s="54">
        <f>IF(AQ145="7",BH145,0)</f>
        <v>0</v>
      </c>
      <c r="AE145" s="54">
        <f>IF(AQ145="7",BI145,0)</f>
        <v>0</v>
      </c>
      <c r="AF145" s="54">
        <f>IF(AQ145="2",BH145,0)</f>
        <v>0</v>
      </c>
      <c r="AG145" s="54">
        <f>IF(AQ145="2",BI145,0)</f>
        <v>0</v>
      </c>
      <c r="AH145" s="54">
        <f>IF(AQ145="0",BJ145,0)</f>
        <v>0</v>
      </c>
      <c r="AI145" s="34" t="s">
        <v>1512</v>
      </c>
      <c r="AJ145" s="54">
        <f>IF(AN145=0,I145,0)</f>
        <v>0</v>
      </c>
      <c r="AK145" s="54">
        <f>IF(AN145=12,I145,0)</f>
        <v>0</v>
      </c>
      <c r="AL145" s="54">
        <f>IF(AN145=21,I145,0)</f>
        <v>0</v>
      </c>
      <c r="AN145" s="54">
        <v>21</v>
      </c>
      <c r="AO145" s="54">
        <f>H145*0</f>
        <v>0</v>
      </c>
      <c r="AP145" s="54">
        <f>H145*(1-0)</f>
        <v>0</v>
      </c>
      <c r="AQ145" s="56" t="s">
        <v>119</v>
      </c>
      <c r="AV145" s="54">
        <f>AW145+AX145</f>
        <v>0</v>
      </c>
      <c r="AW145" s="54">
        <f>G145*AO145</f>
        <v>0</v>
      </c>
      <c r="AX145" s="54">
        <f>G145*AP145</f>
        <v>0</v>
      </c>
      <c r="AY145" s="56" t="s">
        <v>1720</v>
      </c>
      <c r="AZ145" s="56" t="s">
        <v>1529</v>
      </c>
      <c r="BA145" s="34" t="s">
        <v>1520</v>
      </c>
      <c r="BC145" s="54">
        <f>AW145+AX145</f>
        <v>0</v>
      </c>
      <c r="BD145" s="54">
        <f>H145/(100-BE145)*100</f>
        <v>0</v>
      </c>
      <c r="BE145" s="54">
        <v>0</v>
      </c>
      <c r="BF145" s="54">
        <f>L145</f>
        <v>0</v>
      </c>
      <c r="BH145" s="54">
        <f>G145*AO145</f>
        <v>0</v>
      </c>
      <c r="BI145" s="54">
        <f>G145*AP145</f>
        <v>0</v>
      </c>
      <c r="BJ145" s="54">
        <f>G145*H145</f>
        <v>0</v>
      </c>
      <c r="BK145" s="54"/>
      <c r="BL145" s="54"/>
      <c r="BW145" s="54">
        <v>21</v>
      </c>
      <c r="BX145" s="3" t="s">
        <v>1719</v>
      </c>
    </row>
    <row r="146" spans="1:76" ht="14.5" x14ac:dyDescent="0.35">
      <c r="A146" s="64" t="s">
        <v>585</v>
      </c>
      <c r="B146" s="65" t="s">
        <v>1512</v>
      </c>
      <c r="C146" s="65" t="s">
        <v>1721</v>
      </c>
      <c r="D146" s="217" t="s">
        <v>1722</v>
      </c>
      <c r="E146" s="218"/>
      <c r="F146" s="65" t="s">
        <v>196</v>
      </c>
      <c r="G146" s="67">
        <f>'Stavební rozpočet'!G792</f>
        <v>6</v>
      </c>
      <c r="H146" s="95">
        <f>'Stavební rozpočet'!H792</f>
        <v>0</v>
      </c>
      <c r="I146" s="67">
        <f>G146*H146</f>
        <v>0</v>
      </c>
      <c r="J146" s="67">
        <f>'Stavební rozpočet'!J792</f>
        <v>1.0000000000000001E-5</v>
      </c>
      <c r="K146" s="67">
        <f>'Stavební rozpočet'!K792</f>
        <v>0</v>
      </c>
      <c r="L146" s="67">
        <f>G146*J146</f>
        <v>6.0000000000000008E-5</v>
      </c>
      <c r="M146" s="68" t="s">
        <v>10</v>
      </c>
      <c r="Z146" s="54">
        <f>IF(AQ146="5",BJ146,0)</f>
        <v>0</v>
      </c>
      <c r="AB146" s="54">
        <f>IF(AQ146="1",BH146,0)</f>
        <v>0</v>
      </c>
      <c r="AC146" s="54">
        <f>IF(AQ146="1",BI146,0)</f>
        <v>0</v>
      </c>
      <c r="AD146" s="54">
        <f>IF(AQ146="7",BH146,0)</f>
        <v>0</v>
      </c>
      <c r="AE146" s="54">
        <f>IF(AQ146="7",BI146,0)</f>
        <v>0</v>
      </c>
      <c r="AF146" s="54">
        <f>IF(AQ146="2",BH146,0)</f>
        <v>0</v>
      </c>
      <c r="AG146" s="54">
        <f>IF(AQ146="2",BI146,0)</f>
        <v>0</v>
      </c>
      <c r="AH146" s="54">
        <f>IF(AQ146="0",BJ146,0)</f>
        <v>0</v>
      </c>
      <c r="AI146" s="34" t="s">
        <v>1512</v>
      </c>
      <c r="AJ146" s="67">
        <f>IF(AN146=0,I146,0)</f>
        <v>0</v>
      </c>
      <c r="AK146" s="67">
        <f>IF(AN146=12,I146,0)</f>
        <v>0</v>
      </c>
      <c r="AL146" s="67">
        <f>IF(AN146=21,I146,0)</f>
        <v>0</v>
      </c>
      <c r="AN146" s="54">
        <v>21</v>
      </c>
      <c r="AO146" s="54">
        <f>H146*1</f>
        <v>0</v>
      </c>
      <c r="AP146" s="54">
        <f>H146*(1-1)</f>
        <v>0</v>
      </c>
      <c r="AQ146" s="69" t="s">
        <v>107</v>
      </c>
      <c r="AV146" s="54">
        <f>AW146+AX146</f>
        <v>0</v>
      </c>
      <c r="AW146" s="54">
        <f>G146*AO146</f>
        <v>0</v>
      </c>
      <c r="AX146" s="54">
        <f>G146*AP146</f>
        <v>0</v>
      </c>
      <c r="AY146" s="56" t="s">
        <v>1720</v>
      </c>
      <c r="AZ146" s="56" t="s">
        <v>1529</v>
      </c>
      <c r="BA146" s="34" t="s">
        <v>1520</v>
      </c>
      <c r="BC146" s="54">
        <f>AW146+AX146</f>
        <v>0</v>
      </c>
      <c r="BD146" s="54">
        <f>H146/(100-BE146)*100</f>
        <v>0</v>
      </c>
      <c r="BE146" s="54">
        <v>0</v>
      </c>
      <c r="BF146" s="54">
        <f>L146</f>
        <v>6.0000000000000008E-5</v>
      </c>
      <c r="BH146" s="67">
        <f>G146*AO146</f>
        <v>0</v>
      </c>
      <c r="BI146" s="67">
        <f>G146*AP146</f>
        <v>0</v>
      </c>
      <c r="BJ146" s="67">
        <f>G146*H146</f>
        <v>0</v>
      </c>
      <c r="BK146" s="67"/>
      <c r="BL146" s="54"/>
      <c r="BW146" s="54">
        <v>21</v>
      </c>
      <c r="BX146" s="66" t="s">
        <v>1722</v>
      </c>
    </row>
    <row r="147" spans="1:76" ht="104" x14ac:dyDescent="0.35">
      <c r="A147" s="57"/>
      <c r="C147" s="62" t="s">
        <v>156</v>
      </c>
      <c r="D147" s="211" t="s">
        <v>1723</v>
      </c>
      <c r="E147" s="212"/>
      <c r="F147" s="212"/>
      <c r="G147" s="212"/>
      <c r="H147" s="212"/>
      <c r="I147" s="212"/>
      <c r="J147" s="212"/>
      <c r="K147" s="212"/>
      <c r="L147" s="212"/>
      <c r="M147" s="213"/>
      <c r="BX147" s="70" t="s">
        <v>1723</v>
      </c>
    </row>
    <row r="148" spans="1:76" ht="14.5" x14ac:dyDescent="0.35">
      <c r="A148" s="1" t="s">
        <v>591</v>
      </c>
      <c r="B148" s="2" t="s">
        <v>1512</v>
      </c>
      <c r="C148" s="2" t="s">
        <v>1724</v>
      </c>
      <c r="D148" s="155" t="s">
        <v>1725</v>
      </c>
      <c r="E148" s="153"/>
      <c r="F148" s="2" t="s">
        <v>153</v>
      </c>
      <c r="G148" s="54">
        <f>'Stavební rozpočet'!G793</f>
        <v>340</v>
      </c>
      <c r="H148" s="94">
        <f>'Stavební rozpočet'!H793</f>
        <v>0</v>
      </c>
      <c r="I148" s="54">
        <f>G148*H148</f>
        <v>0</v>
      </c>
      <c r="J148" s="54">
        <f>'Stavební rozpočet'!J793</f>
        <v>0</v>
      </c>
      <c r="K148" s="54">
        <f>'Stavební rozpočet'!K793</f>
        <v>0</v>
      </c>
      <c r="L148" s="54">
        <f>G148*J148</f>
        <v>0</v>
      </c>
      <c r="M148" s="55" t="s">
        <v>111</v>
      </c>
      <c r="Z148" s="54">
        <f>IF(AQ148="5",BJ148,0)</f>
        <v>0</v>
      </c>
      <c r="AB148" s="54">
        <f>IF(AQ148="1",BH148,0)</f>
        <v>0</v>
      </c>
      <c r="AC148" s="54">
        <f>IF(AQ148="1",BI148,0)</f>
        <v>0</v>
      </c>
      <c r="AD148" s="54">
        <f>IF(AQ148="7",BH148,0)</f>
        <v>0</v>
      </c>
      <c r="AE148" s="54">
        <f>IF(AQ148="7",BI148,0)</f>
        <v>0</v>
      </c>
      <c r="AF148" s="54">
        <f>IF(AQ148="2",BH148,0)</f>
        <v>0</v>
      </c>
      <c r="AG148" s="54">
        <f>IF(AQ148="2",BI148,0)</f>
        <v>0</v>
      </c>
      <c r="AH148" s="54">
        <f>IF(AQ148="0",BJ148,0)</f>
        <v>0</v>
      </c>
      <c r="AI148" s="34" t="s">
        <v>1512</v>
      </c>
      <c r="AJ148" s="54">
        <f>IF(AN148=0,I148,0)</f>
        <v>0</v>
      </c>
      <c r="AK148" s="54">
        <f>IF(AN148=12,I148,0)</f>
        <v>0</v>
      </c>
      <c r="AL148" s="54">
        <f>IF(AN148=21,I148,0)</f>
        <v>0</v>
      </c>
      <c r="AN148" s="54">
        <v>21</v>
      </c>
      <c r="AO148" s="54">
        <f>H148*0</f>
        <v>0</v>
      </c>
      <c r="AP148" s="54">
        <f>H148*(1-0)</f>
        <v>0</v>
      </c>
      <c r="AQ148" s="56" t="s">
        <v>119</v>
      </c>
      <c r="AV148" s="54">
        <f>AW148+AX148</f>
        <v>0</v>
      </c>
      <c r="AW148" s="54">
        <f>G148*AO148</f>
        <v>0</v>
      </c>
      <c r="AX148" s="54">
        <f>G148*AP148</f>
        <v>0</v>
      </c>
      <c r="AY148" s="56" t="s">
        <v>1720</v>
      </c>
      <c r="AZ148" s="56" t="s">
        <v>1529</v>
      </c>
      <c r="BA148" s="34" t="s">
        <v>1520</v>
      </c>
      <c r="BC148" s="54">
        <f>AW148+AX148</f>
        <v>0</v>
      </c>
      <c r="BD148" s="54">
        <f>H148/(100-BE148)*100</f>
        <v>0</v>
      </c>
      <c r="BE148" s="54">
        <v>0</v>
      </c>
      <c r="BF148" s="54">
        <f>L148</f>
        <v>0</v>
      </c>
      <c r="BH148" s="54">
        <f>G148*AO148</f>
        <v>0</v>
      </c>
      <c r="BI148" s="54">
        <f>G148*AP148</f>
        <v>0</v>
      </c>
      <c r="BJ148" s="54">
        <f>G148*H148</f>
        <v>0</v>
      </c>
      <c r="BK148" s="54"/>
      <c r="BL148" s="54"/>
      <c r="BW148" s="54">
        <v>21</v>
      </c>
      <c r="BX148" s="3" t="s">
        <v>1725</v>
      </c>
    </row>
    <row r="149" spans="1:76" ht="14.5" x14ac:dyDescent="0.35">
      <c r="A149" s="64" t="s">
        <v>595</v>
      </c>
      <c r="B149" s="65" t="s">
        <v>1512</v>
      </c>
      <c r="C149" s="65" t="s">
        <v>1726</v>
      </c>
      <c r="D149" s="217" t="s">
        <v>1727</v>
      </c>
      <c r="E149" s="218"/>
      <c r="F149" s="65" t="s">
        <v>153</v>
      </c>
      <c r="G149" s="67">
        <f>'Stavební rozpočet'!G794</f>
        <v>250</v>
      </c>
      <c r="H149" s="95">
        <f>'Stavební rozpočet'!H794</f>
        <v>0</v>
      </c>
      <c r="I149" s="67">
        <f>G149*H149</f>
        <v>0</v>
      </c>
      <c r="J149" s="67">
        <f>'Stavební rozpočet'!J794</f>
        <v>5.0000000000000002E-5</v>
      </c>
      <c r="K149" s="67">
        <f>'Stavební rozpočet'!K794</f>
        <v>0</v>
      </c>
      <c r="L149" s="67">
        <f>G149*J149</f>
        <v>1.2500000000000001E-2</v>
      </c>
      <c r="M149" s="68" t="s">
        <v>111</v>
      </c>
      <c r="Z149" s="54">
        <f>IF(AQ149="5",BJ149,0)</f>
        <v>0</v>
      </c>
      <c r="AB149" s="54">
        <f>IF(AQ149="1",BH149,0)</f>
        <v>0</v>
      </c>
      <c r="AC149" s="54">
        <f>IF(AQ149="1",BI149,0)</f>
        <v>0</v>
      </c>
      <c r="AD149" s="54">
        <f>IF(AQ149="7",BH149,0)</f>
        <v>0</v>
      </c>
      <c r="AE149" s="54">
        <f>IF(AQ149="7",BI149,0)</f>
        <v>0</v>
      </c>
      <c r="AF149" s="54">
        <f>IF(AQ149="2",BH149,0)</f>
        <v>0</v>
      </c>
      <c r="AG149" s="54">
        <f>IF(AQ149="2",BI149,0)</f>
        <v>0</v>
      </c>
      <c r="AH149" s="54">
        <f>IF(AQ149="0",BJ149,0)</f>
        <v>0</v>
      </c>
      <c r="AI149" s="34" t="s">
        <v>1512</v>
      </c>
      <c r="AJ149" s="67">
        <f>IF(AN149=0,I149,0)</f>
        <v>0</v>
      </c>
      <c r="AK149" s="67">
        <f>IF(AN149=12,I149,0)</f>
        <v>0</v>
      </c>
      <c r="AL149" s="67">
        <f>IF(AN149=21,I149,0)</f>
        <v>0</v>
      </c>
      <c r="AN149" s="54">
        <v>21</v>
      </c>
      <c r="AO149" s="54">
        <f>H149*1</f>
        <v>0</v>
      </c>
      <c r="AP149" s="54">
        <f>H149*(1-1)</f>
        <v>0</v>
      </c>
      <c r="AQ149" s="69" t="s">
        <v>107</v>
      </c>
      <c r="AV149" s="54">
        <f>AW149+AX149</f>
        <v>0</v>
      </c>
      <c r="AW149" s="54">
        <f>G149*AO149</f>
        <v>0</v>
      </c>
      <c r="AX149" s="54">
        <f>G149*AP149</f>
        <v>0</v>
      </c>
      <c r="AY149" s="56" t="s">
        <v>1720</v>
      </c>
      <c r="AZ149" s="56" t="s">
        <v>1529</v>
      </c>
      <c r="BA149" s="34" t="s">
        <v>1520</v>
      </c>
      <c r="BC149" s="54">
        <f>AW149+AX149</f>
        <v>0</v>
      </c>
      <c r="BD149" s="54">
        <f>H149/(100-BE149)*100</f>
        <v>0</v>
      </c>
      <c r="BE149" s="54">
        <v>0</v>
      </c>
      <c r="BF149" s="54">
        <f>L149</f>
        <v>1.2500000000000001E-2</v>
      </c>
      <c r="BH149" s="67">
        <f>G149*AO149</f>
        <v>0</v>
      </c>
      <c r="BI149" s="67">
        <f>G149*AP149</f>
        <v>0</v>
      </c>
      <c r="BJ149" s="67">
        <f>G149*H149</f>
        <v>0</v>
      </c>
      <c r="BK149" s="67"/>
      <c r="BL149" s="54"/>
      <c r="BW149" s="54">
        <v>21</v>
      </c>
      <c r="BX149" s="66" t="s">
        <v>1727</v>
      </c>
    </row>
    <row r="150" spans="1:76" ht="14.5" x14ac:dyDescent="0.35">
      <c r="A150" s="64" t="s">
        <v>598</v>
      </c>
      <c r="B150" s="65" t="s">
        <v>1512</v>
      </c>
      <c r="C150" s="65" t="s">
        <v>1728</v>
      </c>
      <c r="D150" s="217" t="s">
        <v>1729</v>
      </c>
      <c r="E150" s="218"/>
      <c r="F150" s="65" t="s">
        <v>153</v>
      </c>
      <c r="G150" s="67">
        <f>'Stavební rozpočet'!G795</f>
        <v>100</v>
      </c>
      <c r="H150" s="95">
        <f>'Stavební rozpočet'!H795</f>
        <v>0</v>
      </c>
      <c r="I150" s="67">
        <f>G150*H150</f>
        <v>0</v>
      </c>
      <c r="J150" s="67">
        <f>'Stavební rozpočet'!J795</f>
        <v>6.9999999999999994E-5</v>
      </c>
      <c r="K150" s="67">
        <f>'Stavební rozpočet'!K795</f>
        <v>0</v>
      </c>
      <c r="L150" s="67">
        <f>G150*J150</f>
        <v>6.9999999999999993E-3</v>
      </c>
      <c r="M150" s="68" t="s">
        <v>111</v>
      </c>
      <c r="Z150" s="54">
        <f>IF(AQ150="5",BJ150,0)</f>
        <v>0</v>
      </c>
      <c r="AB150" s="54">
        <f>IF(AQ150="1",BH150,0)</f>
        <v>0</v>
      </c>
      <c r="AC150" s="54">
        <f>IF(AQ150="1",BI150,0)</f>
        <v>0</v>
      </c>
      <c r="AD150" s="54">
        <f>IF(AQ150="7",BH150,0)</f>
        <v>0</v>
      </c>
      <c r="AE150" s="54">
        <f>IF(AQ150="7",BI150,0)</f>
        <v>0</v>
      </c>
      <c r="AF150" s="54">
        <f>IF(AQ150="2",BH150,0)</f>
        <v>0</v>
      </c>
      <c r="AG150" s="54">
        <f>IF(AQ150="2",BI150,0)</f>
        <v>0</v>
      </c>
      <c r="AH150" s="54">
        <f>IF(AQ150="0",BJ150,0)</f>
        <v>0</v>
      </c>
      <c r="AI150" s="34" t="s">
        <v>1512</v>
      </c>
      <c r="AJ150" s="67">
        <f>IF(AN150=0,I150,0)</f>
        <v>0</v>
      </c>
      <c r="AK150" s="67">
        <f>IF(AN150=12,I150,0)</f>
        <v>0</v>
      </c>
      <c r="AL150" s="67">
        <f>IF(AN150=21,I150,0)</f>
        <v>0</v>
      </c>
      <c r="AN150" s="54">
        <v>21</v>
      </c>
      <c r="AO150" s="54">
        <f>H150*1</f>
        <v>0</v>
      </c>
      <c r="AP150" s="54">
        <f>H150*(1-1)</f>
        <v>0</v>
      </c>
      <c r="AQ150" s="69" t="s">
        <v>107</v>
      </c>
      <c r="AV150" s="54">
        <f>AW150+AX150</f>
        <v>0</v>
      </c>
      <c r="AW150" s="54">
        <f>G150*AO150</f>
        <v>0</v>
      </c>
      <c r="AX150" s="54">
        <f>G150*AP150</f>
        <v>0</v>
      </c>
      <c r="AY150" s="56" t="s">
        <v>1720</v>
      </c>
      <c r="AZ150" s="56" t="s">
        <v>1529</v>
      </c>
      <c r="BA150" s="34" t="s">
        <v>1520</v>
      </c>
      <c r="BC150" s="54">
        <f>AW150+AX150</f>
        <v>0</v>
      </c>
      <c r="BD150" s="54">
        <f>H150/(100-BE150)*100</f>
        <v>0</v>
      </c>
      <c r="BE150" s="54">
        <v>0</v>
      </c>
      <c r="BF150" s="54">
        <f>L150</f>
        <v>6.9999999999999993E-3</v>
      </c>
      <c r="BH150" s="67">
        <f>G150*AO150</f>
        <v>0</v>
      </c>
      <c r="BI150" s="67">
        <f>G150*AP150</f>
        <v>0</v>
      </c>
      <c r="BJ150" s="67">
        <f>G150*H150</f>
        <v>0</v>
      </c>
      <c r="BK150" s="67"/>
      <c r="BL150" s="54"/>
      <c r="BW150" s="54">
        <v>21</v>
      </c>
      <c r="BX150" s="66" t="s">
        <v>1729</v>
      </c>
    </row>
    <row r="151" spans="1:76" ht="14.5" x14ac:dyDescent="0.35">
      <c r="A151" s="57"/>
      <c r="C151" s="62" t="s">
        <v>156</v>
      </c>
      <c r="D151" s="211" t="s">
        <v>1730</v>
      </c>
      <c r="E151" s="212"/>
      <c r="F151" s="212"/>
      <c r="G151" s="212"/>
      <c r="H151" s="212"/>
      <c r="I151" s="212"/>
      <c r="J151" s="212"/>
      <c r="K151" s="212"/>
      <c r="L151" s="212"/>
      <c r="M151" s="213"/>
      <c r="BX151" s="70" t="s">
        <v>1730</v>
      </c>
    </row>
    <row r="152" spans="1:76" ht="14.5" x14ac:dyDescent="0.35">
      <c r="A152" s="64" t="s">
        <v>602</v>
      </c>
      <c r="B152" s="65" t="s">
        <v>1512</v>
      </c>
      <c r="C152" s="65" t="s">
        <v>1731</v>
      </c>
      <c r="D152" s="217" t="s">
        <v>1732</v>
      </c>
      <c r="E152" s="218"/>
      <c r="F152" s="65" t="s">
        <v>153</v>
      </c>
      <c r="G152" s="67">
        <f>'Stavební rozpočet'!G796</f>
        <v>15</v>
      </c>
      <c r="H152" s="95">
        <f>'Stavební rozpočet'!H796</f>
        <v>0</v>
      </c>
      <c r="I152" s="67">
        <f>G152*H152</f>
        <v>0</v>
      </c>
      <c r="J152" s="67">
        <f>'Stavební rozpočet'!J796</f>
        <v>1.9000000000000001E-4</v>
      </c>
      <c r="K152" s="67">
        <f>'Stavební rozpočet'!K796</f>
        <v>0</v>
      </c>
      <c r="L152" s="67">
        <f>G152*J152</f>
        <v>2.8500000000000001E-3</v>
      </c>
      <c r="M152" s="68" t="s">
        <v>111</v>
      </c>
      <c r="Z152" s="54">
        <f>IF(AQ152="5",BJ152,0)</f>
        <v>0</v>
      </c>
      <c r="AB152" s="54">
        <f>IF(AQ152="1",BH152,0)</f>
        <v>0</v>
      </c>
      <c r="AC152" s="54">
        <f>IF(AQ152="1",BI152,0)</f>
        <v>0</v>
      </c>
      <c r="AD152" s="54">
        <f>IF(AQ152="7",BH152,0)</f>
        <v>0</v>
      </c>
      <c r="AE152" s="54">
        <f>IF(AQ152="7",BI152,0)</f>
        <v>0</v>
      </c>
      <c r="AF152" s="54">
        <f>IF(AQ152="2",BH152,0)</f>
        <v>0</v>
      </c>
      <c r="AG152" s="54">
        <f>IF(AQ152="2",BI152,0)</f>
        <v>0</v>
      </c>
      <c r="AH152" s="54">
        <f>IF(AQ152="0",BJ152,0)</f>
        <v>0</v>
      </c>
      <c r="AI152" s="34" t="s">
        <v>1512</v>
      </c>
      <c r="AJ152" s="67">
        <f>IF(AN152=0,I152,0)</f>
        <v>0</v>
      </c>
      <c r="AK152" s="67">
        <f>IF(AN152=12,I152,0)</f>
        <v>0</v>
      </c>
      <c r="AL152" s="67">
        <f>IF(AN152=21,I152,0)</f>
        <v>0</v>
      </c>
      <c r="AN152" s="54">
        <v>21</v>
      </c>
      <c r="AO152" s="54">
        <f>H152*1</f>
        <v>0</v>
      </c>
      <c r="AP152" s="54">
        <f>H152*(1-1)</f>
        <v>0</v>
      </c>
      <c r="AQ152" s="69" t="s">
        <v>107</v>
      </c>
      <c r="AV152" s="54">
        <f>AW152+AX152</f>
        <v>0</v>
      </c>
      <c r="AW152" s="54">
        <f>G152*AO152</f>
        <v>0</v>
      </c>
      <c r="AX152" s="54">
        <f>G152*AP152</f>
        <v>0</v>
      </c>
      <c r="AY152" s="56" t="s">
        <v>1720</v>
      </c>
      <c r="AZ152" s="56" t="s">
        <v>1529</v>
      </c>
      <c r="BA152" s="34" t="s">
        <v>1520</v>
      </c>
      <c r="BC152" s="54">
        <f>AW152+AX152</f>
        <v>0</v>
      </c>
      <c r="BD152" s="54">
        <f>H152/(100-BE152)*100</f>
        <v>0</v>
      </c>
      <c r="BE152" s="54">
        <v>0</v>
      </c>
      <c r="BF152" s="54">
        <f>L152</f>
        <v>2.8500000000000001E-3</v>
      </c>
      <c r="BH152" s="67">
        <f>G152*AO152</f>
        <v>0</v>
      </c>
      <c r="BI152" s="67">
        <f>G152*AP152</f>
        <v>0</v>
      </c>
      <c r="BJ152" s="67">
        <f>G152*H152</f>
        <v>0</v>
      </c>
      <c r="BK152" s="67"/>
      <c r="BL152" s="54"/>
      <c r="BW152" s="54">
        <v>21</v>
      </c>
      <c r="BX152" s="66" t="s">
        <v>1732</v>
      </c>
    </row>
    <row r="153" spans="1:76" ht="14.5" x14ac:dyDescent="0.35">
      <c r="A153" s="57"/>
      <c r="C153" s="62" t="s">
        <v>156</v>
      </c>
      <c r="D153" s="211" t="s">
        <v>1730</v>
      </c>
      <c r="E153" s="212"/>
      <c r="F153" s="212"/>
      <c r="G153" s="212"/>
      <c r="H153" s="212"/>
      <c r="I153" s="212"/>
      <c r="J153" s="212"/>
      <c r="K153" s="212"/>
      <c r="L153" s="212"/>
      <c r="M153" s="213"/>
      <c r="BX153" s="70" t="s">
        <v>1730</v>
      </c>
    </row>
    <row r="154" spans="1:76" ht="14.5" x14ac:dyDescent="0.35">
      <c r="A154" s="1" t="s">
        <v>607</v>
      </c>
      <c r="B154" s="2" t="s">
        <v>1512</v>
      </c>
      <c r="C154" s="2" t="s">
        <v>1733</v>
      </c>
      <c r="D154" s="155" t="s">
        <v>1734</v>
      </c>
      <c r="E154" s="153"/>
      <c r="F154" s="2" t="s">
        <v>196</v>
      </c>
      <c r="G154" s="54">
        <f>'Stavební rozpočet'!G797</f>
        <v>110</v>
      </c>
      <c r="H154" s="94">
        <f>'Stavební rozpočet'!H797</f>
        <v>0</v>
      </c>
      <c r="I154" s="54">
        <f>G154*H154</f>
        <v>0</v>
      </c>
      <c r="J154" s="54">
        <f>'Stavební rozpočet'!J797</f>
        <v>0</v>
      </c>
      <c r="K154" s="54">
        <f>'Stavební rozpočet'!K797</f>
        <v>0</v>
      </c>
      <c r="L154" s="54">
        <f>G154*J154</f>
        <v>0</v>
      </c>
      <c r="M154" s="55" t="s">
        <v>111</v>
      </c>
      <c r="Z154" s="54">
        <f>IF(AQ154="5",BJ154,0)</f>
        <v>0</v>
      </c>
      <c r="AB154" s="54">
        <f>IF(AQ154="1",BH154,0)</f>
        <v>0</v>
      </c>
      <c r="AC154" s="54">
        <f>IF(AQ154="1",BI154,0)</f>
        <v>0</v>
      </c>
      <c r="AD154" s="54">
        <f>IF(AQ154="7",BH154,0)</f>
        <v>0</v>
      </c>
      <c r="AE154" s="54">
        <f>IF(AQ154="7",BI154,0)</f>
        <v>0</v>
      </c>
      <c r="AF154" s="54">
        <f>IF(AQ154="2",BH154,0)</f>
        <v>0</v>
      </c>
      <c r="AG154" s="54">
        <f>IF(AQ154="2",BI154,0)</f>
        <v>0</v>
      </c>
      <c r="AH154" s="54">
        <f>IF(AQ154="0",BJ154,0)</f>
        <v>0</v>
      </c>
      <c r="AI154" s="34" t="s">
        <v>1512</v>
      </c>
      <c r="AJ154" s="54">
        <f>IF(AN154=0,I154,0)</f>
        <v>0</v>
      </c>
      <c r="AK154" s="54">
        <f>IF(AN154=12,I154,0)</f>
        <v>0</v>
      </c>
      <c r="AL154" s="54">
        <f>IF(AN154=21,I154,0)</f>
        <v>0</v>
      </c>
      <c r="AN154" s="54">
        <v>21</v>
      </c>
      <c r="AO154" s="54">
        <f>H154*0</f>
        <v>0</v>
      </c>
      <c r="AP154" s="54">
        <f>H154*(1-0)</f>
        <v>0</v>
      </c>
      <c r="AQ154" s="56" t="s">
        <v>119</v>
      </c>
      <c r="AV154" s="54">
        <f>AW154+AX154</f>
        <v>0</v>
      </c>
      <c r="AW154" s="54">
        <f>G154*AO154</f>
        <v>0</v>
      </c>
      <c r="AX154" s="54">
        <f>G154*AP154</f>
        <v>0</v>
      </c>
      <c r="AY154" s="56" t="s">
        <v>1720</v>
      </c>
      <c r="AZ154" s="56" t="s">
        <v>1529</v>
      </c>
      <c r="BA154" s="34" t="s">
        <v>1520</v>
      </c>
      <c r="BC154" s="54">
        <f>AW154+AX154</f>
        <v>0</v>
      </c>
      <c r="BD154" s="54">
        <f>H154/(100-BE154)*100</f>
        <v>0</v>
      </c>
      <c r="BE154" s="54">
        <v>0</v>
      </c>
      <c r="BF154" s="54">
        <f>L154</f>
        <v>0</v>
      </c>
      <c r="BH154" s="54">
        <f>G154*AO154</f>
        <v>0</v>
      </c>
      <c r="BI154" s="54">
        <f>G154*AP154</f>
        <v>0</v>
      </c>
      <c r="BJ154" s="54">
        <f>G154*H154</f>
        <v>0</v>
      </c>
      <c r="BK154" s="54"/>
      <c r="BL154" s="54"/>
      <c r="BW154" s="54">
        <v>21</v>
      </c>
      <c r="BX154" s="3" t="s">
        <v>1734</v>
      </c>
    </row>
    <row r="155" spans="1:76" ht="14.5" x14ac:dyDescent="0.35">
      <c r="A155" s="1" t="s">
        <v>610</v>
      </c>
      <c r="B155" s="2" t="s">
        <v>1512</v>
      </c>
      <c r="C155" s="2" t="s">
        <v>1735</v>
      </c>
      <c r="D155" s="155" t="s">
        <v>1736</v>
      </c>
      <c r="E155" s="153"/>
      <c r="F155" s="2" t="s">
        <v>196</v>
      </c>
      <c r="G155" s="54">
        <f>'Stavební rozpočet'!G798</f>
        <v>50</v>
      </c>
      <c r="H155" s="94">
        <f>'Stavební rozpočet'!H798</f>
        <v>0</v>
      </c>
      <c r="I155" s="54">
        <f>G155*H155</f>
        <v>0</v>
      </c>
      <c r="J155" s="54">
        <f>'Stavební rozpočet'!J798</f>
        <v>0</v>
      </c>
      <c r="K155" s="54">
        <f>'Stavební rozpočet'!K798</f>
        <v>0</v>
      </c>
      <c r="L155" s="54">
        <f>G155*J155</f>
        <v>0</v>
      </c>
      <c r="M155" s="55" t="s">
        <v>111</v>
      </c>
      <c r="Z155" s="54">
        <f>IF(AQ155="5",BJ155,0)</f>
        <v>0</v>
      </c>
      <c r="AB155" s="54">
        <f>IF(AQ155="1",BH155,0)</f>
        <v>0</v>
      </c>
      <c r="AC155" s="54">
        <f>IF(AQ155="1",BI155,0)</f>
        <v>0</v>
      </c>
      <c r="AD155" s="54">
        <f>IF(AQ155="7",BH155,0)</f>
        <v>0</v>
      </c>
      <c r="AE155" s="54">
        <f>IF(AQ155="7",BI155,0)</f>
        <v>0</v>
      </c>
      <c r="AF155" s="54">
        <f>IF(AQ155="2",BH155,0)</f>
        <v>0</v>
      </c>
      <c r="AG155" s="54">
        <f>IF(AQ155="2",BI155,0)</f>
        <v>0</v>
      </c>
      <c r="AH155" s="54">
        <f>IF(AQ155="0",BJ155,0)</f>
        <v>0</v>
      </c>
      <c r="AI155" s="34" t="s">
        <v>1512</v>
      </c>
      <c r="AJ155" s="54">
        <f>IF(AN155=0,I155,0)</f>
        <v>0</v>
      </c>
      <c r="AK155" s="54">
        <f>IF(AN155=12,I155,0)</f>
        <v>0</v>
      </c>
      <c r="AL155" s="54">
        <f>IF(AN155=21,I155,0)</f>
        <v>0</v>
      </c>
      <c r="AN155" s="54">
        <v>21</v>
      </c>
      <c r="AO155" s="54">
        <f>H155*0</f>
        <v>0</v>
      </c>
      <c r="AP155" s="54">
        <f>H155*(1-0)</f>
        <v>0</v>
      </c>
      <c r="AQ155" s="56" t="s">
        <v>119</v>
      </c>
      <c r="AV155" s="54">
        <f>AW155+AX155</f>
        <v>0</v>
      </c>
      <c r="AW155" s="54">
        <f>G155*AO155</f>
        <v>0</v>
      </c>
      <c r="AX155" s="54">
        <f>G155*AP155</f>
        <v>0</v>
      </c>
      <c r="AY155" s="56" t="s">
        <v>1720</v>
      </c>
      <c r="AZ155" s="56" t="s">
        <v>1529</v>
      </c>
      <c r="BA155" s="34" t="s">
        <v>1520</v>
      </c>
      <c r="BC155" s="54">
        <f>AW155+AX155</f>
        <v>0</v>
      </c>
      <c r="BD155" s="54">
        <f>H155/(100-BE155)*100</f>
        <v>0</v>
      </c>
      <c r="BE155" s="54">
        <v>0</v>
      </c>
      <c r="BF155" s="54">
        <f>L155</f>
        <v>0</v>
      </c>
      <c r="BH155" s="54">
        <f>G155*AO155</f>
        <v>0</v>
      </c>
      <c r="BI155" s="54">
        <f>G155*AP155</f>
        <v>0</v>
      </c>
      <c r="BJ155" s="54">
        <f>G155*H155</f>
        <v>0</v>
      </c>
      <c r="BK155" s="54"/>
      <c r="BL155" s="54"/>
      <c r="BW155" s="54">
        <v>21</v>
      </c>
      <c r="BX155" s="3" t="s">
        <v>1736</v>
      </c>
    </row>
    <row r="156" spans="1:76" ht="14.5" x14ac:dyDescent="0.35">
      <c r="A156" s="4" t="s">
        <v>613</v>
      </c>
      <c r="B156" s="5" t="s">
        <v>1512</v>
      </c>
      <c r="C156" s="5" t="s">
        <v>1737</v>
      </c>
      <c r="D156" s="225" t="s">
        <v>1738</v>
      </c>
      <c r="E156" s="159"/>
      <c r="F156" s="5" t="s">
        <v>196</v>
      </c>
      <c r="G156" s="78">
        <f>'Stavební rozpočet'!G799</f>
        <v>2</v>
      </c>
      <c r="H156" s="96">
        <f>'Stavební rozpočet'!H799</f>
        <v>0</v>
      </c>
      <c r="I156" s="78">
        <f>G156*H156</f>
        <v>0</v>
      </c>
      <c r="J156" s="78">
        <f>'Stavební rozpočet'!J799</f>
        <v>0</v>
      </c>
      <c r="K156" s="78">
        <f>'Stavební rozpočet'!K799</f>
        <v>0</v>
      </c>
      <c r="L156" s="78">
        <f>G156*J156</f>
        <v>0</v>
      </c>
      <c r="M156" s="79" t="s">
        <v>111</v>
      </c>
      <c r="Z156" s="54">
        <f>IF(AQ156="5",BJ156,0)</f>
        <v>0</v>
      </c>
      <c r="AB156" s="54">
        <f>IF(AQ156="1",BH156,0)</f>
        <v>0</v>
      </c>
      <c r="AC156" s="54">
        <f>IF(AQ156="1",BI156,0)</f>
        <v>0</v>
      </c>
      <c r="AD156" s="54">
        <f>IF(AQ156="7",BH156,0)</f>
        <v>0</v>
      </c>
      <c r="AE156" s="54">
        <f>IF(AQ156="7",BI156,0)</f>
        <v>0</v>
      </c>
      <c r="AF156" s="54">
        <f>IF(AQ156="2",BH156,0)</f>
        <v>0</v>
      </c>
      <c r="AG156" s="54">
        <f>IF(AQ156="2",BI156,0)</f>
        <v>0</v>
      </c>
      <c r="AH156" s="54">
        <f>IF(AQ156="0",BJ156,0)</f>
        <v>0</v>
      </c>
      <c r="AI156" s="34" t="s">
        <v>1512</v>
      </c>
      <c r="AJ156" s="54">
        <f>IF(AN156=0,I156,0)</f>
        <v>0</v>
      </c>
      <c r="AK156" s="54">
        <f>IF(AN156=12,I156,0)</f>
        <v>0</v>
      </c>
      <c r="AL156" s="54">
        <f>IF(AN156=21,I156,0)</f>
        <v>0</v>
      </c>
      <c r="AN156" s="54">
        <v>21</v>
      </c>
      <c r="AO156" s="54">
        <f>H156*0</f>
        <v>0</v>
      </c>
      <c r="AP156" s="54">
        <f>H156*(1-0)</f>
        <v>0</v>
      </c>
      <c r="AQ156" s="56" t="s">
        <v>119</v>
      </c>
      <c r="AV156" s="54">
        <f>AW156+AX156</f>
        <v>0</v>
      </c>
      <c r="AW156" s="54">
        <f>G156*AO156</f>
        <v>0</v>
      </c>
      <c r="AX156" s="54">
        <f>G156*AP156</f>
        <v>0</v>
      </c>
      <c r="AY156" s="56" t="s">
        <v>1720</v>
      </c>
      <c r="AZ156" s="56" t="s">
        <v>1529</v>
      </c>
      <c r="BA156" s="34" t="s">
        <v>1520</v>
      </c>
      <c r="BC156" s="54">
        <f>AW156+AX156</f>
        <v>0</v>
      </c>
      <c r="BD156" s="54">
        <f>H156/(100-BE156)*100</f>
        <v>0</v>
      </c>
      <c r="BE156" s="54">
        <v>0</v>
      </c>
      <c r="BF156" s="54">
        <f>L156</f>
        <v>0</v>
      </c>
      <c r="BH156" s="54">
        <f>G156*AO156</f>
        <v>0</v>
      </c>
      <c r="BI156" s="54">
        <f>G156*AP156</f>
        <v>0</v>
      </c>
      <c r="BJ156" s="54">
        <f>G156*H156</f>
        <v>0</v>
      </c>
      <c r="BK156" s="54"/>
      <c r="BL156" s="54"/>
      <c r="BW156" s="54">
        <v>21</v>
      </c>
      <c r="BX156" s="3" t="s">
        <v>1738</v>
      </c>
    </row>
    <row r="157" spans="1:76" ht="14.5" x14ac:dyDescent="0.35">
      <c r="I157" s="76">
        <f>I13+I17+I32+I144</f>
        <v>0</v>
      </c>
    </row>
    <row r="158" spans="1:76" ht="14.5" x14ac:dyDescent="0.35">
      <c r="A158" s="77" t="s">
        <v>55</v>
      </c>
    </row>
    <row r="159" spans="1:76" ht="12.75" customHeight="1" x14ac:dyDescent="0.35">
      <c r="A159" s="155" t="s">
        <v>10</v>
      </c>
      <c r="B159" s="153"/>
      <c r="C159" s="153"/>
      <c r="D159" s="153"/>
      <c r="E159" s="153"/>
      <c r="F159" s="153"/>
      <c r="G159" s="153"/>
      <c r="H159" s="153"/>
      <c r="I159" s="153"/>
      <c r="J159" s="153"/>
      <c r="K159" s="153"/>
      <c r="L159" s="153"/>
      <c r="M159" s="153"/>
    </row>
  </sheetData>
  <sheetProtection password="E512" sheet="1" objects="1" scenarios="1"/>
  <mergeCells count="152">
    <mergeCell ref="A159:M159"/>
    <mergeCell ref="D152:E152"/>
    <mergeCell ref="D153:M153"/>
    <mergeCell ref="D154:E154"/>
    <mergeCell ref="D155:E155"/>
    <mergeCell ref="D156:E156"/>
    <mergeCell ref="D147:M147"/>
    <mergeCell ref="D148:E148"/>
    <mergeCell ref="D149:E149"/>
    <mergeCell ref="D150:E150"/>
    <mergeCell ref="D151:M151"/>
    <mergeCell ref="D140:E140"/>
    <mergeCell ref="D141:M141"/>
    <mergeCell ref="D144:E144"/>
    <mergeCell ref="D145:E145"/>
    <mergeCell ref="D146:E146"/>
    <mergeCell ref="D132:E132"/>
    <mergeCell ref="D133:M133"/>
    <mergeCell ref="D135:M135"/>
    <mergeCell ref="D136:E136"/>
    <mergeCell ref="D137:M137"/>
    <mergeCell ref="D127:E127"/>
    <mergeCell ref="D128:E128"/>
    <mergeCell ref="D129:M129"/>
    <mergeCell ref="D130:E130"/>
    <mergeCell ref="D131:E131"/>
    <mergeCell ref="D122:M122"/>
    <mergeCell ref="D123:E123"/>
    <mergeCell ref="D124:M124"/>
    <mergeCell ref="D125:E125"/>
    <mergeCell ref="D126:M126"/>
    <mergeCell ref="D117:E117"/>
    <mergeCell ref="D118:M118"/>
    <mergeCell ref="D119:E119"/>
    <mergeCell ref="D120:M120"/>
    <mergeCell ref="D121:E121"/>
    <mergeCell ref="D112:E112"/>
    <mergeCell ref="D113:E113"/>
    <mergeCell ref="D114:E114"/>
    <mergeCell ref="D115:E115"/>
    <mergeCell ref="D116:E116"/>
    <mergeCell ref="D105:E105"/>
    <mergeCell ref="D107:M107"/>
    <mergeCell ref="D108:E108"/>
    <mergeCell ref="D109:E109"/>
    <mergeCell ref="D110:M110"/>
    <mergeCell ref="D91:E91"/>
    <mergeCell ref="D94:E94"/>
    <mergeCell ref="D96:E96"/>
    <mergeCell ref="D97:M97"/>
    <mergeCell ref="D99:E99"/>
    <mergeCell ref="D86:E86"/>
    <mergeCell ref="D87:M87"/>
    <mergeCell ref="D88:E88"/>
    <mergeCell ref="D89:E89"/>
    <mergeCell ref="D90:E90"/>
    <mergeCell ref="D81:E81"/>
    <mergeCell ref="D82:M82"/>
    <mergeCell ref="D83:E83"/>
    <mergeCell ref="D84:M84"/>
    <mergeCell ref="D85:E85"/>
    <mergeCell ref="D76:M76"/>
    <mergeCell ref="D77:E77"/>
    <mergeCell ref="D78:E78"/>
    <mergeCell ref="D79:M79"/>
    <mergeCell ref="D80:E80"/>
    <mergeCell ref="D71:E71"/>
    <mergeCell ref="D72:E72"/>
    <mergeCell ref="D73:M73"/>
    <mergeCell ref="D74:E74"/>
    <mergeCell ref="D75:E75"/>
    <mergeCell ref="D66:E66"/>
    <mergeCell ref="D67:E67"/>
    <mergeCell ref="D68:M68"/>
    <mergeCell ref="D69:E69"/>
    <mergeCell ref="D70:E70"/>
    <mergeCell ref="D61:M61"/>
    <mergeCell ref="D62:E62"/>
    <mergeCell ref="D63:M63"/>
    <mergeCell ref="D64:E64"/>
    <mergeCell ref="D65:M65"/>
    <mergeCell ref="D56:M56"/>
    <mergeCell ref="D57:M57"/>
    <mergeCell ref="D58:E58"/>
    <mergeCell ref="D59:M59"/>
    <mergeCell ref="D60:E60"/>
    <mergeCell ref="D51:E51"/>
    <mergeCell ref="D52:M52"/>
    <mergeCell ref="D53:E53"/>
    <mergeCell ref="D54:M54"/>
    <mergeCell ref="D55:E55"/>
    <mergeCell ref="D45:M45"/>
    <mergeCell ref="D47:E47"/>
    <mergeCell ref="D48:M48"/>
    <mergeCell ref="D49:E49"/>
    <mergeCell ref="D50:E50"/>
    <mergeCell ref="D40:M40"/>
    <mergeCell ref="D41:E41"/>
    <mergeCell ref="D42:E42"/>
    <mergeCell ref="D43:M43"/>
    <mergeCell ref="D44:E44"/>
    <mergeCell ref="D32:E32"/>
    <mergeCell ref="D33:E33"/>
    <mergeCell ref="D34:M34"/>
    <mergeCell ref="D37:E37"/>
    <mergeCell ref="D38:M38"/>
    <mergeCell ref="D25:E25"/>
    <mergeCell ref="D26:M26"/>
    <mergeCell ref="D29:E29"/>
    <mergeCell ref="D30:E30"/>
    <mergeCell ref="D31:E31"/>
    <mergeCell ref="D20:E20"/>
    <mergeCell ref="D21:E21"/>
    <mergeCell ref="D22:E22"/>
    <mergeCell ref="D23:E23"/>
    <mergeCell ref="D24:E24"/>
    <mergeCell ref="D15:M15"/>
    <mergeCell ref="D16:M16"/>
    <mergeCell ref="D17:E17"/>
    <mergeCell ref="D18:E18"/>
    <mergeCell ref="D19:E19"/>
    <mergeCell ref="D11:E11"/>
    <mergeCell ref="J10:L10"/>
    <mergeCell ref="D12:E12"/>
    <mergeCell ref="D13:E13"/>
    <mergeCell ref="D14:E14"/>
    <mergeCell ref="K2:M3"/>
    <mergeCell ref="K4:M5"/>
    <mergeCell ref="K6:M7"/>
    <mergeCell ref="K8:M9"/>
    <mergeCell ref="D10:E10"/>
    <mergeCell ref="D8:E9"/>
    <mergeCell ref="H2:H3"/>
    <mergeCell ref="H4:H5"/>
    <mergeCell ref="H6:H7"/>
    <mergeCell ref="H8:H9"/>
    <mergeCell ref="A1:M1"/>
    <mergeCell ref="A2:C3"/>
    <mergeCell ref="A4:C5"/>
    <mergeCell ref="A6:C7"/>
    <mergeCell ref="A8:C9"/>
    <mergeCell ref="F2:G3"/>
    <mergeCell ref="F4:G5"/>
    <mergeCell ref="F6:G7"/>
    <mergeCell ref="F8:G9"/>
    <mergeCell ref="I2:J3"/>
    <mergeCell ref="I4:J5"/>
    <mergeCell ref="I6:J7"/>
    <mergeCell ref="I8:J9"/>
    <mergeCell ref="D2:E3"/>
    <mergeCell ref="D4:E5"/>
    <mergeCell ref="D6:E7"/>
  </mergeCells>
  <pageMargins left="0.393999993801117" right="0.393999993801117" top="0.59100002050399802" bottom="0.59100002050399802" header="0" footer="0"/>
  <pageSetup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selection activeCell="A35" sqref="A35:I35"/>
    </sheetView>
  </sheetViews>
  <sheetFormatPr defaultColWidth="12.1796875" defaultRowHeight="15" customHeight="1" x14ac:dyDescent="0.35"/>
  <cols>
    <col min="1" max="1" width="9.1796875" customWidth="1"/>
    <col min="2" max="2" width="12.81640625" customWidth="1"/>
    <col min="3" max="3" width="27.1796875" customWidth="1"/>
    <col min="4" max="4" width="10" customWidth="1"/>
    <col min="5" max="5" width="14" customWidth="1"/>
    <col min="6" max="6" width="27.1796875" customWidth="1"/>
    <col min="7" max="7" width="9.1796875" customWidth="1"/>
    <col min="8" max="8" width="12.81640625" customWidth="1"/>
    <col min="9" max="9" width="27.1796875" customWidth="1"/>
  </cols>
  <sheetData>
    <row r="1" spans="1:9" ht="54.75" customHeight="1" x14ac:dyDescent="0.35">
      <c r="A1" s="150" t="s">
        <v>1739</v>
      </c>
      <c r="B1" s="151"/>
      <c r="C1" s="151"/>
      <c r="D1" s="151"/>
      <c r="E1" s="151"/>
      <c r="F1" s="151"/>
      <c r="G1" s="151"/>
      <c r="H1" s="151"/>
      <c r="I1" s="151"/>
    </row>
    <row r="2" spans="1:9" ht="14.5" x14ac:dyDescent="0.35">
      <c r="A2" s="106" t="s">
        <v>1</v>
      </c>
      <c r="B2" s="107"/>
      <c r="C2" s="110" t="str">
        <f>'Stavební rozpočet'!C2</f>
        <v>SOŠ,SOU Třešť - Rekonstrukce 4NP DM</v>
      </c>
      <c r="D2" s="111"/>
      <c r="E2" s="113" t="s">
        <v>2</v>
      </c>
      <c r="F2" s="113" t="str">
        <f>'Stavební rozpočet'!I2</f>
        <v>Kraj Vysočina</v>
      </c>
      <c r="G2" s="107"/>
      <c r="H2" s="113" t="s">
        <v>3</v>
      </c>
      <c r="I2" s="114" t="s">
        <v>4</v>
      </c>
    </row>
    <row r="3" spans="1:9" ht="15" customHeight="1" x14ac:dyDescent="0.35">
      <c r="A3" s="152"/>
      <c r="B3" s="153"/>
      <c r="C3" s="158"/>
      <c r="D3" s="158"/>
      <c r="E3" s="153"/>
      <c r="F3" s="153"/>
      <c r="G3" s="153"/>
      <c r="H3" s="153"/>
      <c r="I3" s="156"/>
    </row>
    <row r="4" spans="1:9" ht="14.5" x14ac:dyDescent="0.35">
      <c r="A4" s="154" t="s">
        <v>5</v>
      </c>
      <c r="B4" s="153"/>
      <c r="C4" s="155" t="str">
        <f>'Stavební rozpočet'!C4</f>
        <v xml:space="preserve"> </v>
      </c>
      <c r="D4" s="153"/>
      <c r="E4" s="155" t="s">
        <v>6</v>
      </c>
      <c r="F4" s="155" t="str">
        <f>'Stavební rozpočet'!I4</f>
        <v>Ing. Miroslav Korecký</v>
      </c>
      <c r="G4" s="153"/>
      <c r="H4" s="155" t="s">
        <v>3</v>
      </c>
      <c r="I4" s="156" t="s">
        <v>7</v>
      </c>
    </row>
    <row r="5" spans="1:9" ht="15" customHeight="1" x14ac:dyDescent="0.35">
      <c r="A5" s="152"/>
      <c r="B5" s="153"/>
      <c r="C5" s="153"/>
      <c r="D5" s="153"/>
      <c r="E5" s="153"/>
      <c r="F5" s="153"/>
      <c r="G5" s="153"/>
      <c r="H5" s="153"/>
      <c r="I5" s="156"/>
    </row>
    <row r="6" spans="1:9" ht="14.5" x14ac:dyDescent="0.35">
      <c r="A6" s="154" t="s">
        <v>8</v>
      </c>
      <c r="B6" s="153"/>
      <c r="C6" s="155" t="str">
        <f>'Stavební rozpočet'!C6</f>
        <v>Domov mládeže - Rekonstrukce 4NP</v>
      </c>
      <c r="D6" s="153"/>
      <c r="E6" s="155" t="s">
        <v>9</v>
      </c>
      <c r="F6" s="155" t="str">
        <f>'Stavební rozpočet'!I6</f>
        <v> </v>
      </c>
      <c r="G6" s="153"/>
      <c r="H6" s="155" t="s">
        <v>3</v>
      </c>
      <c r="I6" s="156" t="s">
        <v>10</v>
      </c>
    </row>
    <row r="7" spans="1:9" ht="15" customHeight="1" x14ac:dyDescent="0.35">
      <c r="A7" s="152"/>
      <c r="B7" s="153"/>
      <c r="C7" s="153"/>
      <c r="D7" s="153"/>
      <c r="E7" s="153"/>
      <c r="F7" s="153"/>
      <c r="G7" s="153"/>
      <c r="H7" s="153"/>
      <c r="I7" s="156"/>
    </row>
    <row r="8" spans="1:9" ht="14.5" x14ac:dyDescent="0.35">
      <c r="A8" s="154" t="s">
        <v>11</v>
      </c>
      <c r="B8" s="153"/>
      <c r="C8" s="155" t="str">
        <f>'Stavební rozpočet'!F4</f>
        <v>22.01.2025</v>
      </c>
      <c r="D8" s="153"/>
      <c r="E8" s="155" t="s">
        <v>12</v>
      </c>
      <c r="F8" s="155" t="str">
        <f>'Stavební rozpočet'!F6</f>
        <v xml:space="preserve"> </v>
      </c>
      <c r="G8" s="153"/>
      <c r="H8" s="153" t="s">
        <v>13</v>
      </c>
      <c r="I8" s="157">
        <v>28</v>
      </c>
    </row>
    <row r="9" spans="1:9" ht="14.5" x14ac:dyDescent="0.35">
      <c r="A9" s="152"/>
      <c r="B9" s="153"/>
      <c r="C9" s="153"/>
      <c r="D9" s="153"/>
      <c r="E9" s="153"/>
      <c r="F9" s="153"/>
      <c r="G9" s="153"/>
      <c r="H9" s="153"/>
      <c r="I9" s="156"/>
    </row>
    <row r="10" spans="1:9" ht="14.5" x14ac:dyDescent="0.35">
      <c r="A10" s="154" t="s">
        <v>14</v>
      </c>
      <c r="B10" s="153"/>
      <c r="C10" s="155" t="str">
        <f>'Stavební rozpočet'!C8</f>
        <v>801753</v>
      </c>
      <c r="D10" s="153"/>
      <c r="E10" s="155" t="s">
        <v>15</v>
      </c>
      <c r="F10" s="155" t="str">
        <f>'Stavební rozpočet'!I8</f>
        <v>Ing. Miroslav Korecký</v>
      </c>
      <c r="G10" s="153"/>
      <c r="H10" s="153" t="s">
        <v>16</v>
      </c>
      <c r="I10" s="160" t="str">
        <f>'Stavební rozpočet'!F8</f>
        <v>22.01.2025</v>
      </c>
    </row>
    <row r="11" spans="1:9" ht="14.5" x14ac:dyDescent="0.35">
      <c r="A11" s="165"/>
      <c r="B11" s="159"/>
      <c r="C11" s="159"/>
      <c r="D11" s="159"/>
      <c r="E11" s="159"/>
      <c r="F11" s="159"/>
      <c r="G11" s="159"/>
      <c r="H11" s="159"/>
      <c r="I11" s="161"/>
    </row>
    <row r="12" spans="1:9" ht="23" x14ac:dyDescent="0.35">
      <c r="A12" s="162" t="s">
        <v>17</v>
      </c>
      <c r="B12" s="162"/>
      <c r="C12" s="162"/>
      <c r="D12" s="162"/>
      <c r="E12" s="162"/>
      <c r="F12" s="162"/>
      <c r="G12" s="162"/>
      <c r="H12" s="162"/>
      <c r="I12" s="162"/>
    </row>
    <row r="13" spans="1:9" ht="26.25" customHeight="1" x14ac:dyDescent="0.35">
      <c r="A13" s="6" t="s">
        <v>18</v>
      </c>
      <c r="B13" s="163" t="s">
        <v>19</v>
      </c>
      <c r="C13" s="164"/>
      <c r="D13" s="7" t="s">
        <v>20</v>
      </c>
      <c r="E13" s="163" t="s">
        <v>21</v>
      </c>
      <c r="F13" s="164"/>
      <c r="G13" s="7" t="s">
        <v>22</v>
      </c>
      <c r="H13" s="163" t="s">
        <v>23</v>
      </c>
      <c r="I13" s="164"/>
    </row>
    <row r="14" spans="1:9" ht="15.5" x14ac:dyDescent="0.35">
      <c r="A14" s="8" t="s">
        <v>24</v>
      </c>
      <c r="B14" s="9" t="s">
        <v>25</v>
      </c>
      <c r="C14" s="10">
        <f>SUM('Stavební rozpočet (D14d)'!AB12:AB885)</f>
        <v>0</v>
      </c>
      <c r="D14" s="169" t="s">
        <v>26</v>
      </c>
      <c r="E14" s="127"/>
      <c r="F14" s="10">
        <f>'VORN objektu (D14d)'!I15</f>
        <v>0</v>
      </c>
      <c r="G14" s="169" t="s">
        <v>27</v>
      </c>
      <c r="H14" s="127"/>
      <c r="I14" s="11">
        <f>'VORN objektu (D14d)'!I21</f>
        <v>0</v>
      </c>
    </row>
    <row r="15" spans="1:9" ht="15.5" x14ac:dyDescent="0.35">
      <c r="A15" s="12" t="s">
        <v>10</v>
      </c>
      <c r="B15" s="9" t="s">
        <v>28</v>
      </c>
      <c r="C15" s="10">
        <f>SUM('Stavební rozpočet (D14d)'!AC12:AC885)</f>
        <v>0</v>
      </c>
      <c r="D15" s="169" t="s">
        <v>29</v>
      </c>
      <c r="E15" s="127"/>
      <c r="F15" s="10">
        <f>'VORN objektu (D14d)'!I16</f>
        <v>0</v>
      </c>
      <c r="G15" s="169" t="s">
        <v>30</v>
      </c>
      <c r="H15" s="127"/>
      <c r="I15" s="11">
        <f>'VORN objektu (D14d)'!I22</f>
        <v>0</v>
      </c>
    </row>
    <row r="16" spans="1:9" ht="15.5" x14ac:dyDescent="0.35">
      <c r="A16" s="8" t="s">
        <v>31</v>
      </c>
      <c r="B16" s="9" t="s">
        <v>25</v>
      </c>
      <c r="C16" s="10">
        <f>SUM('Stavební rozpočet (D14d)'!AD12:AD885)</f>
        <v>0</v>
      </c>
      <c r="D16" s="169" t="s">
        <v>32</v>
      </c>
      <c r="E16" s="127"/>
      <c r="F16" s="10">
        <f>'VORN objektu (D14d)'!I17</f>
        <v>0</v>
      </c>
      <c r="G16" s="169" t="s">
        <v>33</v>
      </c>
      <c r="H16" s="127"/>
      <c r="I16" s="11">
        <f>'VORN objektu (D14d)'!I23</f>
        <v>0</v>
      </c>
    </row>
    <row r="17" spans="1:9" ht="15.5" x14ac:dyDescent="0.35">
      <c r="A17" s="12" t="s">
        <v>10</v>
      </c>
      <c r="B17" s="9" t="s">
        <v>28</v>
      </c>
      <c r="C17" s="10">
        <f>SUM('Stavební rozpočet (D14d)'!AE12:AE885)</f>
        <v>0</v>
      </c>
      <c r="D17" s="169" t="s">
        <v>10</v>
      </c>
      <c r="E17" s="127"/>
      <c r="F17" s="11" t="s">
        <v>10</v>
      </c>
      <c r="G17" s="169" t="s">
        <v>34</v>
      </c>
      <c r="H17" s="127"/>
      <c r="I17" s="11">
        <f>'VORN objektu (D14d)'!I24</f>
        <v>0</v>
      </c>
    </row>
    <row r="18" spans="1:9" ht="15.5" x14ac:dyDescent="0.35">
      <c r="A18" s="8" t="s">
        <v>35</v>
      </c>
      <c r="B18" s="9" t="s">
        <v>25</v>
      </c>
      <c r="C18" s="10">
        <f>SUM('Stavební rozpočet (D14d)'!AF12:AF885)</f>
        <v>0</v>
      </c>
      <c r="D18" s="169" t="s">
        <v>10</v>
      </c>
      <c r="E18" s="127"/>
      <c r="F18" s="11" t="s">
        <v>10</v>
      </c>
      <c r="G18" s="169" t="s">
        <v>36</v>
      </c>
      <c r="H18" s="127"/>
      <c r="I18" s="11">
        <f>'VORN objektu (D14d)'!I25</f>
        <v>0</v>
      </c>
    </row>
    <row r="19" spans="1:9" ht="15.5" x14ac:dyDescent="0.35">
      <c r="A19" s="12" t="s">
        <v>10</v>
      </c>
      <c r="B19" s="9" t="s">
        <v>28</v>
      </c>
      <c r="C19" s="10">
        <f>SUM('Stavební rozpočet (D14d)'!AG12:AG885)</f>
        <v>0</v>
      </c>
      <c r="D19" s="169" t="s">
        <v>10</v>
      </c>
      <c r="E19" s="127"/>
      <c r="F19" s="11" t="s">
        <v>10</v>
      </c>
      <c r="G19" s="169" t="s">
        <v>37</v>
      </c>
      <c r="H19" s="127"/>
      <c r="I19" s="11">
        <f>'VORN objektu (D14d)'!I26</f>
        <v>0</v>
      </c>
    </row>
    <row r="20" spans="1:9" ht="15.5" x14ac:dyDescent="0.35">
      <c r="A20" s="128" t="s">
        <v>38</v>
      </c>
      <c r="B20" s="129"/>
      <c r="C20" s="10">
        <f>SUM('Stavební rozpočet (D14d)'!AH12:AH885)</f>
        <v>0</v>
      </c>
      <c r="D20" s="169" t="s">
        <v>10</v>
      </c>
      <c r="E20" s="127"/>
      <c r="F20" s="11" t="s">
        <v>10</v>
      </c>
      <c r="G20" s="169" t="s">
        <v>10</v>
      </c>
      <c r="H20" s="127"/>
      <c r="I20" s="11" t="s">
        <v>10</v>
      </c>
    </row>
    <row r="21" spans="1:9" ht="15.5" x14ac:dyDescent="0.35">
      <c r="A21" s="166" t="s">
        <v>39</v>
      </c>
      <c r="B21" s="167"/>
      <c r="C21" s="13">
        <f>SUM('Stavební rozpočet (D14d)'!Z12:Z885)</f>
        <v>0</v>
      </c>
      <c r="D21" s="170" t="s">
        <v>10</v>
      </c>
      <c r="E21" s="171"/>
      <c r="F21" s="14" t="s">
        <v>10</v>
      </c>
      <c r="G21" s="170" t="s">
        <v>10</v>
      </c>
      <c r="H21" s="171"/>
      <c r="I21" s="14" t="s">
        <v>10</v>
      </c>
    </row>
    <row r="22" spans="1:9" ht="16.5" customHeight="1" x14ac:dyDescent="0.35">
      <c r="A22" s="137" t="s">
        <v>40</v>
      </c>
      <c r="B22" s="168"/>
      <c r="C22" s="15">
        <f>SUM(C14:C21)</f>
        <v>0</v>
      </c>
      <c r="D22" s="172" t="s">
        <v>41</v>
      </c>
      <c r="E22" s="168"/>
      <c r="F22" s="15">
        <f>SUM(F14:F21)</f>
        <v>0</v>
      </c>
      <c r="G22" s="172" t="s">
        <v>42</v>
      </c>
      <c r="H22" s="168"/>
      <c r="I22" s="15">
        <f>SUM(I14:I21)</f>
        <v>0</v>
      </c>
    </row>
    <row r="23" spans="1:9" ht="15.5" x14ac:dyDescent="0.35">
      <c r="G23" s="128" t="s">
        <v>43</v>
      </c>
      <c r="H23" s="129"/>
      <c r="I23" s="10">
        <f>'VORN objektu (D14d)'!I36</f>
        <v>0</v>
      </c>
    </row>
    <row r="25" spans="1:9" ht="15.5" x14ac:dyDescent="0.35">
      <c r="A25" s="141" t="s">
        <v>44</v>
      </c>
      <c r="B25" s="132"/>
      <c r="C25" s="16">
        <f>SUM('Stavební rozpočet (D14d)'!AJ12:AJ885)</f>
        <v>0</v>
      </c>
    </row>
    <row r="26" spans="1:9" ht="15.5" x14ac:dyDescent="0.35">
      <c r="A26" s="130" t="s">
        <v>45</v>
      </c>
      <c r="B26" s="131"/>
      <c r="C26" s="17">
        <f>SUM('Stavební rozpočet (D14d)'!AK12:AK885)</f>
        <v>0</v>
      </c>
      <c r="D26" s="173" t="s">
        <v>46</v>
      </c>
      <c r="E26" s="132"/>
      <c r="F26" s="16">
        <f>ROUND(C26*(12/100),2)</f>
        <v>0</v>
      </c>
      <c r="G26" s="173" t="s">
        <v>47</v>
      </c>
      <c r="H26" s="132"/>
      <c r="I26" s="16">
        <f>SUM(C25:C27)</f>
        <v>0</v>
      </c>
    </row>
    <row r="27" spans="1:9" ht="15.5" x14ac:dyDescent="0.35">
      <c r="A27" s="130" t="s">
        <v>48</v>
      </c>
      <c r="B27" s="131"/>
      <c r="C27" s="17">
        <f>SUM('Stavební rozpočet (D14d)'!AL12:AL885)+(F22+I22+F23+I23+I24)</f>
        <v>0</v>
      </c>
      <c r="D27" s="174" t="s">
        <v>49</v>
      </c>
      <c r="E27" s="131"/>
      <c r="F27" s="17">
        <f>ROUND(C27*(21/100),2)</f>
        <v>0</v>
      </c>
      <c r="G27" s="174" t="s">
        <v>50</v>
      </c>
      <c r="H27" s="131"/>
      <c r="I27" s="17">
        <f>SUM(F26:F27)+I26</f>
        <v>0</v>
      </c>
    </row>
    <row r="29" spans="1:9" ht="15.5" x14ac:dyDescent="0.35">
      <c r="A29" s="142" t="s">
        <v>51</v>
      </c>
      <c r="B29" s="175"/>
      <c r="C29" s="144"/>
      <c r="D29" s="177" t="s">
        <v>52</v>
      </c>
      <c r="E29" s="175"/>
      <c r="F29" s="144"/>
      <c r="G29" s="177" t="s">
        <v>53</v>
      </c>
      <c r="H29" s="175"/>
      <c r="I29" s="144"/>
    </row>
    <row r="30" spans="1:9" ht="15.5" x14ac:dyDescent="0.35">
      <c r="A30" s="145" t="s">
        <v>10</v>
      </c>
      <c r="B30" s="176"/>
      <c r="C30" s="146"/>
      <c r="D30" s="178" t="s">
        <v>10</v>
      </c>
      <c r="E30" s="176"/>
      <c r="F30" s="146"/>
      <c r="G30" s="178" t="s">
        <v>10</v>
      </c>
      <c r="H30" s="176"/>
      <c r="I30" s="146"/>
    </row>
    <row r="31" spans="1:9" ht="15.5" x14ac:dyDescent="0.35">
      <c r="A31" s="145" t="s">
        <v>10</v>
      </c>
      <c r="B31" s="176"/>
      <c r="C31" s="146"/>
      <c r="D31" s="178" t="s">
        <v>10</v>
      </c>
      <c r="E31" s="176"/>
      <c r="F31" s="146"/>
      <c r="G31" s="178" t="s">
        <v>10</v>
      </c>
      <c r="H31" s="176"/>
      <c r="I31" s="146"/>
    </row>
    <row r="32" spans="1:9" ht="15.5" x14ac:dyDescent="0.35">
      <c r="A32" s="145" t="s">
        <v>10</v>
      </c>
      <c r="B32" s="176"/>
      <c r="C32" s="146"/>
      <c r="D32" s="178" t="s">
        <v>10</v>
      </c>
      <c r="E32" s="176"/>
      <c r="F32" s="146"/>
      <c r="G32" s="178" t="s">
        <v>10</v>
      </c>
      <c r="H32" s="176"/>
      <c r="I32" s="146"/>
    </row>
    <row r="33" spans="1:9" ht="15.5" x14ac:dyDescent="0.35">
      <c r="A33" s="147" t="s">
        <v>54</v>
      </c>
      <c r="B33" s="180"/>
      <c r="C33" s="149"/>
      <c r="D33" s="179" t="s">
        <v>54</v>
      </c>
      <c r="E33" s="180"/>
      <c r="F33" s="149"/>
      <c r="G33" s="179" t="s">
        <v>54</v>
      </c>
      <c r="H33" s="180"/>
      <c r="I33" s="149"/>
    </row>
    <row r="34" spans="1:9" ht="14.5" x14ac:dyDescent="0.35">
      <c r="A34" s="18" t="s">
        <v>55</v>
      </c>
    </row>
    <row r="35" spans="1:9" ht="12.75" customHeight="1" x14ac:dyDescent="0.35">
      <c r="A35" s="155" t="s">
        <v>10</v>
      </c>
      <c r="B35" s="153"/>
      <c r="C35" s="153"/>
      <c r="D35" s="153"/>
      <c r="E35" s="153"/>
      <c r="F35" s="153"/>
      <c r="G35" s="153"/>
      <c r="H35" s="153"/>
      <c r="I35" s="153"/>
    </row>
  </sheetData>
  <sheetProtection password="E512" sheet="1"/>
  <mergeCells count="80">
    <mergeCell ref="D32:F32"/>
    <mergeCell ref="D33:F33"/>
    <mergeCell ref="G32:I32"/>
    <mergeCell ref="G33:I33"/>
    <mergeCell ref="A35:I35"/>
    <mergeCell ref="A32:C32"/>
    <mergeCell ref="A33:C33"/>
    <mergeCell ref="G26:H26"/>
    <mergeCell ref="G27:H27"/>
    <mergeCell ref="A29:C29"/>
    <mergeCell ref="A30:C30"/>
    <mergeCell ref="A31:C31"/>
    <mergeCell ref="G29:I29"/>
    <mergeCell ref="G30:I30"/>
    <mergeCell ref="G31:I31"/>
    <mergeCell ref="D29:F29"/>
    <mergeCell ref="D30:F30"/>
    <mergeCell ref="D31:F31"/>
    <mergeCell ref="A25:B25"/>
    <mergeCell ref="A26:B26"/>
    <mergeCell ref="A27:B27"/>
    <mergeCell ref="D26:E26"/>
    <mergeCell ref="D27:E27"/>
    <mergeCell ref="G19:H19"/>
    <mergeCell ref="G20:H20"/>
    <mergeCell ref="G21:H21"/>
    <mergeCell ref="G22:H22"/>
    <mergeCell ref="G23:H23"/>
    <mergeCell ref="G14:H14"/>
    <mergeCell ref="G15:H15"/>
    <mergeCell ref="G16:H16"/>
    <mergeCell ref="G17:H17"/>
    <mergeCell ref="G18:H18"/>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A36" sqref="A36:E36"/>
    </sheetView>
  </sheetViews>
  <sheetFormatPr defaultColWidth="12.1796875" defaultRowHeight="15" customHeight="1" x14ac:dyDescent="0.35"/>
  <cols>
    <col min="1" max="1" width="9.1796875" customWidth="1"/>
    <col min="2" max="2" width="12.81640625" customWidth="1"/>
    <col min="3" max="3" width="22.81640625" customWidth="1"/>
    <col min="4" max="4" width="10" customWidth="1"/>
    <col min="5" max="5" width="14" customWidth="1"/>
    <col min="6" max="6" width="22.81640625" customWidth="1"/>
    <col min="7" max="7" width="9.1796875" customWidth="1"/>
    <col min="8" max="8" width="17.1796875" customWidth="1"/>
    <col min="9" max="9" width="22.81640625" customWidth="1"/>
  </cols>
  <sheetData>
    <row r="1" spans="1:9" ht="54.75" customHeight="1" x14ac:dyDescent="0.35">
      <c r="A1" s="150" t="s">
        <v>1740</v>
      </c>
      <c r="B1" s="151"/>
      <c r="C1" s="151"/>
      <c r="D1" s="151"/>
      <c r="E1" s="151"/>
      <c r="F1" s="151"/>
      <c r="G1" s="151"/>
      <c r="H1" s="151"/>
      <c r="I1" s="151"/>
    </row>
    <row r="2" spans="1:9" ht="14.5" x14ac:dyDescent="0.35">
      <c r="A2" s="106" t="s">
        <v>1</v>
      </c>
      <c r="B2" s="107"/>
      <c r="C2" s="110" t="str">
        <f>'Stavební rozpočet'!C2</f>
        <v>SOŠ,SOU Třešť - Rekonstrukce 4NP DM</v>
      </c>
      <c r="D2" s="111"/>
      <c r="E2" s="113" t="s">
        <v>2</v>
      </c>
      <c r="F2" s="113" t="str">
        <f>'Stavební rozpočet'!I2</f>
        <v>Kraj Vysočina</v>
      </c>
      <c r="G2" s="107"/>
      <c r="H2" s="113" t="s">
        <v>3</v>
      </c>
      <c r="I2" s="114" t="s">
        <v>4</v>
      </c>
    </row>
    <row r="3" spans="1:9" ht="15" customHeight="1" x14ac:dyDescent="0.35">
      <c r="A3" s="152"/>
      <c r="B3" s="153"/>
      <c r="C3" s="158"/>
      <c r="D3" s="158"/>
      <c r="E3" s="153"/>
      <c r="F3" s="153"/>
      <c r="G3" s="153"/>
      <c r="H3" s="153"/>
      <c r="I3" s="156"/>
    </row>
    <row r="4" spans="1:9" ht="14.5" x14ac:dyDescent="0.35">
      <c r="A4" s="154" t="s">
        <v>5</v>
      </c>
      <c r="B4" s="153"/>
      <c r="C4" s="155" t="str">
        <f>'Stavební rozpočet'!C4</f>
        <v xml:space="preserve"> </v>
      </c>
      <c r="D4" s="153"/>
      <c r="E4" s="155" t="s">
        <v>6</v>
      </c>
      <c r="F4" s="155" t="str">
        <f>'Stavební rozpočet'!I4</f>
        <v>Ing. Miroslav Korecký</v>
      </c>
      <c r="G4" s="153"/>
      <c r="H4" s="155" t="s">
        <v>3</v>
      </c>
      <c r="I4" s="156" t="s">
        <v>7</v>
      </c>
    </row>
    <row r="5" spans="1:9" ht="15" customHeight="1" x14ac:dyDescent="0.35">
      <c r="A5" s="152"/>
      <c r="B5" s="153"/>
      <c r="C5" s="153"/>
      <c r="D5" s="153"/>
      <c r="E5" s="153"/>
      <c r="F5" s="153"/>
      <c r="G5" s="153"/>
      <c r="H5" s="153"/>
      <c r="I5" s="156"/>
    </row>
    <row r="6" spans="1:9" ht="14.5" x14ac:dyDescent="0.35">
      <c r="A6" s="154" t="s">
        <v>8</v>
      </c>
      <c r="B6" s="153"/>
      <c r="C6" s="155" t="str">
        <f>'Stavební rozpočet'!C6</f>
        <v>Domov mládeže - Rekonstrukce 4NP</v>
      </c>
      <c r="D6" s="153"/>
      <c r="E6" s="155" t="s">
        <v>9</v>
      </c>
      <c r="F6" s="155" t="str">
        <f>'Stavební rozpočet'!I6</f>
        <v> </v>
      </c>
      <c r="G6" s="153"/>
      <c r="H6" s="155" t="s">
        <v>3</v>
      </c>
      <c r="I6" s="156" t="s">
        <v>10</v>
      </c>
    </row>
    <row r="7" spans="1:9" ht="15" customHeight="1" x14ac:dyDescent="0.35">
      <c r="A7" s="152"/>
      <c r="B7" s="153"/>
      <c r="C7" s="153"/>
      <c r="D7" s="153"/>
      <c r="E7" s="153"/>
      <c r="F7" s="153"/>
      <c r="G7" s="153"/>
      <c r="H7" s="153"/>
      <c r="I7" s="156"/>
    </row>
    <row r="8" spans="1:9" ht="14.5" x14ac:dyDescent="0.35">
      <c r="A8" s="154" t="s">
        <v>11</v>
      </c>
      <c r="B8" s="153"/>
      <c r="C8" s="155" t="str">
        <f>'Stavební rozpočet'!F4</f>
        <v>22.01.2025</v>
      </c>
      <c r="D8" s="153"/>
      <c r="E8" s="155" t="s">
        <v>12</v>
      </c>
      <c r="F8" s="155" t="str">
        <f>'Stavební rozpočet'!F6</f>
        <v xml:space="preserve"> </v>
      </c>
      <c r="G8" s="153"/>
      <c r="H8" s="153" t="s">
        <v>13</v>
      </c>
      <c r="I8" s="157">
        <v>28</v>
      </c>
    </row>
    <row r="9" spans="1:9" ht="14.5" x14ac:dyDescent="0.35">
      <c r="A9" s="152"/>
      <c r="B9" s="153"/>
      <c r="C9" s="153"/>
      <c r="D9" s="153"/>
      <c r="E9" s="153"/>
      <c r="F9" s="153"/>
      <c r="G9" s="153"/>
      <c r="H9" s="153"/>
      <c r="I9" s="156"/>
    </row>
    <row r="10" spans="1:9" ht="14.5" x14ac:dyDescent="0.35">
      <c r="A10" s="154" t="s">
        <v>14</v>
      </c>
      <c r="B10" s="153"/>
      <c r="C10" s="155" t="str">
        <f>'Stavební rozpočet'!C8</f>
        <v>801753</v>
      </c>
      <c r="D10" s="153"/>
      <c r="E10" s="155" t="s">
        <v>15</v>
      </c>
      <c r="F10" s="155" t="str">
        <f>'Stavební rozpočet'!I8</f>
        <v>Ing. Miroslav Korecký</v>
      </c>
      <c r="G10" s="153"/>
      <c r="H10" s="153" t="s">
        <v>16</v>
      </c>
      <c r="I10" s="160" t="str">
        <f>'Stavební rozpočet'!F8</f>
        <v>22.01.2025</v>
      </c>
    </row>
    <row r="11" spans="1:9" ht="14.5" x14ac:dyDescent="0.35">
      <c r="A11" s="165"/>
      <c r="B11" s="159"/>
      <c r="C11" s="159"/>
      <c r="D11" s="159"/>
      <c r="E11" s="159"/>
      <c r="F11" s="159"/>
      <c r="G11" s="159"/>
      <c r="H11" s="159"/>
      <c r="I11" s="161"/>
    </row>
    <row r="13" spans="1:9" ht="15.5" x14ac:dyDescent="0.35">
      <c r="A13" s="181" t="s">
        <v>57</v>
      </c>
      <c r="B13" s="181"/>
      <c r="C13" s="181"/>
      <c r="D13" s="181"/>
      <c r="E13" s="181"/>
    </row>
    <row r="14" spans="1:9" ht="14.5" x14ac:dyDescent="0.35">
      <c r="A14" s="182" t="s">
        <v>58</v>
      </c>
      <c r="B14" s="183"/>
      <c r="C14" s="183"/>
      <c r="D14" s="183"/>
      <c r="E14" s="184"/>
      <c r="F14" s="19" t="s">
        <v>59</v>
      </c>
      <c r="G14" s="19" t="s">
        <v>60</v>
      </c>
      <c r="H14" s="19" t="s">
        <v>61</v>
      </c>
      <c r="I14" s="19" t="s">
        <v>59</v>
      </c>
    </row>
    <row r="15" spans="1:9" ht="14.5" x14ac:dyDescent="0.35">
      <c r="A15" s="121" t="s">
        <v>26</v>
      </c>
      <c r="B15" s="122"/>
      <c r="C15" s="122"/>
      <c r="D15" s="122"/>
      <c r="E15" s="119"/>
      <c r="F15" s="20">
        <v>0</v>
      </c>
      <c r="G15" s="21" t="s">
        <v>10</v>
      </c>
      <c r="H15" s="21" t="s">
        <v>10</v>
      </c>
      <c r="I15" s="20">
        <f>F15</f>
        <v>0</v>
      </c>
    </row>
    <row r="16" spans="1:9" ht="14.5" x14ac:dyDescent="0.35">
      <c r="A16" s="121" t="s">
        <v>29</v>
      </c>
      <c r="B16" s="122"/>
      <c r="C16" s="122"/>
      <c r="D16" s="122"/>
      <c r="E16" s="119"/>
      <c r="F16" s="20">
        <v>0</v>
      </c>
      <c r="G16" s="21" t="s">
        <v>10</v>
      </c>
      <c r="H16" s="21" t="s">
        <v>10</v>
      </c>
      <c r="I16" s="20">
        <f>F16</f>
        <v>0</v>
      </c>
    </row>
    <row r="17" spans="1:9" ht="14.5" x14ac:dyDescent="0.35">
      <c r="A17" s="185" t="s">
        <v>32</v>
      </c>
      <c r="B17" s="186"/>
      <c r="C17" s="186"/>
      <c r="D17" s="186"/>
      <c r="E17" s="187"/>
      <c r="F17" s="22">
        <v>0</v>
      </c>
      <c r="G17" s="23" t="s">
        <v>10</v>
      </c>
      <c r="H17" s="23" t="s">
        <v>10</v>
      </c>
      <c r="I17" s="22">
        <f>F17</f>
        <v>0</v>
      </c>
    </row>
    <row r="18" spans="1:9" ht="14.5" x14ac:dyDescent="0.35">
      <c r="A18" s="188" t="s">
        <v>62</v>
      </c>
      <c r="B18" s="189"/>
      <c r="C18" s="189"/>
      <c r="D18" s="189"/>
      <c r="E18" s="190"/>
      <c r="F18" s="24" t="s">
        <v>10</v>
      </c>
      <c r="G18" s="25" t="s">
        <v>10</v>
      </c>
      <c r="H18" s="25" t="s">
        <v>10</v>
      </c>
      <c r="I18" s="26">
        <f>SUM(I15:I17)</f>
        <v>0</v>
      </c>
    </row>
    <row r="20" spans="1:9" ht="14.5" x14ac:dyDescent="0.35">
      <c r="A20" s="182" t="s">
        <v>23</v>
      </c>
      <c r="B20" s="183"/>
      <c r="C20" s="183"/>
      <c r="D20" s="183"/>
      <c r="E20" s="184"/>
      <c r="F20" s="19" t="s">
        <v>59</v>
      </c>
      <c r="G20" s="19" t="s">
        <v>60</v>
      </c>
      <c r="H20" s="19" t="s">
        <v>61</v>
      </c>
      <c r="I20" s="19" t="s">
        <v>59</v>
      </c>
    </row>
    <row r="21" spans="1:9" ht="14.5" x14ac:dyDescent="0.35">
      <c r="A21" s="121" t="s">
        <v>27</v>
      </c>
      <c r="B21" s="122"/>
      <c r="C21" s="122"/>
      <c r="D21" s="122"/>
      <c r="E21" s="119"/>
      <c r="F21" s="20">
        <v>0</v>
      </c>
      <c r="G21" s="21" t="s">
        <v>10</v>
      </c>
      <c r="H21" s="21" t="s">
        <v>10</v>
      </c>
      <c r="I21" s="20">
        <f t="shared" ref="I21:I26" si="0">F21</f>
        <v>0</v>
      </c>
    </row>
    <row r="22" spans="1:9" ht="14.5" x14ac:dyDescent="0.35">
      <c r="A22" s="121" t="s">
        <v>30</v>
      </c>
      <c r="B22" s="122"/>
      <c r="C22" s="122"/>
      <c r="D22" s="122"/>
      <c r="E22" s="119"/>
      <c r="F22" s="20">
        <v>0</v>
      </c>
      <c r="G22" s="21" t="s">
        <v>10</v>
      </c>
      <c r="H22" s="21" t="s">
        <v>10</v>
      </c>
      <c r="I22" s="20">
        <f t="shared" si="0"/>
        <v>0</v>
      </c>
    </row>
    <row r="23" spans="1:9" ht="14.5" x14ac:dyDescent="0.35">
      <c r="A23" s="121" t="s">
        <v>33</v>
      </c>
      <c r="B23" s="122"/>
      <c r="C23" s="122"/>
      <c r="D23" s="122"/>
      <c r="E23" s="119"/>
      <c r="F23" s="20">
        <v>0</v>
      </c>
      <c r="G23" s="21" t="s">
        <v>10</v>
      </c>
      <c r="H23" s="21" t="s">
        <v>10</v>
      </c>
      <c r="I23" s="20">
        <f t="shared" si="0"/>
        <v>0</v>
      </c>
    </row>
    <row r="24" spans="1:9" ht="14.5" x14ac:dyDescent="0.35">
      <c r="A24" s="121" t="s">
        <v>34</v>
      </c>
      <c r="B24" s="122"/>
      <c r="C24" s="122"/>
      <c r="D24" s="122"/>
      <c r="E24" s="119"/>
      <c r="F24" s="20">
        <v>0</v>
      </c>
      <c r="G24" s="21" t="s">
        <v>10</v>
      </c>
      <c r="H24" s="21" t="s">
        <v>10</v>
      </c>
      <c r="I24" s="20">
        <f t="shared" si="0"/>
        <v>0</v>
      </c>
    </row>
    <row r="25" spans="1:9" ht="14.5" x14ac:dyDescent="0.35">
      <c r="A25" s="121" t="s">
        <v>36</v>
      </c>
      <c r="B25" s="122"/>
      <c r="C25" s="122"/>
      <c r="D25" s="122"/>
      <c r="E25" s="119"/>
      <c r="F25" s="20">
        <v>0</v>
      </c>
      <c r="G25" s="21" t="s">
        <v>10</v>
      </c>
      <c r="H25" s="21" t="s">
        <v>10</v>
      </c>
      <c r="I25" s="20">
        <f t="shared" si="0"/>
        <v>0</v>
      </c>
    </row>
    <row r="26" spans="1:9" ht="14.5" x14ac:dyDescent="0.35">
      <c r="A26" s="185" t="s">
        <v>37</v>
      </c>
      <c r="B26" s="186"/>
      <c r="C26" s="186"/>
      <c r="D26" s="186"/>
      <c r="E26" s="187"/>
      <c r="F26" s="22">
        <v>0</v>
      </c>
      <c r="G26" s="23" t="s">
        <v>10</v>
      </c>
      <c r="H26" s="23" t="s">
        <v>10</v>
      </c>
      <c r="I26" s="22">
        <f t="shared" si="0"/>
        <v>0</v>
      </c>
    </row>
    <row r="27" spans="1:9" ht="14.5" x14ac:dyDescent="0.35">
      <c r="A27" s="188" t="s">
        <v>63</v>
      </c>
      <c r="B27" s="189"/>
      <c r="C27" s="189"/>
      <c r="D27" s="189"/>
      <c r="E27" s="190"/>
      <c r="F27" s="24" t="s">
        <v>10</v>
      </c>
      <c r="G27" s="25" t="s">
        <v>10</v>
      </c>
      <c r="H27" s="25" t="s">
        <v>10</v>
      </c>
      <c r="I27" s="26">
        <f>SUM(I21:I26)</f>
        <v>0</v>
      </c>
    </row>
    <row r="29" spans="1:9" ht="15.5" x14ac:dyDescent="0.35">
      <c r="A29" s="191" t="s">
        <v>64</v>
      </c>
      <c r="B29" s="192"/>
      <c r="C29" s="192"/>
      <c r="D29" s="192"/>
      <c r="E29" s="193"/>
      <c r="F29" s="194">
        <f>I18+I27</f>
        <v>0</v>
      </c>
      <c r="G29" s="195"/>
      <c r="H29" s="195"/>
      <c r="I29" s="196"/>
    </row>
    <row r="33" spans="1:9" ht="15.5" x14ac:dyDescent="0.35">
      <c r="A33" s="181" t="s">
        <v>65</v>
      </c>
      <c r="B33" s="181"/>
      <c r="C33" s="181"/>
      <c r="D33" s="181"/>
      <c r="E33" s="181"/>
    </row>
    <row r="34" spans="1:9" ht="14.5" x14ac:dyDescent="0.35">
      <c r="A34" s="182" t="s">
        <v>66</v>
      </c>
      <c r="B34" s="183"/>
      <c r="C34" s="183"/>
      <c r="D34" s="183"/>
      <c r="E34" s="184"/>
      <c r="F34" s="19" t="s">
        <v>59</v>
      </c>
      <c r="G34" s="19" t="s">
        <v>60</v>
      </c>
      <c r="H34" s="19" t="s">
        <v>61</v>
      </c>
      <c r="I34" s="19" t="s">
        <v>59</v>
      </c>
    </row>
    <row r="35" spans="1:9" ht="14.5" x14ac:dyDescent="0.35">
      <c r="A35" s="185" t="s">
        <v>10</v>
      </c>
      <c r="B35" s="186"/>
      <c r="C35" s="186"/>
      <c r="D35" s="186"/>
      <c r="E35" s="187"/>
      <c r="F35" s="22">
        <v>0</v>
      </c>
      <c r="G35" s="23" t="s">
        <v>10</v>
      </c>
      <c r="H35" s="23" t="s">
        <v>10</v>
      </c>
      <c r="I35" s="22">
        <f>F35</f>
        <v>0</v>
      </c>
    </row>
    <row r="36" spans="1:9" ht="14.5" x14ac:dyDescent="0.35">
      <c r="A36" s="188" t="s">
        <v>67</v>
      </c>
      <c r="B36" s="189"/>
      <c r="C36" s="189"/>
      <c r="D36" s="189"/>
      <c r="E36" s="190"/>
      <c r="F36" s="24" t="s">
        <v>10</v>
      </c>
      <c r="G36" s="25" t="s">
        <v>10</v>
      </c>
      <c r="H36" s="25" t="s">
        <v>10</v>
      </c>
      <c r="I36" s="26">
        <f>SUM(I35:I35)</f>
        <v>0</v>
      </c>
    </row>
  </sheetData>
  <sheetProtection password="E512" sheet="1"/>
  <mergeCells count="51">
    <mergeCell ref="A36:E36"/>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14</vt:i4>
      </vt:variant>
    </vt:vector>
  </HeadingPairs>
  <TitlesOfParts>
    <vt:vector size="14" baseType="lpstr">
      <vt:lpstr>KRYCÍ LIST - CELKOVÝ</vt:lpstr>
      <vt:lpstr>Krycí list rozpočtu (D11-D14)</vt:lpstr>
      <vt:lpstr>VORN objektu (D11-D14)</vt:lpstr>
      <vt:lpstr>Stavební rozpočet (D11-D14)</vt:lpstr>
      <vt:lpstr>Krycí list rozpočtu (D14c)</vt:lpstr>
      <vt:lpstr>VORN objektu (D14c)</vt:lpstr>
      <vt:lpstr>Stavební rozpočet (D14c)</vt:lpstr>
      <vt:lpstr>Krycí list rozpočtu (D14d)</vt:lpstr>
      <vt:lpstr>VORN objektu (D14d)</vt:lpstr>
      <vt:lpstr>Stavební rozpočet (D14d)</vt:lpstr>
      <vt:lpstr>Krycí list rozpočtu (VORN)</vt:lpstr>
      <vt:lpstr>VORN objektu (VORN)</vt:lpstr>
      <vt:lpstr>Stavební rozpočet (VORN)</vt:lpstr>
      <vt:lpstr>Stavební rozpočet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Miroslav Korecký</cp:lastModifiedBy>
  <cp:lastPrinted>2025-02-24T08:18:21Z</cp:lastPrinted>
  <dcterms:created xsi:type="dcterms:W3CDTF">2021-06-10T20:06:38Z</dcterms:created>
  <dcterms:modified xsi:type="dcterms:W3CDTF">2025-03-25T10:04:25Z</dcterms:modified>
</cp:coreProperties>
</file>