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7848" yWindow="336" windowWidth="7080" windowHeight="8016" activeTab="1"/>
  </bookViews>
  <sheets>
    <sheet name="REKAPITULACE" sheetId="2" r:id="rId1"/>
    <sheet name="SO1" sheetId="3" r:id="rId2"/>
    <sheet name="SO1vzt" sheetId="4" r:id="rId3"/>
    <sheet name="SO2" sheetId="5" r:id="rId4"/>
    <sheet name="SO2vzt" sheetId="6" r:id="rId5"/>
    <sheet name="OVN" sheetId="7" r:id="rId6"/>
  </sheets>
  <externalReferences>
    <externalReference r:id="rId9"/>
  </externalReferences>
  <definedNames/>
  <calcPr calcId="145621"/>
</workbook>
</file>

<file path=xl/comments2.xml><?xml version="1.0" encoding="utf-8"?>
<comments xmlns="http://schemas.openxmlformats.org/spreadsheetml/2006/main">
  <authors>
    <author>Autor</author>
  </authors>
  <commentList>
    <comment ref="I577" authorId="0">
      <text>
        <r>
          <rPr>
            <b/>
            <sz val="9"/>
            <rFont val="Tahoma"/>
            <family val="2"/>
          </rPr>
          <t xml:space="preserve">Autor:
</t>
        </r>
      </text>
    </comment>
    <comment ref="I578" authorId="0">
      <text>
        <r>
          <rPr>
            <b/>
            <sz val="9"/>
            <rFont val="Tahoma"/>
            <family val="2"/>
          </rPr>
          <t xml:space="preserve">Autor:
</t>
        </r>
      </text>
    </comment>
  </commentList>
</comments>
</file>

<file path=xl/comments4.xml><?xml version="1.0" encoding="utf-8"?>
<comments xmlns="http://schemas.openxmlformats.org/spreadsheetml/2006/main">
  <authors>
    <author>Autor</author>
  </authors>
  <commentList>
    <comment ref="I409" authorId="0">
      <text>
        <r>
          <rPr>
            <b/>
            <sz val="9"/>
            <rFont val="Tahoma"/>
            <family val="2"/>
          </rPr>
          <t xml:space="preserve">Autor:
</t>
        </r>
      </text>
    </comment>
  </commentList>
</comments>
</file>

<file path=xl/sharedStrings.xml><?xml version="1.0" encoding="utf-8"?>
<sst xmlns="http://schemas.openxmlformats.org/spreadsheetml/2006/main" count="4657" uniqueCount="1585">
  <si>
    <t>Stavební úpravy gynekologickoporodnického oddělení</t>
  </si>
  <si>
    <t>Popis</t>
  </si>
  <si>
    <t>Cena</t>
  </si>
  <si>
    <t>020: Čisté prostory</t>
  </si>
  <si>
    <t>022: Dorozumívací zařízení</t>
  </si>
  <si>
    <t>024: Vzduchotechnika</t>
  </si>
  <si>
    <t>713: Izolace tepelné</t>
  </si>
  <si>
    <t>725: Zařizovací předměty</t>
  </si>
  <si>
    <t>726: Instalační prefabrikáty</t>
  </si>
  <si>
    <t>729: Rozvod potrubí</t>
  </si>
  <si>
    <t>730: Armatury</t>
  </si>
  <si>
    <t>733: Medicinální plyny</t>
  </si>
  <si>
    <t>734: EPS</t>
  </si>
  <si>
    <t>735: MaR</t>
  </si>
  <si>
    <t>763: Konstrukce montované</t>
  </si>
  <si>
    <t>764: Konstrukce klempířské</t>
  </si>
  <si>
    <t>771: Podlahy z dlaždic</t>
  </si>
  <si>
    <t>776: Podlahy povlakové</t>
  </si>
  <si>
    <t>781: Obklady keramické</t>
  </si>
  <si>
    <t>Celkem (bez DPH)</t>
  </si>
  <si>
    <t>Modernizace Perinatologického centra II. typu</t>
  </si>
  <si>
    <t>711: Izolace proti vodě</t>
  </si>
  <si>
    <t>CENA CELKEM</t>
  </si>
  <si>
    <t>Cena SO 1</t>
  </si>
  <si>
    <t>Cena SO 2</t>
  </si>
  <si>
    <t>SO 1Stavební úpravy gynekologickoporodnického oddělení</t>
  </si>
  <si>
    <t>SO 2Modernizace Perinatologického centra II. typu</t>
  </si>
  <si>
    <t>Poř.</t>
  </si>
  <si>
    <t>Typ</t>
  </si>
  <si>
    <t>Kód</t>
  </si>
  <si>
    <t>MJ</t>
  </si>
  <si>
    <t>Ztratné</t>
  </si>
  <si>
    <t>Výměra</t>
  </si>
  <si>
    <t>Jedn. cena</t>
  </si>
  <si>
    <t>003: Svislé konstrukce</t>
  </si>
  <si>
    <t>SP</t>
  </si>
  <si>
    <t>340239235</t>
  </si>
  <si>
    <t>Zazdívka otvorů pl do 4 m2 v příčkách nebo stěnách z pórobetonových příčkovek tl 150 mm</t>
  </si>
  <si>
    <t>m2</t>
  </si>
  <si>
    <t>340238235</t>
  </si>
  <si>
    <t>Zazdívka otvorů pl do 1 m2 v příčkách nebo stěnách z příčkovek pórobetonových tl 150 mm</t>
  </si>
  <si>
    <t>340235212</t>
  </si>
  <si>
    <t>Zazdívka otvorů pl do 0,0225 m2 v příčkách nebo stěnách z cihel tl. přes 100 mm</t>
  </si>
  <si>
    <t>kus</t>
  </si>
  <si>
    <t>31127ce</t>
  </si>
  <si>
    <t>Zazdívky z pórobetonových přesných hladkých tvárnic Ytong hmotnosti 350 kg/m3</t>
  </si>
  <si>
    <t>m3</t>
  </si>
  <si>
    <t>342272323</t>
  </si>
  <si>
    <t>Příčky tl 100 mm z pórobetonových přesných příčkovek objemové hmotnosti 500 kg/m3</t>
  </si>
  <si>
    <t>342272523</t>
  </si>
  <si>
    <t>Příčky tl 150 mm z pórobetonových přesných příčkovek objemové hmotnosti 500 kg/m3</t>
  </si>
  <si>
    <t>3422725ax</t>
  </si>
  <si>
    <t>Obezdívky tl 50 mm z pórobetonových přesných příčkovek objemové hmotnosti 500 kg/m3</t>
  </si>
  <si>
    <t>340fj8</t>
  </si>
  <si>
    <t>Překlad plochý keramicko betonový 145x71x1250 mm</t>
  </si>
  <si>
    <t>340fj9</t>
  </si>
  <si>
    <t>Překlad plochý keramicko betonový 145x71x1500 mm</t>
  </si>
  <si>
    <t>317941121</t>
  </si>
  <si>
    <t>Osazování ocelových válcovaných nosníků na zdivu I, IE, U, UE nebo L do č 12</t>
  </si>
  <si>
    <t>t</t>
  </si>
  <si>
    <t>H</t>
  </si>
  <si>
    <t>13fg1</t>
  </si>
  <si>
    <t>Tyč ocelová I, značka oceli S 235 JR, označení průřezu 100</t>
  </si>
  <si>
    <t>14eb2</t>
  </si>
  <si>
    <t>Tyč ocelová L, značka oceli S 235 JR, označení průřezu 60/60/6</t>
  </si>
  <si>
    <t>317sc6</t>
  </si>
  <si>
    <t>Kotvení ocel válc nosníků na chemické kotvy do ŽB</t>
  </si>
  <si>
    <t>340291121</t>
  </si>
  <si>
    <t>Dodatečné ukotvení příček k cihelným konstrukcím plochými nerezovými kotvami tl příčky do 100 mm</t>
  </si>
  <si>
    <t>m</t>
  </si>
  <si>
    <t>340291122</t>
  </si>
  <si>
    <t>Dodatečné ukotvení zdiva k cihelným konstrukcím plochými nerezovými kotvami tl příčky přes 100 mm</t>
  </si>
  <si>
    <t>340291131</t>
  </si>
  <si>
    <t>Dodatečné ukotvení příček k betonovým konstrukcím plochými nerezovými kotvami tl příčky do 100 mm</t>
  </si>
  <si>
    <t>340291132</t>
  </si>
  <si>
    <t>Dodatečné ukotvení příček k betonovým konstrukcím plochými nerezovými kotvami tl příčky přes 100 mm</t>
  </si>
  <si>
    <t>X743ev</t>
  </si>
  <si>
    <t xml:space="preserve">Zazdívka z pórobetonových přesných příčkovek ocelové dveřní zárubně do stávající příčky tl. 150 mm </t>
  </si>
  <si>
    <t>006: Úpravy povrchu</t>
  </si>
  <si>
    <t>631312141</t>
  </si>
  <si>
    <t xml:space="preserve">Doplnění rýh v dosavadních mazaninách betonem prostým </t>
  </si>
  <si>
    <t>612421331</t>
  </si>
  <si>
    <t>Oprava vnitřních omítek štukových stěn MV v rozsahu do 30 %</t>
  </si>
  <si>
    <t>346481111</t>
  </si>
  <si>
    <t>Zaplentování rýh, potrubí, výklenků nebo nik ve stěnách rabicovým pletivem</t>
  </si>
  <si>
    <t>612423531</t>
  </si>
  <si>
    <t>Omítka rýh š do 150 mm ve stěnách MV štuková</t>
  </si>
  <si>
    <t>612421626</t>
  </si>
  <si>
    <t>Vnitřní omítka zdiva vápenná nebo vápenocementová hladká</t>
  </si>
  <si>
    <t>612901112</t>
  </si>
  <si>
    <t>Ubroušení výstupků malty u stěn vnitřních po otlučení obkladů</t>
  </si>
  <si>
    <t>612471411</t>
  </si>
  <si>
    <t>Tenkovrstvá úprava vnitřních stěn tl do 3 mm aktivovaným štukem</t>
  </si>
  <si>
    <t>612401391</t>
  </si>
  <si>
    <t>Omítka malých ploch vnitřních stěn do 1m2</t>
  </si>
  <si>
    <t>612474115</t>
  </si>
  <si>
    <t>Vnitřní omítka pórobetonových stěn tl 8 mm ze suché směsi</t>
  </si>
  <si>
    <t>612481118</t>
  </si>
  <si>
    <t>Potažení vnitřních stěn sklovláknitým pletivem vtlačením do tmele</t>
  </si>
  <si>
    <t>612473186</t>
  </si>
  <si>
    <t>Příplatek k vnitřní omítce zdiva vápenocementové ze suchých směsí za zabudované rohovníky</t>
  </si>
  <si>
    <t>612421637</t>
  </si>
  <si>
    <t>Vnitřní omítka zdiva vápenná nebo vápenocementová štuková malých ploch</t>
  </si>
  <si>
    <t>610991111</t>
  </si>
  <si>
    <t>Zakrývání vnitřních a vnějších výplní otvorů, předmětů a konstrukcí folií a páskou</t>
  </si>
  <si>
    <t>009: Ostatní konstrukce a práce</t>
  </si>
  <si>
    <t>X34vb1</t>
  </si>
  <si>
    <t>Montáž a dodávka přenosného hasicího přístroje práškového s has. schopností 21A</t>
  </si>
  <si>
    <t>X34vb2</t>
  </si>
  <si>
    <t>Montáž a dodávka výstražných a bezpečnostních tabulek</t>
  </si>
  <si>
    <t>soubor</t>
  </si>
  <si>
    <t>X34vb3</t>
  </si>
  <si>
    <t>Montáž a dodávka protipožárních ucpávek prostupů</t>
  </si>
  <si>
    <t>kpl</t>
  </si>
  <si>
    <t>X47hs9</t>
  </si>
  <si>
    <t>Prorážení otvorů přes betonový strop tl. 240 mm pro trubku DN 150 mm</t>
  </si>
  <si>
    <t>Prostup střechou zabetonováním trubky pro VZT otvoru včetně doplnění parotěsné vrstvy včetně doplnění střešní skladby tepelnou izolací</t>
  </si>
  <si>
    <t>36b</t>
  </si>
  <si>
    <t>Zabetonování prostupů střechou po demontované VZT včetně doplnění parotěsné vrstvy včetně doplnění střešní skladby tepelnou izolací včetně doplnění živičné krytiny</t>
  </si>
  <si>
    <t>Zaizolování trubky DN 150 mm nad střechou ze živičné krytiny</t>
  </si>
  <si>
    <t>952901111</t>
  </si>
  <si>
    <t>Vyčištění budov občanské výstavby při výšce podlaží do 4 m</t>
  </si>
  <si>
    <t>952902110</t>
  </si>
  <si>
    <t>Čištění budov zametáním a vyklízením v místnostech, chodbách, na schodištích nebo půdách</t>
  </si>
  <si>
    <t>962031136</t>
  </si>
  <si>
    <t>Bourání příček z tvárnic nebo příčkovek tl do 150 mm</t>
  </si>
  <si>
    <t>968072455</t>
  </si>
  <si>
    <t>Vybourání kovových dveřních zárubní pl do 2 m2</t>
  </si>
  <si>
    <t>971dv8</t>
  </si>
  <si>
    <t>Otlučení omítek rovných podhledů</t>
  </si>
  <si>
    <t>974031132</t>
  </si>
  <si>
    <t>Vysekání rýh ve zdivu cihelném hl do 50 mm š do 70 mm</t>
  </si>
  <si>
    <t>974031153</t>
  </si>
  <si>
    <t>Vysekání rýh ve zdivu cihelném hl do 100 mm š do 100 mm</t>
  </si>
  <si>
    <t>974031664</t>
  </si>
  <si>
    <t>Vysekání rýh ve zdivu cihelném pro vtahování překladů hl do 150 mm v do 150 mm</t>
  </si>
  <si>
    <t>971033531</t>
  </si>
  <si>
    <t>Vybourání otvorů ve zdivu cihelném pl do 1 m2 na MVC nebo MV tl do 150 mm</t>
  </si>
  <si>
    <t>971033631</t>
  </si>
  <si>
    <t>Vybourání otvorů ve zdivu cihelném pl do 4 m2 na MVC nebo MV tl do 150 mm</t>
  </si>
  <si>
    <t>97103fb1</t>
  </si>
  <si>
    <t>Vybourání otvorů ve zdivu cihelném pl do 1 m2 na MVC nebo MV tl do 450 mm</t>
  </si>
  <si>
    <t>97103ac2</t>
  </si>
  <si>
    <t>Vybourání otvorů ve zdivu cihelném pl do 4 m2 na MVC nebo MV tl do 450 mm</t>
  </si>
  <si>
    <t>Vysekání rýh ve zdivu cihelném pro vtahování nosníků hl do 150 mm v do 150 mm</t>
  </si>
  <si>
    <t>962032231</t>
  </si>
  <si>
    <t>Bourání zdiva z cihel pálených nebo vápenopískových na MV nebo MVC</t>
  </si>
  <si>
    <t>964011221</t>
  </si>
  <si>
    <t>Vybourání ŽB překladů prefabrikovaných dl do 3 m hmotnosti do 75 kg/m</t>
  </si>
  <si>
    <t>9710332xc</t>
  </si>
  <si>
    <t>Vybourání otvorů ve zdivu cihelném pl do 0,25 m2 na MVC nebo MV tl do 150 mm</t>
  </si>
  <si>
    <t>965042131</t>
  </si>
  <si>
    <t>Bourání podkladů pod dlažby nebo mazanin betonových tl do 100 mm pl do 4 m2</t>
  </si>
  <si>
    <t>94111112x</t>
  </si>
  <si>
    <t>Montáž lešení řadového trubkového lehkého s podlahami zatížení do 200 kg/m2 š do 1,2 m v do 24 m</t>
  </si>
  <si>
    <t>941111221</t>
  </si>
  <si>
    <t>Příplatek k lešení řadovému trubkovému lehkému s podlahami š 1,2 m v 10 m za první a ZKD den použití</t>
  </si>
  <si>
    <t>94111182x</t>
  </si>
  <si>
    <t>Demontáž lešení řadového trubkového lehkého s podlahami zatížení do 200 kg/m2 š do 1,2 m v do 24 m</t>
  </si>
  <si>
    <t>944511111</t>
  </si>
  <si>
    <t>Montáž ochranné sítě z textilie z umělých vláken</t>
  </si>
  <si>
    <t>944511211</t>
  </si>
  <si>
    <t>Příplatek k ochranné síti za první a ZKD den použití</t>
  </si>
  <si>
    <t>944511811</t>
  </si>
  <si>
    <t>Demontáž ochranné sítě z textilie z umělých vláken</t>
  </si>
  <si>
    <t>sd2e3</t>
  </si>
  <si>
    <t>Statické posouzení (výpočet) při návrhu a stavbě lešení řadového</t>
  </si>
  <si>
    <t>sd2w7</t>
  </si>
  <si>
    <t>Pomocné kotvení do fasády při stavbě lešení řadového</t>
  </si>
  <si>
    <t>sd2a4</t>
  </si>
  <si>
    <t>Oprava porušené fasády po kotvách lešení řadového</t>
  </si>
  <si>
    <t>949111111</t>
  </si>
  <si>
    <t>Lešení lehké pomocné kozové trubkové o výšce lešeňové podlahy do 1,2 m</t>
  </si>
  <si>
    <t>949111112</t>
  </si>
  <si>
    <t>Lešení lehké pomocné kozové trubkové o výšce lešeňové podlahy do 1,9 m</t>
  </si>
  <si>
    <t>979011111</t>
  </si>
  <si>
    <t>Svislá doprava suti a vybouraných hmot za prvé podlaží</t>
  </si>
  <si>
    <t>979011121</t>
  </si>
  <si>
    <t>Svislá doprava suti a vybouraných hmot ZKD podlaží</t>
  </si>
  <si>
    <t>979082111</t>
  </si>
  <si>
    <t>Vnitrostaveništní vodorovná doprava suti a vybouraných hmot do 10 m</t>
  </si>
  <si>
    <t>979087392</t>
  </si>
  <si>
    <t>Příplatek ZKD 10 m vzdálenosti u vodorovného přemístění vybouraných hmot</t>
  </si>
  <si>
    <t>9790873sc3</t>
  </si>
  <si>
    <t>Příplatek za přemístění vybouraných hmot bez mechanizace ručně vodorovný (-2.NP až 6.NP (8 podlaží))</t>
  </si>
  <si>
    <t>Příplatek za přemístění vybouraných hmot bez mechanizace ručně svislý (-2.NP až 6.NP (8 podlaží))</t>
  </si>
  <si>
    <t>979081111</t>
  </si>
  <si>
    <t>Odvoz suti a vybouraných hmot na skládku do 1 km</t>
  </si>
  <si>
    <t>979081121</t>
  </si>
  <si>
    <t>Odvoz suti a vybouraných hmot na skládku ZKD 1 km přes 1 km</t>
  </si>
  <si>
    <t>979098203</t>
  </si>
  <si>
    <t>Poplatek za uložení stavebního odpadu (odpad HSV, včetně odpadu z PSV) na skládce (skládkovné)</t>
  </si>
  <si>
    <t>MP</t>
  </si>
  <si>
    <t>Stěnový obklad s pomocnou konstrukcí. Ocelové, barevně lakované obkladové panely. Povrch panelů musí být hladký. Montáž pomocí západkových profilů na vyrovnávací ocelovou konstrukci. Základní rastr bude 1000 mm. Výška panelů bude 50mm nad kovový podhled. Maximální tloušťka 60mm. Dodávka a montáž včetně olemování okeních otvorů.</t>
  </si>
  <si>
    <t>Dolní vodící profil G65 - délka 2,0m. Ocelový podlahový profil pod stěnový obklad, tloušťka materiálu 1mm, výška 65mm od podlahy.</t>
  </si>
  <si>
    <t>Ocelový lakovaný lehký podhled. Ocelové kostrukce zavěšené do stavebního stropu z pozinkované oceli sloužící k upevnění kazet podhledu. Stropní kovové barevně lakované kazety o rozměru 625 x 625mm. Strop bude po montáži těsný. Barevný odstín RAL 9010 polomatný.</t>
  </si>
  <si>
    <t>Revizní kazeta lehkého podhledu. Revizní kazeta lehkého podhledu M625 s revizním otvorem 620x520mm. Revizní prostup přichycen magneticky.</t>
  </si>
  <si>
    <t>Horní rádiusový profil. Hliníkový lakovaný rádiusový profil pro vytvoření rádiusové přechodu mezi podhledem a obkladem stěn.</t>
  </si>
  <si>
    <t>Lemovací profil laminárního pole. Hliníkový lakovaný profil tvaru F pro napojení podhledu k laminárnímu poli, barva RAL 9010.</t>
  </si>
  <si>
    <t>Dveře automaticky posuvné jednokřídlé 1100x2100mm. Kovové jednokřídlé automaticky posuvné dveře, průchozí rozměr 1100x2100mm, prosklení 600x900mm včetně mag. ovládané žaluzie. Barevně lakované RAL 9002. Dveřní otvor olemován nerezovou obložkovou zárubní, kování zapuštěné madlo z nerezové oceli, ovládání 2x bezdotykový spínač, programovatelný přepínač, bezpečnostní senzory.</t>
  </si>
  <si>
    <t>Dveře automaticky posuvné jednokřídlé 900x2100mm. Kovové jednokřídlé automaticky posuvné dveře, průchozí rozměr 900x2100mm, prosklení 400x900mm včetně mag. ovládané žaluzie. Barevně lakované RAL 9002. Dveřní otvor olemován nerezovou obložkovou zárubní, kování zapuštěné madlo z nerezové oceli, ovládání 2x bezdotykový spínač, programovatelný přepínač, bezpečnostní senzory.</t>
  </si>
  <si>
    <t>Dveře automaticky posuvné jednokřídlé 800x2100mm. Kovové jednokřídlé automaticky posuvné dveře, průchozí rozměr 800x2100mm, prosklení 400x900mm včetně mag. ovládané žaluzie. Barevně lakované RAL 9002. Dveřní otvor olemován nerezovou obložkovou zárubní, kování zapuštěné madlo z nerezové oceli, ovládání 2x bezdotykový spínač, programovatelný přepínač, bezpečnostní senzory.</t>
  </si>
  <si>
    <t>Dveře mechanicky posuvné jednokřídlé 1100x2100mm. Kovové jednokřídlé mechanicky posuvné dveře, průchozí rozměr 1100x2100mm, prosklení 600x900mm včetně mag. ovládané žaluzie. Barevně lakované RAL 9002. Dveřní otvor olemován nerezovou obložkovou zárubní, kování oboustranné trubkové madlo z nerezové oceli.</t>
  </si>
  <si>
    <t>Dveře mechanicky posuvné jednokřídlé 800x2100mm. Kovové jednokřídlé mechanicky posuvné dveře, průchozí rozměr 800x2100mm, prosklení 400x900mm včetně mag. ovládané žaluzie. Barevně lakované RAL 9002. Dveřní otvor olemován nerezovou obložkovou zárubní, kování oboustranné trubkové madlo z nerezové oceli.</t>
  </si>
  <si>
    <t>Svítidlo pro operační sály PURO LED 39W, rozměr 623x623x110mm, IP65, kryt SKLO, v barevné podání Ra=940, barva RAL 9010.</t>
  </si>
  <si>
    <t>Svítidlo pro operační sály PURO LED 63W, rozměr 623x623x110mm, IP65, kryt SKLO, v barevné podání Ra=940, barva RAL 9010.</t>
  </si>
  <si>
    <t>Svítidlo pro čisté prostory PURO LED 39W, rozměr 623x623x110mm, IP54, kryt OPAL, barevné podání Ra=840, barva RAL 9010.</t>
  </si>
  <si>
    <t>Svítidlo pro čisté prostory PURO LED 63W, rozměr 623x623x110mm, IP54, kryt OPAL, barevné podání Ra=840, barva RAL 9010.</t>
  </si>
  <si>
    <t>Exportní balení, doprava, engeneering, výrobně-montážní dokumentace, projekt skutečného provedení.</t>
  </si>
  <si>
    <t>Validační měření parametrů čistého prostoru v rozsahu IQ a OQ.</t>
  </si>
  <si>
    <t>cr42s</t>
  </si>
  <si>
    <t xml:space="preserve">Montáž a dodávka Stropní operační svítidlo s technologií LED se satelitem pro použití na operačním sále
Technické podmínky:
Hlavní svítidlo
Intenzita osvětlení ve vzdálenosti 1 m 160 000 lx (plynulá regulace 30 – 100% intenzity + endo mód 5% intenzity)
Průměr světelného pole cca 175 – 260 mm 
Satelitní svítidlo
Intenzita osvětlení ve vzdálenosti 1 m minimálně 130 000 lx (plynulá regulace 30 – 100% intenzity + endo mód 5% intenzity)
Průměr světelného pole cca 160 – 230 mm
Obecné požadavky: 
- zdrojem světla je systém LED diod umístěných v korpusu svítidla a mísením světla přímo v jednotce LED a ne v operačním poli (redukce nežádoucích barevných stínů)
- rozsah teploty chromatičnosti možno regulovat cca v rozsahu od 3 600°K do 4 600°K za zachování chladného světla
- synchronizovaná změna teploty chromatičnosti nastavitelná paralelně na hlavním i satelitním svítidle
- index podání barev Ra 95
- plynulé nastavení průměru světelného pole
- plynulé nastavení intenzity osvětlení ve výše uvedeném rozsahu a samostatně pro hlavní a satelitní svítidlo
- regulace intenzity světla samostatně pro hlavní a satelitní svítidlo
- homogenní osvětlení operačního pole bez barevných stínů
- nastavení pracovního rozsahu bez nutnosti následného ostření při změně polohy svítidla
- možnost volby multifunkčního ovládání svítidla na závěsu svítidla i na stěně se současným ovládáním integrovaným do sterilní rukojeti
- ovládání základních funkcí světla pomocí sterilní rukojeti – intenzita a průměr osvětleného pole
- bez mechanických prvků v tělese svítidla, které mají za úkol regulovat intenzitu osvětlení, průměr operačního osvětleného pole nebo jakékoli další světelné vlastnosti
- minimální tepelné vyzařování 
- ke každému svítidlu dvě resterilizovatelné rukojeti
- snadné čištění a desinfekce svítidel, použitý materiál a jeho poréznost, členitost povrchu, kompatibilita s laminárním prouděním a malé prostorové nároky svítidla
- snadné polohování za pomoci flexibilního a plně kardanového zavěšení, nízká hmotnost svítidla
- možnost otáčení svítidel v rozsahu 360° – bezdorazové provedení
- elektrická bezpečnost podle EN 60-601-1/VDE 0750 T-1 a IEC 60601-2-41
- napájení 230 V / 50 Hz , modul 24 V DC (přepínání při výpadku napájení)
- vlastní UPS, umístění na pojízdném vozíčku , min. cca 1500VA (pro provoz na dobu nutnou dle platných předpisů)
- životnost světelných zdrojů minimálně 40 000 provozních hodin
- výškově stavitelné, možnost naklánění a otáčení prostřednictvím nesterilních i sterilních prvků na tělese svítidla
- možnost snadného přepnutí svítidla do módu osvětlení na pozadí se současnou regulací jeho intenzity při provádění endoskopických operací, které nebude závislé na aktuálním nastavení druhého ramena
- zachování základního funkčního principu jednozdrojového operačního svítidla
- možnost instalace svítidla do místností s nízkými světlými výškami – konstrukční řešení od výrobce prostřednictvím speciálně navrženého systému ramen
- garance zachování uvedené svítivosti po celou dobu životnosti operačního svítidla
- včetně instalace, veškerých kotevních prvků, konstrukcí, uvedení do provozu, kompletní dokumentace, revizí a kontrol
</t>
  </si>
  <si>
    <t>sje7</t>
  </si>
  <si>
    <t xml:space="preserve">Montáž a dodávka Stropní vyšetřovací svítidlo s technologií LED pro použití na porodním sále
Technické podmínky:
Intenzita osvětlení ve vzdálenosti 1 m 130 000 lx (plynulá regulace intenzity 30-100%)
Průměr světelného pole cca 160 - 230 mm 
Výškově stavitelné, možnost naklánění a otáčení prostřednictvím nesterilních i sterilních prvků na tělese svítidla
Obecné požadavky: 
- zdrojem světla je systém LED diod umístěných v korpusu svítidla a s redukcí nežádoucích barevných stínů
- index podání barev min. Ra 95
- rozsah teploty chromatičnosti možno regulovat cca v rozsahu od 3 600°K do 4 600°K za zachování chladného světla
- plynulé nastavení průměru světelného pole
- plynulé nastavení intenzity osvětlení ve výše uvedeném rozsahu
- homogenní osvětlení pole bez barevných stínů
- nastavení pracovního rozsahu bez nutnosti následného ostření při změně polohy svítidla
- možnost volby multifunkčního ovládání svítidla na závěsu svítidla i na stěně se současným ovládáním integrovaným do sterilní rukojeti
- minimální tepelné vyzařování 
- možnost otáčení svítidel v rozsahu 360° – bezdorazové provedení
- snadné čištění a desinfekce svítidel, použitý materiál a jeho poréznost, členitost povrchu a malé prostorové nároky svítidla
- snadné polohování za pomoci flexibilního a plně kardanového zavěšení, nízká hmotnost svítidla
- elektrická bezpečnost podle EN 60-601-1/VDE 0750 T-1 a IEC 60601-2-41
- napájení 230 V / 50 Hz 
- vlastní UPS, umístění u zavěšení svítidla, min. 500VA 
- životnost světelných zdrojů minimálně 40 000 provozních hodin
- možnost instalace svítidla do místností s nízkými světlými výškami – konstrukční řešení od výrobce prostřednictvím speciálně navrženého systému ramen
- garance zachování uvedené svítivosti po celou dobu životnosti operačního svítidla
- včetně instalace, veškerých kotevních prvků, konstrukcí, uvedení do provozu, kompletní dokumentace, revizí a kontrol
</t>
  </si>
  <si>
    <t>021: Silnoproud</t>
  </si>
  <si>
    <t>Rozvaděče NN 0,4kV</t>
  </si>
  <si>
    <t>Doplnění rozvaděče 3-RP12+6NP</t>
  </si>
  <si>
    <t>ks</t>
  </si>
  <si>
    <t>typ vestavný</t>
  </si>
  <si>
    <t>IP40/20, TN-S</t>
  </si>
  <si>
    <t>In=40A; Ik=10kA / 400V</t>
  </si>
  <si>
    <t>přívod i vývody vrchem</t>
  </si>
  <si>
    <t>provedený dle výkresu č. D.1.4.3.07</t>
  </si>
  <si>
    <t>Rozvaděč 3-RSM13+6NP</t>
  </si>
  <si>
    <t>provedený dle výkresu č. D.1.4.3.04</t>
  </si>
  <si>
    <t>Rozvaděč 3-RSM14+6NP</t>
  </si>
  <si>
    <t>provedený dle výkresu č. D.1.4.3.05</t>
  </si>
  <si>
    <t>Rozvaděč 3-RSM16+6NP</t>
  </si>
  <si>
    <t>provedený dle výkresu č. D.1.4.3.06</t>
  </si>
  <si>
    <t>Záložní zdroj pro operační svítidla UPOL</t>
  </si>
  <si>
    <t>vybavený pro 4ks svítidel (2x35W, 2x80W)</t>
  </si>
  <si>
    <t>výstupní napětí 24V DC</t>
  </si>
  <si>
    <t>doba zálohování  180 min</t>
  </si>
  <si>
    <t>samostatně stojící</t>
  </si>
  <si>
    <t>Záložní zdroj UPS pro třídu napájení 0</t>
  </si>
  <si>
    <t>výkon 10kVA /400V/400V</t>
  </si>
  <si>
    <t>doba zálohování  60 min</t>
  </si>
  <si>
    <t>Svítidla a zdroje</t>
  </si>
  <si>
    <t>Svítidlo A1 - Vestavné LED svítidlo do kazetového podhledu 600x600 mm s opálovým difuzorem, 33W, výstup 3800 lumen, IP40, 595x595x75mm</t>
  </si>
  <si>
    <t>Svítidlo A2 - Vestavné LED svítidlo do kazetového podhledu 600x600 mm s opálovým difuzorem, 40W, výstup 4400 lumen, IP40, 595x595x75mm</t>
  </si>
  <si>
    <t>Svítidlo A3 - Vestavné LED svítidlo do kazetového podhledu 600x600 mm s opálovým difuzorem, 60W, výstup 6000 lumen, IP40, 595x595x75mm</t>
  </si>
  <si>
    <t>Svítidlo B1 - Vestavné LED svítidlo do kazetového podhledu 600x600 mm s opálovým difuzorem ve vysokém krytí, 30W, výstup 3000 lumen, IP65, 595x595x85mm</t>
  </si>
  <si>
    <t>Svítidlo B2 - Vestavné LED svítidlo do kazetového podhledu 600x600 mm s opálovým difuzorem ve vysokém krytí, 43W, výstup 4300 lumen, IP65, 595x595x85mm</t>
  </si>
  <si>
    <t>Svítidlo B3 - Vestavné LED svítidlo do kazetového podhledu 600x600 mm s opálovým difuzorem ve vysokém krytí, 60W / 940, výstup 4800 lumen, IP65, 595x595x85mm</t>
  </si>
  <si>
    <t>Svítidlo B4 - Přisazené LED svítidlo s opálovým difuzorem ve vyšším krytí, 32W, výstup 3200 lumen, IP54, 1270x110x65mm</t>
  </si>
  <si>
    <t>Svítidlo C1 - Přisazené průmyslové LED svítidlo s opálovým difuzorem, 40W, výstup 4400 lumen, IP65, 1580x90x95mm</t>
  </si>
  <si>
    <t>Svítidlo D1 - Vestavný LED downlight s čirým krycím sklem ve vyšším krytí, 14W, výstup 1600 lumen, IP44, Ø 195x100mm</t>
  </si>
  <si>
    <t>Svítidlo D2 - Vestavný LED downlight s čirým krycím sklem ve vyšším krytí, 21W, výstup 2200 lumen, IP44, Ø 195x100mm</t>
  </si>
  <si>
    <t>Svítidlo E1 - Nástěnné lineární LED svítidlo nad umyvadlo ve vyšším krytí, IP44, délka 610mm</t>
  </si>
  <si>
    <t>Svítidlo E2 - Nástěnné lineární LED svítidlo pod kuchyňskou linku, IP40, Třída ochrany II., délka 600 mm</t>
  </si>
  <si>
    <t>Svítidlo F1 - Přisazené kruhové LED svítidlo s opálovým difuzorem ve vysokém krytí, 24W / 840, výstup 2100 lumen, IP65, Třída ochrany II., Ø 360x85mm</t>
  </si>
  <si>
    <t>Montáž svítidla H1 - Vestané LED svítidlo do kovového hygienického podhledu 625x625 mm s opálovým difuzorem ve vysokém krytí, 37W / 940, výstup 3400 lumen, IP65, 623x623x90 mm</t>
  </si>
  <si>
    <t>Montáž svítidla H2 - Vestané LED svítidlo do kovového hygienického podhledu 625x625 mm s opálovým difuzorem ve vysokém krytí, 59W / 940, výstup 5400 lumen, IP65, 623x623x90 mm</t>
  </si>
  <si>
    <t>Svítidlo N1 - Vestavné nouzové LED svítidlo typu Area, 5W, výstup 285 lumen, napojeno na náhradní zdroj energie 230V, IP20, Třída ochrany II.</t>
  </si>
  <si>
    <t>Svítidlo N2 - Vestavné nouzové LED svítidlo typu Area ve vysokém krytí, 5W, výstup 285 lumen, napojeno na náhradní zdroj energie 230V, IP64, Třída ochrany II.</t>
  </si>
  <si>
    <t>Svítidlo NP - Nástěnné nouzové piktogramové LED svítidlo ve vysokém krytí, 3W, napojeno na náhradní zdroj energie 230V, IP65, Třída ochrany II.</t>
  </si>
  <si>
    <t>Koncové přístroje</t>
  </si>
  <si>
    <t>spínač řazení 1 IP20 ABB Levit, bílá/ledově bílá</t>
  </si>
  <si>
    <t>spínač řazení 5 IP20 ABB Levit, bílá/ledově bílá</t>
  </si>
  <si>
    <t>spínač řazení 6 IP20 ABB Levit, bílá/ledově bílá</t>
  </si>
  <si>
    <t>spínač řazení 7 IP20 ABB Levit, bílá/ledově bílá</t>
  </si>
  <si>
    <t>tlačítko řazení 1/0 IP20 ABB Levit, bílá/ledově bílá</t>
  </si>
  <si>
    <t>spínač řazení 1 IP20 ABB Reflex, bílá (čisté prostory)</t>
  </si>
  <si>
    <t>spínač řazení 6 IP20 ABB Reflex, bílá (čisté prostory)</t>
  </si>
  <si>
    <t>spínač řazení 7 IP20 ABB Reflex, bílá (čisté prostory)</t>
  </si>
  <si>
    <t>spínač řazení 5 IP44 ABB Praktik, šedá</t>
  </si>
  <si>
    <t>dvojitá zásuvka 230V 16A IP20 ABB Reflex, zelená</t>
  </si>
  <si>
    <t>zásuvka pro ochranný vodič PA</t>
  </si>
  <si>
    <t>dvojzásuvka 230V 16A IP20 ABB Levit, bílá/ledově bílá</t>
  </si>
  <si>
    <t>zásuvka 230V 16A IP20 ABB Levit, bílá/ledově bílá</t>
  </si>
  <si>
    <t>zásuvka STA ABB Levit, bílá/ledově bílá</t>
  </si>
  <si>
    <t>zásuvka 1xRJ45 cat.5e ABB Levit, bílá/ledově bílá</t>
  </si>
  <si>
    <t>zásuvka 1xRJ45 cat.5e ABB Reflex, bílá</t>
  </si>
  <si>
    <t>Trasy</t>
  </si>
  <si>
    <t>žlab ocelový, drátěný, pozinkovaný 200/60 včeně příslušenství</t>
  </si>
  <si>
    <t>Nosník 250</t>
  </si>
  <si>
    <t>žlab ocelový, drátěný, pozinkovaný 100/60 pož.odolnost 60min, včeně příslušenství</t>
  </si>
  <si>
    <t>ocelová kostrukce do 10 kg</t>
  </si>
  <si>
    <t>ocel.konstr.všeobecně</t>
  </si>
  <si>
    <t>kg</t>
  </si>
  <si>
    <t>sekání drážky 25x25mm do zdiva</t>
  </si>
  <si>
    <t>sekání drážky 25x15mm do zdiva</t>
  </si>
  <si>
    <t>zapravení drážky 25mm (hrubá omítka)</t>
  </si>
  <si>
    <t>zapravení drážky 15mm (hrubá omítka)</t>
  </si>
  <si>
    <t>Krabice rozbočovací KU68-1903</t>
  </si>
  <si>
    <t>Krabice universální KU68-1902</t>
  </si>
  <si>
    <t>krabice rozbočovací na povrch IP44</t>
  </si>
  <si>
    <t>INST. TRUBKA PEVNÁ 16mm</t>
  </si>
  <si>
    <t>INST. TRUBKA PEVNÁ 25mm</t>
  </si>
  <si>
    <t xml:space="preserve">příchytka 16                 </t>
  </si>
  <si>
    <t>příchytka 25</t>
  </si>
  <si>
    <t xml:space="preserve">INST. TRUBKA OHEBNÁ 25mm </t>
  </si>
  <si>
    <t>Kabeláž</t>
  </si>
  <si>
    <t>kabel CYKY 5x1,5</t>
  </si>
  <si>
    <t>kabel CYKY 3x2,5</t>
  </si>
  <si>
    <t>kabel CYKY 3x1,5</t>
  </si>
  <si>
    <t>kabel CXKH-V 3x1,5</t>
  </si>
  <si>
    <t>kabel CXKH-V 3x2,5</t>
  </si>
  <si>
    <t>kabel JYTY 14x1</t>
  </si>
  <si>
    <t>kabel UTP cat.5</t>
  </si>
  <si>
    <t>kabel UTP cat.5e</t>
  </si>
  <si>
    <t>ukončení kabelu do 4</t>
  </si>
  <si>
    <t>ukončení kabelu UTP</t>
  </si>
  <si>
    <t>kabelový štítek</t>
  </si>
  <si>
    <t>Ochranné pospojování</t>
  </si>
  <si>
    <t>HOP - hlavní ekvipotencionální svorkovnice</t>
  </si>
  <si>
    <t>štítky označovací</t>
  </si>
  <si>
    <t>vodič CYA 6 zžl</t>
  </si>
  <si>
    <t>vodič CYA 4 zžl</t>
  </si>
  <si>
    <t>vodič CYA 2,5 zžl</t>
  </si>
  <si>
    <t>svorka AB včetně pásku</t>
  </si>
  <si>
    <t>Ostatní</t>
  </si>
  <si>
    <t>Zednické práce (sekání, průrazy, zazdění drážek a otvorů včetně materiálu, odvoz suti, bez malování)</t>
  </si>
  <si>
    <t>hod</t>
  </si>
  <si>
    <t>svorka Wago 2x2,5</t>
  </si>
  <si>
    <t>svorka Wago 3x2,5</t>
  </si>
  <si>
    <t>Jádrové vrty do průměru 60mm</t>
  </si>
  <si>
    <t>Protipožární ucpávky do prum 150 do stěny nebo stropu</t>
  </si>
  <si>
    <t>pomocné práce</t>
  </si>
  <si>
    <t>Drobný nespecifikovaný materiál (šrouby, svorky, kotvící materiál…)</t>
  </si>
  <si>
    <t>kordinace a součinnost se stav.dozorem</t>
  </si>
  <si>
    <t>jiný nespecifikovaný materiál</t>
  </si>
  <si>
    <t>komplexní zkoušky,zkušební provoz, měření dat.kabeláže</t>
  </si>
  <si>
    <t>zařízení staveniště</t>
  </si>
  <si>
    <t>projekt skutečného provedení</t>
  </si>
  <si>
    <t>revize</t>
  </si>
  <si>
    <t>Dorozumívací zařízení</t>
  </si>
  <si>
    <t>Kontrola vedení</t>
  </si>
  <si>
    <t>Datový rozvaděč 19"/15U (součást dodávky SLP rozvodů)</t>
  </si>
  <si>
    <t>Napájecí zdroj + lokální server  PS-07 IP</t>
  </si>
  <si>
    <t>Rozvodný panel 8x 230V 19"/1U PDP 19"/1U</t>
  </si>
  <si>
    <t>Datový switch 24 portů/19" SWI-24</t>
  </si>
  <si>
    <t>Napájecí injektor 16 portů/19" POE - 16/19"</t>
  </si>
  <si>
    <t>Svítidlo signalizační LED CL</t>
  </si>
  <si>
    <t>Pokojový terminál hovorový s displejem RT-07DV IP</t>
  </si>
  <si>
    <t>Pokojový terminál se čtečkou a hovorem RT-07VCR IP</t>
  </si>
  <si>
    <t xml:space="preserve">Zásuvka pacienta s držákem (bez hovoru) BC-01H </t>
  </si>
  <si>
    <t>Tlačítko pacienta (bez hovoru) PU - 01</t>
  </si>
  <si>
    <t>Tlačítko nouzového volání EB-07 IP</t>
  </si>
  <si>
    <t>Táhlo nouzového volání EC-07 IP</t>
  </si>
  <si>
    <t>Služební terminál Vchod ST - 07V IP</t>
  </si>
  <si>
    <t>Elektromagnetický zámek ELM</t>
  </si>
  <si>
    <t>Patch kabel Patch 0,3m</t>
  </si>
  <si>
    <t>Konektor včetně ochrany a proměření RJ45 CAT5E</t>
  </si>
  <si>
    <t xml:space="preserve">Instalace a konfigurace systému </t>
  </si>
  <si>
    <t xml:space="preserve">Kontrolní provoz, zaškolení, vedlejší výdaje </t>
  </si>
  <si>
    <t>žlab ocelový, drátěný, pozinkovaný 100/60 včeně příslušenství</t>
  </si>
  <si>
    <t>kabel do trubek, nebo do lišt LSZH UTP Cat 5e</t>
  </si>
  <si>
    <t>vodič do trubek, nebo do lišt 2x2,5</t>
  </si>
  <si>
    <t>instalační krabice pod omítku KU 68/2</t>
  </si>
  <si>
    <t>instalační krabice pod omítku 2xKP 687/1</t>
  </si>
  <si>
    <t>instalační krabice pod omítku 3xKP 687/1</t>
  </si>
  <si>
    <t>ukončení kabelu datového</t>
  </si>
  <si>
    <t>099: Přesun hmot HSV</t>
  </si>
  <si>
    <t>998011003</t>
  </si>
  <si>
    <t>Přesun hmot pro budovy zděné výšky do 24 m</t>
  </si>
  <si>
    <t>998011sc6</t>
  </si>
  <si>
    <t>Příplatek pro přesun hmot pro budovy zděné (-2.NP až 6.NP (8 podlaží)) bez mechanizace ručně svislý</t>
  </si>
  <si>
    <t>998011sc7</t>
  </si>
  <si>
    <t xml:space="preserve">Příplatek pro přesun hmot pro budovy zděné (-2.NP až 6.NP (8 podlaží)) bez mechanizace ručně vodorovný </t>
  </si>
  <si>
    <t>X2896</t>
  </si>
  <si>
    <t xml:space="preserve">Penetrace podkladu </t>
  </si>
  <si>
    <t>7131xcv3</t>
  </si>
  <si>
    <t>Montáž tepelné izolace stěn z desek lepeno studeným asfaltovým lepidlem, desky ve sparách kotvit ke zdi nerez příponkami</t>
  </si>
  <si>
    <t>631ed</t>
  </si>
  <si>
    <t>Deska izolační z pěnového skla 450x600 mm tl. 100 mm vhodná pro lepení a omítání, třída reakce na oheň A1, faktor difuzního odporu materiálu 990000, součinitel tepelné vodivosti 0,04 W/m.K</t>
  </si>
  <si>
    <t>Přesun hmot pro izolace tepelné, výšky do 24 m</t>
  </si>
  <si>
    <t>%</t>
  </si>
  <si>
    <t>721: Vnitřní kanalizace</t>
  </si>
  <si>
    <t>721 17-1219.R00</t>
  </si>
  <si>
    <t xml:space="preserve">Trubka pro připojení WC, HL202G, D 110 mm </t>
  </si>
  <si>
    <t>721 17-6101.R00</t>
  </si>
  <si>
    <t xml:space="preserve">Potrubí HT připojovací D 32 x 1,8 mm </t>
  </si>
  <si>
    <t>721 17-6102.R00</t>
  </si>
  <si>
    <t xml:space="preserve">Potrubí HT připojovací D 40 x 1,8 mm </t>
  </si>
  <si>
    <t>721 17-6103.R00</t>
  </si>
  <si>
    <t xml:space="preserve">Potrubí HT připojovací D 50 x 1,8 mm </t>
  </si>
  <si>
    <t>721 17-6105.R00</t>
  </si>
  <si>
    <t xml:space="preserve">Potrubí HT připojovací D 110 x 2,7 mm </t>
  </si>
  <si>
    <t>721 19-4104.R00</t>
  </si>
  <si>
    <t xml:space="preserve">Vyvedení odpadních výpustek D 40 x 1,8 </t>
  </si>
  <si>
    <t>721 19-4105.R00</t>
  </si>
  <si>
    <t xml:space="preserve">Vyvedení odpadních výpustek D 50 x 1,8 </t>
  </si>
  <si>
    <t>721 19-4109.R00</t>
  </si>
  <si>
    <t xml:space="preserve">Vyvedení odpadních výpustek D 110 x 2,3 </t>
  </si>
  <si>
    <t>721 29-0111.R00</t>
  </si>
  <si>
    <t xml:space="preserve">Zkouška těsnosti kanalizace vodou DN 125 </t>
  </si>
  <si>
    <t>998 72-1103.R00</t>
  </si>
  <si>
    <t xml:space="preserve">Přesun hmot pro vnitřní kanalizaci, výšky do 24 m </t>
  </si>
  <si>
    <t>721 17-1803.R00</t>
  </si>
  <si>
    <t xml:space="preserve">Demontáž potrubí z PVC do D 75 mm </t>
  </si>
  <si>
    <t>721 17-1808.R00</t>
  </si>
  <si>
    <t xml:space="preserve">Demontáž potrubí z PVC do D 114 mm </t>
  </si>
  <si>
    <t>721 21-0818.R00</t>
  </si>
  <si>
    <t xml:space="preserve">Demontáž vpusti vanové DN 100 </t>
  </si>
  <si>
    <t>721 29-0823.R00</t>
  </si>
  <si>
    <t xml:space="preserve">Přesun vybouraných hmot - kanalizace, H 12 - 24 m </t>
  </si>
  <si>
    <t>721 17-0953.R00</t>
  </si>
  <si>
    <t xml:space="preserve">Oprava-vsazení odbočky, potrubí PVC hrdlové D 75 </t>
  </si>
  <si>
    <t>721 17-0955.R00</t>
  </si>
  <si>
    <t xml:space="preserve">Oprava-vsazení odbočky, potrubí PVC hrdlové D 110 </t>
  </si>
  <si>
    <t>721 17-0912.R00</t>
  </si>
  <si>
    <t xml:space="preserve">Oprava potrubí PVC odpadní, ohyb potrubí D 40 </t>
  </si>
  <si>
    <t>721 17-0915.R00</t>
  </si>
  <si>
    <t xml:space="preserve">Oprava potrubí PVC odpadní, ohyb potrubí D 50 </t>
  </si>
  <si>
    <t>721 17-0929.R00</t>
  </si>
  <si>
    <t xml:space="preserve">Oprava - zhotovení kolena PVC na skluzu D 114 </t>
  </si>
  <si>
    <t>721 17-0934.R00</t>
  </si>
  <si>
    <t xml:space="preserve">Oprava - zhotovení lemu na potrubí PVC D 40 </t>
  </si>
  <si>
    <t>721 17-0935.R00</t>
  </si>
  <si>
    <t xml:space="preserve">Oprava - zhotovení lemu na potrubí PVC D 50 </t>
  </si>
  <si>
    <t>721 17-0962.R00</t>
  </si>
  <si>
    <t xml:space="preserve">Oprava - propojení dosavadního potrubí PVC D 50 </t>
  </si>
  <si>
    <t>721 17-0963.R00</t>
  </si>
  <si>
    <t xml:space="preserve">Oprava - propojení dosavadního potrubí PVC D 75 </t>
  </si>
  <si>
    <t>721 17-0965.R00</t>
  </si>
  <si>
    <t xml:space="preserve">Oprava - propojení dosavadního potrubí PVC D 110 </t>
  </si>
  <si>
    <t>721 30-0932.R00</t>
  </si>
  <si>
    <t xml:space="preserve">Pročištění připojovacího potrubí šikmého do DN 110 </t>
  </si>
  <si>
    <t>Xfr38</t>
  </si>
  <si>
    <t>Stavební přípomoce, sekání drážek, prorážení otvorů, zaomítání, apod.</t>
  </si>
  <si>
    <t>722: Vnitřní vodovod</t>
  </si>
  <si>
    <t>722 17-2310.R00</t>
  </si>
  <si>
    <t xml:space="preserve">Potrubí z PPR Instaplast, studená, D 16x2,2 mm </t>
  </si>
  <si>
    <t>722 17-2311.R00</t>
  </si>
  <si>
    <t xml:space="preserve">Potrubí z PPR Instaplast, studená, D 20x2,8 mm </t>
  </si>
  <si>
    <t>722 17-2312.R00</t>
  </si>
  <si>
    <t xml:space="preserve">Potrubí z PPR Instaplast, studená, D 25x3,5 mm </t>
  </si>
  <si>
    <t>722 17-2330.R00</t>
  </si>
  <si>
    <t xml:space="preserve">Potrubí z PPR Instaplast, teplá, D 16x2,7 mm </t>
  </si>
  <si>
    <t>722 17-2331.R00</t>
  </si>
  <si>
    <t xml:space="preserve">Potrubí z PPR Instaplast, teplá, D 20x3,4 mm </t>
  </si>
  <si>
    <t>722 17-2332.R00</t>
  </si>
  <si>
    <t xml:space="preserve">Potrubí z PPR Instaplast, teplá, D 25x4,2 mm </t>
  </si>
  <si>
    <t>722 18-1212.RT6</t>
  </si>
  <si>
    <t>Izolace návleková MIRELON PRO tl. stěny 9 mm vnitřní průměr 18 mm</t>
  </si>
  <si>
    <t>722 18-1212.RT7</t>
  </si>
  <si>
    <t>Izolace návleková MIRELON PRO tl. stěny 9 mm vnitřní průměr 22 mm</t>
  </si>
  <si>
    <t>722 18-1212.RT9</t>
  </si>
  <si>
    <t>Izolace návleková MIRELON PRO tl. stěny 9 mm vnitřní průměr 28 mm</t>
  </si>
  <si>
    <t>722 17-9191.R00</t>
  </si>
  <si>
    <t xml:space="preserve">Příplatek za malý rozsah do 20 m rozvodu </t>
  </si>
  <si>
    <t>722 17-9193.R00</t>
  </si>
  <si>
    <t xml:space="preserve">Příplatek za malý rozsah do 5 svarů do DN 32 </t>
  </si>
  <si>
    <t>722 19-0401.R00</t>
  </si>
  <si>
    <t xml:space="preserve">Vyvedení a upevnění výpustek DN 15 </t>
  </si>
  <si>
    <t>722 20-2211.R00</t>
  </si>
  <si>
    <t xml:space="preserve">Nástěnka MZD PP-R INSTAPLAST D 16xR3/8 </t>
  </si>
  <si>
    <t>722 28-0106.R00</t>
  </si>
  <si>
    <t xml:space="preserve">Tlaková zkouška vodovodního potrubí DN 32 </t>
  </si>
  <si>
    <t>722 29-0234.R00</t>
  </si>
  <si>
    <t xml:space="preserve">Proplach a dezinfekce vodovod.potrubí DN 80 </t>
  </si>
  <si>
    <t>998 72-2103.R00</t>
  </si>
  <si>
    <t xml:space="preserve">Přesun hmot pro vnitřní vodovod, výšky do 24 m </t>
  </si>
  <si>
    <t>R 01</t>
  </si>
  <si>
    <t>Napojení nového potrubí PPR na stáv. potrubí z lepeného PVC vč. tvarovek</t>
  </si>
  <si>
    <t>722 17-0921.R00</t>
  </si>
  <si>
    <t xml:space="preserve">Oprava potrubí z PE, spojka přímá,vně.závit 20x1/2 </t>
  </si>
  <si>
    <t>722 17-0922.R00</t>
  </si>
  <si>
    <t xml:space="preserve">Oprava potrubí z PE, spojka přímá,vně.závit 25x3/4 </t>
  </si>
  <si>
    <t>722 17-1911.R00</t>
  </si>
  <si>
    <t xml:space="preserve">Odříznutí plastové trubky D 16 mm </t>
  </si>
  <si>
    <t>722 17-1912.R00</t>
  </si>
  <si>
    <t xml:space="preserve">Odříznutí plastové trubky D 20 mm </t>
  </si>
  <si>
    <t>722 17-1913.R00</t>
  </si>
  <si>
    <t xml:space="preserve">Odříznutí plastové trubky D 25 mm </t>
  </si>
  <si>
    <t>722 17-1931.R00</t>
  </si>
  <si>
    <t xml:space="preserve">Výměna trubky, tvarovky plastové D 16 mm </t>
  </si>
  <si>
    <t>722 17-1932.R00</t>
  </si>
  <si>
    <t xml:space="preserve">Výměna trubky, tvarovky plastové D 20 mm </t>
  </si>
  <si>
    <t>722 17-1933.R00</t>
  </si>
  <si>
    <t xml:space="preserve">Výměna trubky, tvarovky plastové D 25 mm </t>
  </si>
  <si>
    <t>722 17-3962.R00</t>
  </si>
  <si>
    <t xml:space="preserve">Spoje pro rozvod vody plast lepené D 20 mm </t>
  </si>
  <si>
    <t>722 17-3963.R00</t>
  </si>
  <si>
    <t xml:space="preserve">Spoje pro rozvod vody plast lepené D 25 mm </t>
  </si>
  <si>
    <t>722 19-0901.R00</t>
  </si>
  <si>
    <t xml:space="preserve">Uzavření/otevření vodovodního potrubí při opravě </t>
  </si>
  <si>
    <t>722 17-0801.R00</t>
  </si>
  <si>
    <t xml:space="preserve">Demontáž rozvodů vody z plastů do D 32 </t>
  </si>
  <si>
    <t>722 18-1812.R00</t>
  </si>
  <si>
    <t xml:space="preserve">Demontáž plstěných pásů z trub D 50 </t>
  </si>
  <si>
    <t>722 29-0823.R00</t>
  </si>
  <si>
    <t xml:space="preserve">Přesun vybouraných hmot - vodovody, H 12 - 24 m </t>
  </si>
  <si>
    <t>725 01-4171.R00</t>
  </si>
  <si>
    <t xml:space="preserve">Klozet závěsný MIO + sedátko, bílý </t>
  </si>
  <si>
    <t>725 01-3125.R00</t>
  </si>
  <si>
    <t xml:space="preserve">Kloz.kombi OLYMP ZTP,nádrž s arm.odpad vodor,bílý </t>
  </si>
  <si>
    <t>725 01-7123.R00</t>
  </si>
  <si>
    <t xml:space="preserve">Umyvadlo na šrouby CUBITO 60 x 45 cm, bílé </t>
  </si>
  <si>
    <t>725 01-7233.R00</t>
  </si>
  <si>
    <t xml:space="preserve">Umyvadlo rohové OLYMP 1364.1, 55 cm, barva </t>
  </si>
  <si>
    <t>725 01-9101.R00</t>
  </si>
  <si>
    <t xml:space="preserve">Výlevka stojící MIRA 5104.6 s plastovou mřížkou </t>
  </si>
  <si>
    <t>725 22-9102.RT2</t>
  </si>
  <si>
    <t>Montáž van ocel. a plastových s uzávěr. HL 500-5/4 plastových</t>
  </si>
  <si>
    <t>Kai</t>
  </si>
  <si>
    <t xml:space="preserve">Vana velká 175 x 175 cm </t>
  </si>
  <si>
    <t>725 24-9101.R00</t>
  </si>
  <si>
    <t xml:space="preserve">Montáž sprchových boxů </t>
  </si>
  <si>
    <t>500-01005</t>
  </si>
  <si>
    <t xml:space="preserve">Sprchový box SKPP-4 90 </t>
  </si>
  <si>
    <t>sobor</t>
  </si>
  <si>
    <t>725 31-9101.R00</t>
  </si>
  <si>
    <t xml:space="preserve">Montáž dřezů jednoduchých </t>
  </si>
  <si>
    <t>nab-ídka 1</t>
  </si>
  <si>
    <t xml:space="preserve">Dřez nerezový s přepadem a odkapávačem </t>
  </si>
  <si>
    <t>725 31-9102.R00</t>
  </si>
  <si>
    <t>Montáž dvoudřezů</t>
  </si>
  <si>
    <t>nab-ídka 2</t>
  </si>
  <si>
    <t xml:space="preserve">Dvou dřez nerezový s přepadem a odkapávačem </t>
  </si>
  <si>
    <t>725 84-5111.R00</t>
  </si>
  <si>
    <t xml:space="preserve">Baterie nástěnná ruční, bez příslušenství </t>
  </si>
  <si>
    <t>725 82-3121.R00</t>
  </si>
  <si>
    <t xml:space="preserve">Baterie umyvadlová stoján. ruční, vč. otvír.odpadu </t>
  </si>
  <si>
    <t>725 82-3134.R00</t>
  </si>
  <si>
    <t xml:space="preserve">Baterie dřezová stojánková ruční s výsuv. sprchou </t>
  </si>
  <si>
    <t>Ivar8</t>
  </si>
  <si>
    <t xml:space="preserve">Rohový ventil pro baterii 1/2"x3/8 </t>
  </si>
  <si>
    <t>ivar5</t>
  </si>
  <si>
    <t xml:space="preserve">Připojovací flexi hadice 1/2" 50 cm </t>
  </si>
  <si>
    <t>725 84-9200.R00</t>
  </si>
  <si>
    <t xml:space="preserve">Montáž baterií sprchových </t>
  </si>
  <si>
    <t>GRO-HE3</t>
  </si>
  <si>
    <t>Baterie sprchová páková nástěnná s nastavitelnou sprchou</t>
  </si>
  <si>
    <t>Grohe4</t>
  </si>
  <si>
    <t xml:space="preserve">Baterie sprchová nástěnná s ruční sprchou </t>
  </si>
  <si>
    <t>725 83-5111.R00</t>
  </si>
  <si>
    <t xml:space="preserve">Baterie vanová nástěnná ruční, bez příslušenství </t>
  </si>
  <si>
    <t>AZP-</t>
  </si>
  <si>
    <t xml:space="preserve">Podlahový žlábek nerez 800 mm </t>
  </si>
  <si>
    <t>AZP-1</t>
  </si>
  <si>
    <t xml:space="preserve">Podlahový žlábek nerez 900 mm </t>
  </si>
  <si>
    <t>725 86-0202.R00</t>
  </si>
  <si>
    <t xml:space="preserve">Sifon dřezový HL100G, D  50 mm </t>
  </si>
  <si>
    <t>2</t>
  </si>
  <si>
    <t xml:space="preserve">Kondenzační sifon HL 136N vč. montáže </t>
  </si>
  <si>
    <t>725 86-0300.RT1</t>
  </si>
  <si>
    <t>Odtok vanový HL555N, odpad D 40/50 mm přepad, sifon, rozeta a ventil z mosazi chromované</t>
  </si>
  <si>
    <t>725 86-0107.R00</t>
  </si>
  <si>
    <t xml:space="preserve">Uzávěrka zápachová umyvadlová T 1015,D 40 </t>
  </si>
  <si>
    <t>998 72-5103.R00</t>
  </si>
  <si>
    <t xml:space="preserve">Přesun hmot pro zařizovací předměty, výšky do 24 m </t>
  </si>
  <si>
    <t>725 11-0811.R00</t>
  </si>
  <si>
    <t xml:space="preserve">Demontáž klozetů splachovacích </t>
  </si>
  <si>
    <t>725 21-0821.R00</t>
  </si>
  <si>
    <t xml:space="preserve">Demontáž umyvadel bez výtokových armatur </t>
  </si>
  <si>
    <t>725 32-0821.R00</t>
  </si>
  <si>
    <t xml:space="preserve">Demontáž dřezů </t>
  </si>
  <si>
    <t>725 22-0831.R00</t>
  </si>
  <si>
    <t xml:space="preserve">Demontáž vany velké </t>
  </si>
  <si>
    <t>725 82-0803.R00</t>
  </si>
  <si>
    <t xml:space="preserve">Demontáž baterie stojánkové do 2-3 otvorů </t>
  </si>
  <si>
    <t>725 82-0801.R00</t>
  </si>
  <si>
    <t xml:space="preserve">Demontáž baterie nástěnné do G 3/4 </t>
  </si>
  <si>
    <t>725 86-0811.R00</t>
  </si>
  <si>
    <t xml:space="preserve">Demontáž uzávěrek zápachových jednoduchých </t>
  </si>
  <si>
    <t>725 59-0813.R00</t>
  </si>
  <si>
    <t xml:space="preserve">Přesun vybour.hmot, zařizovací předměty H 24 m </t>
  </si>
  <si>
    <t>726 21-2331.R00</t>
  </si>
  <si>
    <t xml:space="preserve">Modul-PRO WC SYSTEM+PANEL SET, pro závěsné WC </t>
  </si>
  <si>
    <t>998 72-6123.R00</t>
  </si>
  <si>
    <t xml:space="preserve">Přesun hmot pro předstěnové systémy, výšky do 24 m </t>
  </si>
  <si>
    <t>733 11-1115.R00</t>
  </si>
  <si>
    <t xml:space="preserve">Potrubí závit. bezešvé běžné v kotelnách DN 25 </t>
  </si>
  <si>
    <t>733 11-1116.R00</t>
  </si>
  <si>
    <t xml:space="preserve">Potrubí závit. bezešvé běžné v kotelnách DN 32 </t>
  </si>
  <si>
    <t>733 11-1117.R00</t>
  </si>
  <si>
    <t xml:space="preserve">Potrubí závit. bezešvé běžné v kotelnách DN 40 </t>
  </si>
  <si>
    <t>Potrubí závit. bezešvé běžné v kotelnách DN 40 chladící voda</t>
  </si>
  <si>
    <t>733 14-1102.R00</t>
  </si>
  <si>
    <t xml:space="preserve">Odvzdušňovací nádobky z trub.ocelových do DN 50 </t>
  </si>
  <si>
    <t>733 19-0106.R00</t>
  </si>
  <si>
    <t xml:space="preserve">Tlaková zkouška potrubí  DN 32 </t>
  </si>
  <si>
    <t>733 19-0107.R00</t>
  </si>
  <si>
    <t xml:space="preserve">Tlaková zkouška potrubí  DN 40 </t>
  </si>
  <si>
    <t>733 12-3916.R00</t>
  </si>
  <si>
    <t xml:space="preserve">Svařovaný spoj potrubí ocelového hladkéh D 44,5 mm </t>
  </si>
  <si>
    <t>733 19-1927.R00</t>
  </si>
  <si>
    <t xml:space="preserve">Navaření odbočky na potrubí,DN odbočky 40 </t>
  </si>
  <si>
    <t>998 73-3103.R00</t>
  </si>
  <si>
    <t xml:space="preserve">Přesun hmot pro rozvody potrubí, výšky do 24 m </t>
  </si>
  <si>
    <t>733 11-0808.R00</t>
  </si>
  <si>
    <t xml:space="preserve">Demontáž potrubí ocelového závitového do DN 32-50 </t>
  </si>
  <si>
    <t>733 14-0811.R00</t>
  </si>
  <si>
    <t xml:space="preserve">Odřezání odvzdušňovací nádoby </t>
  </si>
  <si>
    <t>733 89-0803.R00</t>
  </si>
  <si>
    <t xml:space="preserve">Přemístění vybouraných hmot - potrubí, H 6 - 24 m </t>
  </si>
  <si>
    <t>713 46-1121.R00</t>
  </si>
  <si>
    <t xml:space="preserve">Izolace potrubí-skružemi na tmel za stud., 1vrstvá </t>
  </si>
  <si>
    <t>iz</t>
  </si>
  <si>
    <t xml:space="preserve">ALS izolace s hliníkovou folií na potrubí 1" </t>
  </si>
  <si>
    <t>iz-1</t>
  </si>
  <si>
    <t xml:space="preserve">ALS izolace s hliníkovou folií na potrubí 5/4" </t>
  </si>
  <si>
    <t>iz-2</t>
  </si>
  <si>
    <t xml:space="preserve">ALS izolace s hliníkovou folií na potrubí 6/4" </t>
  </si>
  <si>
    <t>734 20-9125.R00</t>
  </si>
  <si>
    <t xml:space="preserve">Montáž armatur závitových,se 3závity, G 1 </t>
  </si>
  <si>
    <t>734 23-3113.R00</t>
  </si>
  <si>
    <t xml:space="preserve">Kohout kulový, vnitř.-vnitř.z. DN 25 </t>
  </si>
  <si>
    <t>734 20-9102.RT2</t>
  </si>
  <si>
    <t>Montáž armatur závitových,s 1závitem, G 3/8 včetně ventilu odvzdušňovacího automatického</t>
  </si>
  <si>
    <t>su</t>
  </si>
  <si>
    <t xml:space="preserve">Směšovací regulační uzel SUMX 1,6 DN 25 </t>
  </si>
  <si>
    <t>su-1</t>
  </si>
  <si>
    <t xml:space="preserve">Směšovací regulační uzel SUMX 10 DN 25 </t>
  </si>
  <si>
    <t>734 41-5113.R00</t>
  </si>
  <si>
    <t>Teploměr s jímkou D 63 mm,  R540 DN 15 0 - 60</t>
  </si>
  <si>
    <t>734 42-1130.R00</t>
  </si>
  <si>
    <t xml:space="preserve">Tlakoměr deformační 0-10 MPa č. 03313, D 160 </t>
  </si>
  <si>
    <t>měděná trubka 8x1</t>
  </si>
  <si>
    <t>měděná trubka 12x1</t>
  </si>
  <si>
    <t>měděná trubka 18x1</t>
  </si>
  <si>
    <t>měděná trubka 22x1</t>
  </si>
  <si>
    <t>prořez trubek 3%</t>
  </si>
  <si>
    <t>Ag pájka 45+pasta</t>
  </si>
  <si>
    <t>g</t>
  </si>
  <si>
    <t>chránička potrubí-oc.trubka 26.9x2.6 (0,5m)</t>
  </si>
  <si>
    <t>chránička potrubí-oc.trubka 31.8x2.6 (0,5m)</t>
  </si>
  <si>
    <t>chránička potrubí-oc.trubka 38x2.6 (0,5m)</t>
  </si>
  <si>
    <t>tvarovky Cu do pr.28</t>
  </si>
  <si>
    <t>konzole jednoduchá</t>
  </si>
  <si>
    <t>konzole středně složitá</t>
  </si>
  <si>
    <t>konzole složitá</t>
  </si>
  <si>
    <t>značení potrubí</t>
  </si>
  <si>
    <t xml:space="preserve">ochranný plyn pro pájení Cu trubek </t>
  </si>
  <si>
    <t xml:space="preserve">propláchnutí rozvodu dusíkem </t>
  </si>
  <si>
    <t>napojení na stávající rozvod vč.odstavení části rozvodu</t>
  </si>
  <si>
    <t>úseková tlaková zkouška</t>
  </si>
  <si>
    <t>závěrečná tlaková zkouška</t>
  </si>
  <si>
    <t>kulový kohout DN15 vč.šroubení</t>
  </si>
  <si>
    <t>kulový kohout DN20 vč.šroubení</t>
  </si>
  <si>
    <t xml:space="preserve">lahvový uzavírací ventil </t>
  </si>
  <si>
    <t>manometr pr.100 rozsah 0-1MPa</t>
  </si>
  <si>
    <t>vakuometr pr.100 rozsah 0--100kPa</t>
  </si>
  <si>
    <t xml:space="preserve">čidlo signalizace </t>
  </si>
  <si>
    <t>čidlo signalizace pro vakuum</t>
  </si>
  <si>
    <t>ventil.krabice pro 4 plyny kompletní (4xuzav.ventil,4xpřip.zálohy,4xčidlo snímání tlaku)</t>
  </si>
  <si>
    <t>monitorovací zařízení s dotyk.displejem pro max.12 vstupů</t>
  </si>
  <si>
    <t>kabel signalizace</t>
  </si>
  <si>
    <t>lékařský nástěnný panel s terminální jednotkou  pod omítku</t>
  </si>
  <si>
    <t>nástěnná lůžková rampa pro 1 lůžko , délka 1650mm, výbava na 1 lůžko : 2x O2, 2x SV04, 2x VAC, 2x N2O, 4x zásuvka VDO-LED,4x zásuvka ZIS-LED, 4x ochr.pospojení, 2x příprava pro slaboproud, doroz.zařízení , 2x medilišta 400mm (nosnost 1ks 20kg), osvětlení přímé LED (ovládané z rampy), nepřímé LED (ovládané ode dveří), noční (ovládané ode dveří)</t>
  </si>
  <si>
    <t>nástěnná lůžková rampa pro 2 lůžko , délka 4200mm, výbava na 1 lůžko : 2x O2, 2x SV04, 2x VAC, 2x N2O, 4x zásuvka VDO-LED,4x zásuvka ZIS-LED, 4x ochr.pospojení, 2x příprava pro slaboproud, doroz.zařízení , 2x medilišta 400mm (nosnost 1 ks 20kg), osvětlení přímé LED (ovládané z rampy), nepřímé LED (ovládané ode dveří), noční (ovládané ode dveří)</t>
  </si>
  <si>
    <t>otočný stropní kyvný dvouramenný stativ anesteziologický  výbava : užit.zatížení 150kg, rameno 800/800mm, hlava anesteziologická (šířka 865mm, výška 185mm), 2x O2, 2x SV04, 2x VAC, 2x N2O, 1x AGSS, 8x zásuvka ZIS-LED, 3x ochr.pospojení, 4x příprava pro slaboproud, 1x police s ovládáním nosnost 40kg, 1x police nosnost 40kg</t>
  </si>
  <si>
    <t xml:space="preserve">kotvení do stropu pro otočný stativ </t>
  </si>
  <si>
    <t>demontáž stávajícího rozvodu</t>
  </si>
  <si>
    <t>dokumentace skut.stavu (3x paré, 1x CD)</t>
  </si>
  <si>
    <t>LEK 15 - zkouška čistoty medic.stl.vzduchu dle čl.3.2 odst.b</t>
  </si>
  <si>
    <t>zahájení,ukončení a předání</t>
  </si>
  <si>
    <t>přesun hmot</t>
  </si>
  <si>
    <t>zkoušky a revize</t>
  </si>
  <si>
    <t>Stavební přípomoce (drážky, prostupy, zazdívky, zaomítání drážek, apod.)</t>
  </si>
  <si>
    <t>kpl.</t>
  </si>
  <si>
    <t xml:space="preserve">Demontáže zařízení </t>
  </si>
  <si>
    <t>Likvidace odpadu</t>
  </si>
  <si>
    <t>opticko-kouřový hlásič IQ8</t>
  </si>
  <si>
    <t>patice hlásiče IQ8</t>
  </si>
  <si>
    <t>štítek s adresou hlásiče</t>
  </si>
  <si>
    <t>koppler 12 rel, vč. instalačního boxu</t>
  </si>
  <si>
    <t>drobný elektroinstalační materiál</t>
  </si>
  <si>
    <t>kabel J-Y(St)Y 2x2x0,8</t>
  </si>
  <si>
    <t>kabel JXFE-V 2x2x0,8</t>
  </si>
  <si>
    <t>tuhá trubka z plastické hmoty vně. prům. 20mm, vč. příslušenství</t>
  </si>
  <si>
    <t>ohebná plastová PVC trubka pod omítku vně. prům. 20mm</t>
  </si>
  <si>
    <t>ohniodolná kovová příchytka, včetně kotvícího příslušenství</t>
  </si>
  <si>
    <t>Ohniodolná krabice</t>
  </si>
  <si>
    <t>Úprava stavajících rozvodů</t>
  </si>
  <si>
    <t>Drobný instalační materiál</t>
  </si>
  <si>
    <t>OŽIVENÍ A ODZKOUŠENÍ SYSTÉMU EPS</t>
  </si>
  <si>
    <t>ÚKLID STAVBY</t>
  </si>
  <si>
    <t>LIKVIDACE ODPADŮ</t>
  </si>
  <si>
    <t>PPV (10%)</t>
  </si>
  <si>
    <t>DOKUMENTACE SKUTEČNÉHO STAVU</t>
  </si>
  <si>
    <t xml:space="preserve">CESTOVNÉ </t>
  </si>
  <si>
    <t>Stavební přípomoce</t>
  </si>
  <si>
    <t>Rozvaděč RMS6.1</t>
  </si>
  <si>
    <t>Nástěnný rozvaděč 1000x600x250, přívody vrchem, IP54/20
Vnitřní vybavení rozvaděče  (svorky, můstky, lišty, vývodky…)</t>
  </si>
  <si>
    <t>10B/3 Jištěný motorový vývod 400V</t>
  </si>
  <si>
    <t>6B/3 Jištěný motorový vývod 400V</t>
  </si>
  <si>
    <t>6C/1 Jištěný motorový vývod 230V se stykačem</t>
  </si>
  <si>
    <t>2C/1 Jiětěný motorový vývod 230V se stykačem</t>
  </si>
  <si>
    <t>Přepě'tová ochrana, T3, 6A</t>
  </si>
  <si>
    <t>Transformátor 230/24V 100VA</t>
  </si>
  <si>
    <t xml:space="preserve">Automatizační stanice BACnet/IP pro 100I/O, včetně SW vybavení </t>
  </si>
  <si>
    <t>Napájecí modul 1,2A</t>
  </si>
  <si>
    <t>Modul 8xAI/AO</t>
  </si>
  <si>
    <t>Modul digitálních vstupů 16xDI</t>
  </si>
  <si>
    <t>Modul digitálních vstupů 8xDI</t>
  </si>
  <si>
    <t>Modul releových digitálních výstupů 6xRDO</t>
  </si>
  <si>
    <t>Vzduchotechnika - zařízení 1</t>
  </si>
  <si>
    <t>Frekvenční měnič 400V, 3kW</t>
  </si>
  <si>
    <t>Frekvenční měnič 400V, 2,2kW</t>
  </si>
  <si>
    <t>Příložné teplotní čidlo Ni 1000,  -30 … +130°C</t>
  </si>
  <si>
    <t>Prostorové teplotní čidlo Ni 1000, 0 až 50°C</t>
  </si>
  <si>
    <t>Kanálové teplotní čidlo 0,4 m, Ni 1000, -50...80 °C</t>
  </si>
  <si>
    <t xml:space="preserve">Kombinované kanálové čidlo teploty a CO2, 24VAC, 2x 0-10V </t>
  </si>
  <si>
    <t>Servopohon klapky s havarijní funkcí, 7Nm, 24VAC, 0-10V</t>
  </si>
  <si>
    <t>Servopohon klapky, 10Nm, 24VAC, 2-bodový, 150s</t>
  </si>
  <si>
    <t>Servopohon klapky, 10Nm, 24VAC, 0-10V</t>
  </si>
  <si>
    <t>Magnetický ventil, 3 cestný, 24 VAC, 0-10V, 2 s, 0,62m3/h, 1"</t>
  </si>
  <si>
    <t>Magnetický ventil, 3 cestný, 24 VAC, 0-10V, 2 s, 1,98m3/h, 1"</t>
  </si>
  <si>
    <t>Protimrazový termostat, -5 až + 15°C 3m-kapilára</t>
  </si>
  <si>
    <t>Diferenční snímač tlaku 20-500Pa</t>
  </si>
  <si>
    <t>Dálkový vysílač žádané hodnoty, posun teploty -10…+10 K</t>
  </si>
  <si>
    <t>Otočný přepínač, 2 polohy</t>
  </si>
  <si>
    <t>Vzduchotechnika - zařízení 2</t>
  </si>
  <si>
    <t>Servopohon klapky s havarijní funkcí, 2Nm, 24VAC, 0-10V</t>
  </si>
  <si>
    <t>Servopohon klapky, 2Nm, 24VAC, 2-bodový, 150s</t>
  </si>
  <si>
    <t>Magnetický ventil, 4 cestný, 24 VAC, 0-10V, 2 s, Kv 12, 1"</t>
  </si>
  <si>
    <t>Montážní materiál</t>
  </si>
  <si>
    <t>Kabelový  žlab pevný 100/60, vč. příslušenství, víka  a nosného materiálu</t>
  </si>
  <si>
    <t>Kabelový  žlab pevný 62/50, vč. příslušenství, víka  a nosného materiálu</t>
  </si>
  <si>
    <t>Pomocný montážní a elektroinstalační materiál</t>
  </si>
  <si>
    <t>Kabelové rozvody</t>
  </si>
  <si>
    <t>Kabel s Cu jádrem CXKH-R 4x1,5 B2ca, s1,d0</t>
  </si>
  <si>
    <t>Kabel s Cu jádrem CXKH-R 3x1,5 B2ca, s1,d0</t>
  </si>
  <si>
    <t>Kabel s Cu jádrem CXKH-R 2x1,5 B2ca, s1,d0</t>
  </si>
  <si>
    <t>UTP kabel 1583ENH, Cat5e, drát, B2ca, s1, d0</t>
  </si>
  <si>
    <t xml:space="preserve">J-H(St)H 4x2x0,8 B2ca,s1,d0 </t>
  </si>
  <si>
    <t xml:space="preserve">J-H(St)H 2x2x0,8 B2ca,s1,d0 </t>
  </si>
  <si>
    <t>J-H(St)H 1x2x0,8B2ca,s1,d0</t>
  </si>
  <si>
    <t>Ostatní materiál a montáže</t>
  </si>
  <si>
    <t>Uvedení do provozu vč. odzkoušení, měření, atestů …</t>
  </si>
  <si>
    <t>hod.</t>
  </si>
  <si>
    <t>Revize zařízení MaR</t>
  </si>
  <si>
    <t>Koordinace mezi profesemi.</t>
  </si>
  <si>
    <t>Softwarové práce</t>
  </si>
  <si>
    <t>Integrace do stávající vizualizace v objektu</t>
  </si>
  <si>
    <t>Zaškolení obsluhy</t>
  </si>
  <si>
    <t>Zařízení staveniště</t>
  </si>
  <si>
    <t>Ekologická likvidace odpadů</t>
  </si>
  <si>
    <t>Výkony spojené s prácemi v budově, stavební přípomoce.</t>
  </si>
  <si>
    <t>PD skutečného provedení.</t>
  </si>
  <si>
    <t>Přesun hmot</t>
  </si>
  <si>
    <t>767581802</t>
  </si>
  <si>
    <t>Demontáž podhledu kovového lamelového, včetně podkonstrukce</t>
  </si>
  <si>
    <t>767VKR5</t>
  </si>
  <si>
    <t>Demontáž podhledu včetně ocelové a dřevěné podkonstrukce, podhled prkenný s heraklitovou deskou a omítkou</t>
  </si>
  <si>
    <t>763111714</t>
  </si>
  <si>
    <t>Zalomení minerálního podhledu SDK deskou tl. 15 mm</t>
  </si>
  <si>
    <t>Demontáž podhledu včetně ocelové a dřevěné podkonstrukce, podhled prkenný s heraklitovou deskou a omítkou v 5.NP místnost č. 520</t>
  </si>
  <si>
    <t>763135111</t>
  </si>
  <si>
    <t>Montáž podhledu kazetového 600x600 mm s nosnou konstrukcí viditelnou</t>
  </si>
  <si>
    <t>X43duw7</t>
  </si>
  <si>
    <t>Podhled kazetový minerální, rastr 600x600 mm s finální povrchovou úpravou - konstrukce viditelná, včetně všech systémových součástí. Akustický stropní systém,který je určen pro prostředí s požadavkem na dezinfikování a běžnou údržbu, se součinitelem zvukové absorpce dle klasifikace EN ISO 11654αw=0,95. Panely systému mají rovnou boční hranu. Tloušťka panelu 15mm. Systémový rošt je viditelný vyrobený z pozinkované oceli s povrchovou úpravou. Panely mají vnitřní jádro vyrobené ze skelného vlákna o vysoké hustotě na bázi 3RDTechnology. Jádro panelů je nehořlavé podle EN 13501-1, třída A2-s1,d0. Zadní strana panelu je pokryta sklovlákennou tkaninou.Viditelný povrch je pokryt skelnou tkaninou v bílé barvě 500 se speciálním odolným povrchem pro hygienické čištění parou peroxidu vodíku. Světelná odrazivost je 84%..Panely odolávají trvalé relativní vlhkosti prostředí do 95% při 30°C bez rizika vydouvání, deformace nebo oddělování jednotlivých vrstev (ISO 4611). Systém je klasifikován do tříd B5 pro zónu 4 dle normy NF S 90-351. Splňuje požadavky klasifikace čisté místnosti dle ISO 5</t>
  </si>
  <si>
    <t>X44dur8</t>
  </si>
  <si>
    <t>Podhled kazetový minerální, rastr 600x600 mm s finální povrchovou úpravou, hygienický podhled, konstrukce viditelná, včetně všech systémových součástí. Hygienický akustický stropní systém se součinitelem zvukové absorpce dle klasifikace EN ISO 11654 αw=0,95, αp125Hz =0,45. Obsah CO2max 3 Kg CO₂equiv/m2 vycházející z EPD v souladu s normou ISO 14025 / EN 15804. Klasifikace systému dle obsahu těkavých organických sloučenin (Francouzská emisní třída VOC) ISO 16000-6, třída VOC A+. Důležitým parametrem pro zachování udržitelnosti podhledu jsou univerzální klipy držící kazetu v rastru proti jejímu vyražení při čištění. Panely systému mají jádro hermeticky uzavřeno ve velice kvalitní vodotěsné a prachotěsné fólii odpuzující nečistoty a odolávající většině chemikálií. Panely systému mají natřenou rovnou boční hranu, tloušťka panelu 15mm. Systémový rošt je vyroben z pozinkované oceli vhodný do suchého prostředí, zařazen do korozivní třídy C1 dle EN ISO 12944-2. %. Panely odolávají trvalé relativní vlhkosti prostředí do 95% při 30°C dle (ISO 4611). Povrch má schopnost odolávat nečistotám, je odolným proti běžnému hygienickému čištění, čistění parou a odolává parám peroxidu vodíku. Systém splňuje požadavky klasifikace čisté místnosti dle třídy ISO 5. Mikrobiologická rezistence systému je třída 0 podle normy ASTM G 21-96. Systém je klasifikován do tříd B1 a B5 pro zónu 4 dle normy NF S 90-351.</t>
  </si>
  <si>
    <t>X45rca4</t>
  </si>
  <si>
    <t>Podhled kazetový minerální, rastr 600x600 mm s finální povrchovou úpravou, hygienický podhled, kovový rastr s antikorozní úpravou, konstrukce viditelná, včetně všech systémových součástí. Hygienický akustický stropní systém se součinitelem zvukové absorpce dle klasifikace EN ISO 11654 αw=0,95, αp125Hz =0,45. Obsah CO2max 3 Kg CO₂equiv/m2 vycházející z EPD v souladu s normou ISO 14025 / EN 15804. Klasifikace systému dle obsahu těkavých organických sloučenin (Francouzská emisní třída VOC) ISO 16000-6, třída VOC A+. Důležitým parametrem pro zachování udržitelnosti podhledu jsou univerzální klipy držící kazetu v rastru proti jejímu vyražení při čištění. Panely systému mají jádro hermeticky uzavřeno ve velice kvalitní vodotěsné a prachotěsné fólii odpuzující nečistoty a odolávající většině chemikálií. Panely systému mají natřenou rovnou boční hranu, tloušťka panelu 15mm. Systémový kovový rošt je s antikorozní úpravou vhodný do vlhkého prostředí. Panely odolávají trvalé relativní vlhkosti prostředí do 95% při 30°C dle (ISO 4611). Povrch má schopnost odolávat nečistotám, je odolným proti běžnému hygienickému čištění, čistění parou a odolává parám peroxidu vodíku. Systém splňuje požadavky klasifikace čisté místnosti dle třídy ISO 5. Mikrobiologická rezistence systému je třída 0 podle normy ASTM G 21-96. Systém je klasifikován do tříd B1 a B5 pro zónu 4 dle normy NF S 90-351.</t>
  </si>
  <si>
    <t>998763403</t>
  </si>
  <si>
    <t>Přesun hmot pro sádrokartonové konstrukce v objektech v do 24 m</t>
  </si>
  <si>
    <t>764410850</t>
  </si>
  <si>
    <t>Demontáž oplechování parapetu rš do 330 mm</t>
  </si>
  <si>
    <t>764711115</t>
  </si>
  <si>
    <t>Oplechování parapetu z ocel. pozink. poplast. plechu tl. 0,6 mm rš 330 mm</t>
  </si>
  <si>
    <t>766: Konstrukce truhlářské</t>
  </si>
  <si>
    <t>766621833</t>
  </si>
  <si>
    <t>Demontáž rámu jednoduchých oken a dveří plastových nebo dřevěných včetně křídel do 4m2</t>
  </si>
  <si>
    <t>7666218cx</t>
  </si>
  <si>
    <t>Demontáž vnitřních prosklených stěn s dveřmi, plastovými nebo hliníkovými nad 4m2</t>
  </si>
  <si>
    <t>766691914</t>
  </si>
  <si>
    <t>Vyvěšení (demontáž) dřevěných křídel dveří pl do 2 m2</t>
  </si>
  <si>
    <t>766441821</t>
  </si>
  <si>
    <t>Demontáž parapetních desek dřevěných, laminovaných šířky do 30 cm délky přes 1,0 m</t>
  </si>
  <si>
    <t>766vbm3</t>
  </si>
  <si>
    <t>M+D vnitřní parapetní DTD deska potažená dekorativním laminátem š. do 300mm</t>
  </si>
  <si>
    <t>766ms7</t>
  </si>
  <si>
    <t>Demontáž kuchyňských linek š. do 2 m včetně dřezu</t>
  </si>
  <si>
    <t>X159</t>
  </si>
  <si>
    <t>Montáž a dodávka dveře vnitřní 700x1970 mm včetně kování a dveřní mřížky, viz. výpis prvků PSV č. 1a</t>
  </si>
  <si>
    <t>X160</t>
  </si>
  <si>
    <t>Montáž a dodávka dveře vnitřní 700x1970 mm včetně kování a dveřní mřížky, viz. výpis prvků PSV č. 1b</t>
  </si>
  <si>
    <t>X161</t>
  </si>
  <si>
    <t>Montáž a dodávka dveře vnitřní posuvné na stěnu 700x1970 mm včetně kování, obložkové zárubně a dveřní mřížky, viz. výpis prvků PSV č. 2</t>
  </si>
  <si>
    <t>X162</t>
  </si>
  <si>
    <t>Montáž a dodávka dveře vnitřní 800x1970 mm včetně kování a dveřní mřížky, viz. výpis prvků PSV č. 3a</t>
  </si>
  <si>
    <t>X164</t>
  </si>
  <si>
    <t>Montáž a dodávka dveře vnitřní 800x1970 mm včetně kování, viz. výpis prvků PSV č. 3b</t>
  </si>
  <si>
    <t>Montáž a dodávka dveře vnitřní 1100x1970 mm protipožární, včetně kování a samozavírače, viz. výpis prvků PSV č. 4a</t>
  </si>
  <si>
    <t>Montáž a dodávka dveře vnitřní 1100x1970 mm včetně kování, viz. výpis prvků PSV č. 4b</t>
  </si>
  <si>
    <t>X167</t>
  </si>
  <si>
    <t>Montáž a dodávka vnitřní hliníková protipožární prosklená dělená stěna s dveřmi včetně kování a samozavíračů, viz. výpis prvků PSV č. 8a</t>
  </si>
  <si>
    <t>Montáž a dodávka vnitřní hliníková protipožární prosklená dělená stěna s dveřmi včetně kování a samozavíračů, viz. výpis prvků PSV č. 8b</t>
  </si>
  <si>
    <t>X168</t>
  </si>
  <si>
    <t>Montáž a dodávka plastové okno 2100x2050 mm včetně kastlíku rolety a mechanicky ovládané AL rolety včetně příslušenství, viz. výpis prvků PSV č. 9</t>
  </si>
  <si>
    <t>X170as</t>
  </si>
  <si>
    <t>Montáž a dodávka sestavy dvou plastových oken 5700x2050 mm včetně kastlíku rolety a mechanicky ovládané AL rolety včetně příslušenství, viz. výpis prvků PSV č. 10</t>
  </si>
  <si>
    <t>Montáž a dodávka plastové okno 1500x2050 mm včetně kastlíku rolety a mechanicky ovládané AL rolety včetně příslušenství, viz. výpis prvků PSV č. 11</t>
  </si>
  <si>
    <t>Montáž a dodávka kovová větrací mřížka do dveří F1 500x80 mm viz. výpis prvků PSV č. DM</t>
  </si>
  <si>
    <t>Montáž a dodávka kovová větrací mřížka do stěny VM 155x155 mm viz. výpis prvků PSV č. SM</t>
  </si>
  <si>
    <t>X171</t>
  </si>
  <si>
    <t>M+D nárazuvzdorný profil se strukturovaným povrchem z akrylvinylu, viz "PSV" č. M1</t>
  </si>
  <si>
    <t>označení ve výpisu nábytku č. 9</t>
  </si>
  <si>
    <t xml:space="preserve">M+D Kuchyňská linka 1300x600/400x860/2020 </t>
  </si>
  <si>
    <t>označení ve výpisu nábytku č. 5</t>
  </si>
  <si>
    <t>M+D Kuchyňská linka 1500x600/400x860/2020</t>
  </si>
  <si>
    <t>označení ve výpisu nábytku č. 6</t>
  </si>
  <si>
    <t>M+D Kuchyňská linka 1400x600/400x860/2020</t>
  </si>
  <si>
    <t>označení ve výpisu nábytku č. 7</t>
  </si>
  <si>
    <t>označení ve výpisu nábytku č. 2</t>
  </si>
  <si>
    <t>M+D Kuchyňská linka 1800x600/400x860/2020</t>
  </si>
  <si>
    <t>označení ve výpisu nábytku č. 1</t>
  </si>
  <si>
    <t>označení ve výpisu nábytku č. 4</t>
  </si>
  <si>
    <t>M+D Kuchyňská linka 2100x600/400x860/2020</t>
  </si>
  <si>
    <t>označení ve výpisu nábytku č. 3</t>
  </si>
  <si>
    <t>označení ve výpisu nábytku č. 18</t>
  </si>
  <si>
    <t>P+D Pracovní linka se skříní 2100x600x2020</t>
  </si>
  <si>
    <t>označení ve výpisu nábytku č. 16</t>
  </si>
  <si>
    <t>M+D Kuchyňská linka 2400x600/400x860/2020</t>
  </si>
  <si>
    <t>označení ve výpisu nábytku č. 15</t>
  </si>
  <si>
    <t>M+D Kuchyňská linka 1500x500/400x860/2020</t>
  </si>
  <si>
    <t>označení ve výpisu nábytku č. 17</t>
  </si>
  <si>
    <t>M+D Kuchyňská linka 2100x500/400x860/2020</t>
  </si>
  <si>
    <t>998766203</t>
  </si>
  <si>
    <t>Přesun hmot pro konstrukce truhlářské v objektech v do 24 m</t>
  </si>
  <si>
    <t>767: Konstrukce zámečnické</t>
  </si>
  <si>
    <t>X39bn5</t>
  </si>
  <si>
    <t>Montáž a dodávka ocelové zárubně pro cihelné zdivo 100/1970/700</t>
  </si>
  <si>
    <t>X39bn6</t>
  </si>
  <si>
    <t>Montáž a dodávka ocelové zárubně pro cihelné zdivo 100/1970/800</t>
  </si>
  <si>
    <t>X39bn7</t>
  </si>
  <si>
    <t>Montáž a dodávka ocelové zárubně pro cihelné zdivo 150/1970/800</t>
  </si>
  <si>
    <t>X39bn8</t>
  </si>
  <si>
    <t>Montáž a dodávka ocelové zárubně pro cihelné zdivo protipožární 150/1970/1100</t>
  </si>
  <si>
    <t>X39bn9</t>
  </si>
  <si>
    <t>Montáž a dodávka ocelové zárubně pro cihelné zdivo 150/1970/1100</t>
  </si>
  <si>
    <t>Xas67</t>
  </si>
  <si>
    <t>Montáž a dodávka nástěnné madlo rohové kovové, včetně povrchové úpravy, viz výpis prvků PSV č. M2</t>
  </si>
  <si>
    <t>Xas68</t>
  </si>
  <si>
    <t>Montáž a dodávka nástěnné madlo kovové, včetně povrchové úpravy, viz výpis prvků PSV č. M3</t>
  </si>
  <si>
    <t>998767203</t>
  </si>
  <si>
    <t>Přesun hmot pro zámečnické konstrukce v objektech v do 24 m</t>
  </si>
  <si>
    <t>771571810</t>
  </si>
  <si>
    <t>Demontáž podlah z dlaždic keramických kladených do malty</t>
  </si>
  <si>
    <t>9flki93e</t>
  </si>
  <si>
    <t>Demontáž keramických soklíků</t>
  </si>
  <si>
    <t>998771203</t>
  </si>
  <si>
    <t>Přesun hmot pro podlahy z dlaždic v objektech v do 24 m</t>
  </si>
  <si>
    <t>776511810</t>
  </si>
  <si>
    <t>Demontáž povlakových podlah lepených, včetně soklu a fabiónu</t>
  </si>
  <si>
    <t>77651181x</t>
  </si>
  <si>
    <t>Demontáž povlakových podlah antistatických lepených, včetně soklu a fabiónu</t>
  </si>
  <si>
    <t>633811111</t>
  </si>
  <si>
    <t>Broušení nerovností betonových podlah do 2 mm před stěrkováním</t>
  </si>
  <si>
    <t>6338vb4</t>
  </si>
  <si>
    <t>Vysátí a očištění povrchu podlah před stěrkováním</t>
  </si>
  <si>
    <t>776521100</t>
  </si>
  <si>
    <t>Lepení včetně svařování pásů povlakových podlah plastových</t>
  </si>
  <si>
    <t>776521230</t>
  </si>
  <si>
    <t>Lepení včetně svařování čtverců povlakových podlah plastových elektrostaticky vodivých</t>
  </si>
  <si>
    <t>776521xd7</t>
  </si>
  <si>
    <t>Lepení včetně svařování pásů povlakových na stěnu plastových</t>
  </si>
  <si>
    <t>776990112</t>
  </si>
  <si>
    <t>Vyrovnání podkladu samonivelační stěrkou tl 3 mm pevnosti 30 Mpa</t>
  </si>
  <si>
    <t>X32wa</t>
  </si>
  <si>
    <t xml:space="preserve">Stěnový heterogenní vinyl například Forbo Onyx RF
- heterogenní vinyl v rolích vhodný pro obklad stěny
- vyztužení kompaktní vrstvou z netkaného skelného rouna
- celková tloušťka materiálu 0,92 mm
- tloušťka nášlapné vrstvy 0,12 mm
- šířka role 2m
- váha 1,5 kg/m2
- reakce na oheň dle EN 13 501-1 je Bfl – S2.d0
- odolnost proti chemikáliím dle EN-26787 je dobrá
-vhodné pro použití v mokrých provozech
</t>
  </si>
  <si>
    <t>X33wa</t>
  </si>
  <si>
    <t xml:space="preserve">Podlahový akustický heterogenní vinyl například Forbo Sarlon 15 dB
- heterogenní akustický vinyl v rolích bez obsahu ftalátů
- vyztužení kompaktní vrstvou z netkaného skelného rouna
- celková tloušťka materiálu 2,60 mm
- tloušťka nášlapné vrstvy 0,70 mm
- šířka role 2m
- třída zátěže 34/42
- kročejový útlum dle EN ISO 717-2 je 15 dB
- typická hodnota zbytkového otlaku dle EN 433 je 0,05 mm
- roztažnost (rozměrová stálost) dle EN 434 je ≤ 0,1%
- povrchová úprava PUR
- reakce na oheň dle EN 13 501-1 je Bfl – S1
- odolnost proti opotřebení dle EN 660-2: třída T
- součinitel smykového tření dle ČSN hodnota µ ≥ 0,6
- ve složení materiálu nejsou obsaženy žádné látky ze skupiny ftalátů
- schopnost snížit intenzitu hluku při nárazu dle NF S 31-074 Ln,e,w&lt; 65dB, třída A
</t>
  </si>
  <si>
    <t>X34wa</t>
  </si>
  <si>
    <t xml:space="preserve">Podlahové homogenní elektrostatické PVC například Forbo ColoRex EC 
- homogenní el. vodivé neválcované PVC bez obsahu ftalátů vhodné do čistého provozu
- hodnota el. odporu je 5x104 ≤ R ≤ 106 Ω
- rozměry čtverců 615mm x 615mm
- celková tloušťka 2 mm
- třídy zátěže 34/43
- roztažnost (rozměrová stálost) dle EN 434 je ≤ 0,05%
- zbytkový otlak (deformace v tlaku) dle EN 433 je≤  0,035mm
- součinitel smykového tření dle ČSN je µ ≥ 0,6
- reakce na oheň dle EN13501-1: třída Bƒl S1
- splňuje normu pro čisté provozy ISO 14644-1 třída 4
- splňuje normu pro čisté provozy ISO 14644-8  (TVOC 23°C/90°C) třída -9,1
- biologická odolnost dle ISO 846 intenzita růstu 0
- adheze mikroorganismů dle ISO 14698-1 třída A-B
- třída čistitelnosti dle ISO 14644-9 úspěšnost čištění více než 99 %
- ve složení materiálu nejsou obsaženy žádné látky ze skupiny ftalátů
- vynikající chemická odolnost dle ISO 26787/ EN423 bez nutnosti nanášení dalších povrchových úprav
- možnost oprav stejným materiálem bez nutnosti výměny čtverců
- instalace na vodivé lepidlo a vodivou síť z Cu pásky, připojenou na uzemňovací svorky
</t>
  </si>
  <si>
    <t>X35wa</t>
  </si>
  <si>
    <t xml:space="preserve">Podlahový heterogenní protiskluzný vinyl například Forbo Surestep Laguna
- heterogenní protiskluzný vinyl v rolích vhodný do mokrých prostor
- embosovaná struktura na povrchu zajišťuje protiskluznost na bosou nohu v mokrém provozu
- vyztužení kompaktní vrstvou z netkaného skelného rouna
- celková tloušťka 2,00 mm
- tloušťka nášlapné vrstvy 0,70 mm
- nášlapná vrstva obsahuje částečky křemene a karborunda pro trvalé zajištění protiskluzných vlastností
- povrchová úprava PUR
- šířka role 2,00 m
- třídy zátěže 34/43
- hodnota zbytkového otlaku dle EN 433 je ≤ 0,05 mm
- protiskluznost na bosou nohu dle DIN 51097 třída „B“
- protiskluznost dle DIN 51130 je R10
- součinitel smykového tření dle ČSN 744505 je µ ≥ 0,6
- reakce na oheň dle EN 13 501-1 je Bfl – S1
- rozměrová stálost dle EN 434 je &lt;0,1%
- odolnost vůči opotřebení dle EN 660-1 je třída T
- stálobarevnost dle ISO 105-B02 je ≥ 6
- pružnost dle EN ISO 24344 - min. ohyb ø10mm
</t>
  </si>
  <si>
    <t>X36wa</t>
  </si>
  <si>
    <t xml:space="preserve">Podlahový heterogenní vinyl do mokrých prostor například Forbo Safestep Aqua
- heterogenní protiskluzný vinyl v rolích vhodný do mokrých prostor
- embosovaná struktura na povrchu zajišťuje protiskluznost na bosou nohu v mokrém provozu
- vyztužení kompaktní vrstvou z netkaného skelného rouna
- celková tloušťka 2,00 mm
- tloušťka nášlapné vrstvy 0,70 mm
- nášlapná vrstva obsahuje částečky křemene a karborunda pro trvalé zajištění protiskluzných vlastností
- povrchová úprava PUR
- šířka role 2,00 m
- třídy zátěže 34/43
- hodnota zbytkového otlaku dle EN 433 je ≤ 0,05 mm
- protiskluznost na bosou nohu dle DIN 51097 třída „C“
- protiskluznost dle DIN 51130 je R10
- součinitel smykového tření dle ČSN 744505 je µ ≥ 0,6
- reakce na oheň dle EN 13 501-1 je Bfl – S1
- rozměrová stálost dle EN 434 je &lt;0,1%
- odolnost vůči opotřebení dle EN 660-1 je třída T
- stálobarevnost dle ISO 105-B02 je ≥ 6
- pružnost dle EN ISO 24344 - min. ohyb ø10mm
</t>
  </si>
  <si>
    <t>dv2k</t>
  </si>
  <si>
    <t>M+D speciální soklová lišta pro vytahované PVC výška 100 mm</t>
  </si>
  <si>
    <t>M+D speciální soklová lišta pro vytahované PVC výška 65 mm</t>
  </si>
  <si>
    <t>5ers</t>
  </si>
  <si>
    <t>Vytažení a přilepení krytiny na soklovou lištu - fabión</t>
  </si>
  <si>
    <t>99877620c</t>
  </si>
  <si>
    <t>Přesun hmot pro podlahy povlakové v objektech v do 24 m</t>
  </si>
  <si>
    <t>781413810</t>
  </si>
  <si>
    <t>Demontáž obkladů z obkladaček pórovinových lepených</t>
  </si>
  <si>
    <t>998781203</t>
  </si>
  <si>
    <t>Přesun hmot pro obklady keramické v objektech v do 24 m</t>
  </si>
  <si>
    <t>783: Nátěry</t>
  </si>
  <si>
    <t>783121141</t>
  </si>
  <si>
    <t>Nátěry syntetické OK barva dražší matný povrch 1x antikorozní, 1x základní, 1x email</t>
  </si>
  <si>
    <t>xc34b7</t>
  </si>
  <si>
    <t>Nátěry tónované disperzní omyvatelné základní a vrchní nátěr v místnostech v do 5 m - vhodné do nemocničních zařízení, třída otěru 3, difúzní</t>
  </si>
  <si>
    <t>784: Malby</t>
  </si>
  <si>
    <t>784402801</t>
  </si>
  <si>
    <t>Odstranění maleb oškrabáním v místnostech v do 3,8 m stěn a stropů</t>
  </si>
  <si>
    <t>784498911</t>
  </si>
  <si>
    <t>Vyhlazení malířskou masou jednonásobně v místnostech nebo ve schodišti v do 3,8 m</t>
  </si>
  <si>
    <t>784453662</t>
  </si>
  <si>
    <t>Malby akrylátové ze směsi tekuté disperzní tónované otěruvzdorné dvojnásobné s penetrací  - místnost v do 5 m, stěny, strop</t>
  </si>
  <si>
    <t>označení ve výpisu nábytku č. 13</t>
  </si>
  <si>
    <t>označení ve výpisu nábytku č. 29</t>
  </si>
  <si>
    <t>označení ve výpisu nábytku č. 24</t>
  </si>
  <si>
    <t>označení ve výpisu nábytku č. 22</t>
  </si>
  <si>
    <t>označení ve výpisu nábytku č. 26</t>
  </si>
  <si>
    <t>REKAPITULACE ROZPOČTU - VZDUCHOTECHNIKA</t>
  </si>
  <si>
    <t>Nemocnice Havlíčkův Brod - stavební úpravy gynekologickoporodnického oddělení</t>
  </si>
  <si>
    <t>dodávka</t>
  </si>
  <si>
    <t>montáž</t>
  </si>
  <si>
    <t>hmotnost</t>
  </si>
  <si>
    <t>1. Operační sály se zázemím</t>
  </si>
  <si>
    <t xml:space="preserve">2. Chodby </t>
  </si>
  <si>
    <t>3. Hygienické zázemí</t>
  </si>
  <si>
    <t>4. Demontáže</t>
  </si>
  <si>
    <t>5. Ostatní náklady</t>
  </si>
  <si>
    <t>Mezisoučet</t>
  </si>
  <si>
    <t>dodávka celkem</t>
  </si>
  <si>
    <t>montáž celkem</t>
  </si>
  <si>
    <t>hmotnost celkem</t>
  </si>
  <si>
    <t>__________________________________________________________________________________</t>
  </si>
  <si>
    <t>VZDUCHOTECHNIKA CELKEM</t>
  </si>
  <si>
    <t>_________________________________________________________________________________</t>
  </si>
  <si>
    <r>
      <t>Seznam strojů a zařízení - zařízení</t>
    </r>
    <r>
      <rPr>
        <b/>
        <sz val="11"/>
        <rFont val="Times New Roman"/>
        <family val="1"/>
      </rPr>
      <t xml:space="preserve"> č. 1 - Operační sály a zázemí</t>
    </r>
  </si>
  <si>
    <t>pozice</t>
  </si>
  <si>
    <t>název, typ, rozměr</t>
  </si>
  <si>
    <t>mj</t>
  </si>
  <si>
    <t>cena mj</t>
  </si>
  <si>
    <t>hmotnost mj</t>
  </si>
  <si>
    <t>specifikace, poznámka</t>
  </si>
  <si>
    <t>cena celkem</t>
  </si>
  <si>
    <t>1 - 1.01</t>
  </si>
  <si>
    <t xml:space="preserve">Sestavná vzduchotecnická jednotka </t>
  </si>
  <si>
    <t xml:space="preserve">pro čisté prostory a zdravotnictví (hygienické provedení), </t>
  </si>
  <si>
    <t>v provedení ErP (Ecodesign – nařízení EU 1253/2014)</t>
  </si>
  <si>
    <r>
      <t>přívod 5040 m</t>
    </r>
    <r>
      <rPr>
        <i/>
        <vertAlign val="superscript"/>
        <sz val="8"/>
        <rFont val="Times New Roman"/>
        <family val="1"/>
      </rPr>
      <t>3</t>
    </r>
    <r>
      <rPr>
        <i/>
        <sz val="8"/>
        <rFont val="Times New Roman"/>
        <family val="1"/>
      </rPr>
      <t>/hod, 3010 W, 400 V, 1278 Pa, 6,36 A</t>
    </r>
  </si>
  <si>
    <t>odvod 4780 m3/hod, 1850 W, 400 V, 844 Pa, 4,76 A</t>
  </si>
  <si>
    <t xml:space="preserve">deskový rekuperační výměník 74 %, ohřívač 14,5 kW, chladič 13,9 kW, </t>
  </si>
  <si>
    <t>filtry na přívoduM 5 a F 9, filtr na odvodu M 5, jednotka včetně rámu s podložkou pryžových pásů s rýhovaným povrchem</t>
  </si>
  <si>
    <t xml:space="preserve">klapky na přívodu a odvodu, spojovací manžety, regulátory výkonu ventilátorů, snímače tlakové diference filtrů i ventilátorů, </t>
  </si>
  <si>
    <r>
      <t xml:space="preserve">soupravy pro odvod kondenzátu,  </t>
    </r>
    <r>
      <rPr>
        <b/>
        <i/>
        <sz val="8"/>
        <rFont val="Times New Roman"/>
        <family val="1"/>
      </rPr>
      <t xml:space="preserve">podrobná specifikace jednotky  v příloze </t>
    </r>
  </si>
  <si>
    <t xml:space="preserve">Výkaz výměr : </t>
  </si>
  <si>
    <t>I.NP: 1 ,  m.č. 602 (v.č.  1.4.1.01)</t>
  </si>
  <si>
    <t>2-1.02</t>
  </si>
  <si>
    <t>regulační klapka těsná 800 x 500 mm</t>
  </si>
  <si>
    <t xml:space="preserve">včetně servopohonu 230 V s havarijní funkcí, </t>
  </si>
  <si>
    <t>3-1.03</t>
  </si>
  <si>
    <t>buňkový tlumič hluku v hygienickém provedení</t>
  </si>
  <si>
    <t>200 x 500 x 1000.1, specifikace v příloze</t>
  </si>
  <si>
    <t>I.NP: 6*5 + 2*6 ,  m.č. 602, 621b (v.č.  1.4.1.01)</t>
  </si>
  <si>
    <t>4-1.04</t>
  </si>
  <si>
    <t>200 x 500 x 1500.1, specifikace v příloze</t>
  </si>
  <si>
    <t>I.NP: 2*4 + 2*6 ,  m.č. 607, 625 (v.č.  1.4.1.01)</t>
  </si>
  <si>
    <t>5-1.05</t>
  </si>
  <si>
    <t>požární klapka EI 90 D1 800 x 400</t>
  </si>
  <si>
    <t>se servopohonem 230 V</t>
  </si>
  <si>
    <t>specifikace v příloze</t>
  </si>
  <si>
    <t>6-1.06</t>
  </si>
  <si>
    <t>požární klapka EI 90 D1 800 x 500</t>
  </si>
  <si>
    <t>se servpohonm 230 V</t>
  </si>
  <si>
    <t>7-1.07</t>
  </si>
  <si>
    <t>laminární pole 2400 x 1600 mm, výška 355 mm</t>
  </si>
  <si>
    <t>tlak. ztráta laminarizátoru 11 Pa, tlak. ztráta filtračních vložek 131 Pa</t>
  </si>
  <si>
    <t>boční připojení (6 vstupů), s otvorem pro tubus operačního svítidla a s vnitřním osvětlením 3 x 36 W, barevné provedení : RAL 9010</t>
  </si>
  <si>
    <t>s filtrační vložkou třídy filtrcae H 13 - MACROPUR 13 MAC 0700/203/610/292 -  6 ks, specifikace v příloze</t>
  </si>
  <si>
    <t>I.NP: 1+1 ,  m.č. 623, 628 (v.č.  1.4.1.01)</t>
  </si>
  <si>
    <t>8.1.08</t>
  </si>
  <si>
    <t xml:space="preserve">čistý nástavec s těsnou klapkou </t>
  </si>
  <si>
    <t xml:space="preserve">s filtrační vložkou H 13 ABSOFIL 305x305x78 mm - 150 P U, </t>
  </si>
  <si>
    <t>a stavitelnou výřivou výustkou 350 x 350 mm, výška nástavce 345 mm, připojení 160 mm</t>
  </si>
  <si>
    <t>těsně svařen a barevně lakován v barvěě podhledu, včetně lišty či rámečku po obvodě</t>
  </si>
  <si>
    <t xml:space="preserve"> specifikace v příloze</t>
  </si>
  <si>
    <t>I.NP: 8*1 ,  m.č. 621f, 622, 624, 625, 626, 627, 629a, 629b (v.č.  1.4.1.01)</t>
  </si>
  <si>
    <t>9-1.09</t>
  </si>
  <si>
    <t>čistý nástavec s těsnou klapkou, bez filtrační vložky</t>
  </si>
  <si>
    <t>10-1.10</t>
  </si>
  <si>
    <t>nerezová ocelová odsávací výustka 425 x 225 mm</t>
  </si>
  <si>
    <t>s regulační sadou (přesuvné lamely) do stěnového obkladu a s filtrem G3</t>
  </si>
  <si>
    <t>4 x vodorovné lamely, 4 x svislé lamely, barevné provedení dle barvy stěn, specifikace v příloze</t>
  </si>
  <si>
    <t>I.NP: 4*2 ,  m.č. 623, 628 (v.č.  1.4.1.01)</t>
  </si>
  <si>
    <t>11-1.11</t>
  </si>
  <si>
    <t>vodní ohřívač 600x300</t>
  </si>
  <si>
    <t>4,5 kW, hliníkové lamely na měděných trubkách</t>
  </si>
  <si>
    <t>s odvzdušňovacími ventily a protimrazovým čidlem, specifikace v příloze</t>
  </si>
  <si>
    <t>I.NP: 1+1 ,  m.č. 621a (v.č.  1.4.1.01)</t>
  </si>
  <si>
    <t>12-1.12</t>
  </si>
  <si>
    <t>komfortní protidešťová žaluzie 1200 x 500 mm</t>
  </si>
  <si>
    <t>s rámem a sítem proti hmyzu</t>
  </si>
  <si>
    <t>I.NP: 1+1 ,  m.č. 602 (v.č.  1.4.1.01)</t>
  </si>
  <si>
    <t>13-1.13</t>
  </si>
  <si>
    <t>těsná revizní dvířka s uzávěrem 200 x 200</t>
  </si>
  <si>
    <t>I.NP: 2*2 ,  m.č. 621a (v.č.  1.4.1.01)</t>
  </si>
  <si>
    <t>14-1.15</t>
  </si>
  <si>
    <t xml:space="preserve">ohebná zvukově izolovaná hadice </t>
  </si>
  <si>
    <t>profil 160 mm</t>
  </si>
  <si>
    <t>Ohebná Al laminátová hadice s tepelnou a hlukovou izolací z vrstvy minerální vaty</t>
  </si>
  <si>
    <t>tloušťky 25 mm, 16 kg/m3, parozábrana – zpevněný Al laminát</t>
  </si>
  <si>
    <t>Vnitřní hadice je perforovaná jako tlumič hluku</t>
  </si>
  <si>
    <t>I.NP: 6*1,5+ 11*1 ,  m.č. 621f, 622, 624, 625, 626, 627, 629a, 629b (v.č.  1.4.1.01)</t>
  </si>
  <si>
    <t>15-1.16</t>
  </si>
  <si>
    <t>kruhové potrubí SPIRO profil 160 mm</t>
  </si>
  <si>
    <t>šrouboě stáčený pás pozinkovaného plechu tl. 0,6 mm</t>
  </si>
  <si>
    <t>včetně příslušenství - závěsného, těsného a montážního materiálu</t>
  </si>
  <si>
    <t>kovové objímky + závitové tyče M8, vsuvky, gumové těsnění</t>
  </si>
  <si>
    <t>I.NP: 2+1+1 ,  m.č. 621f, 625 (v.č.  1.4.1.01)</t>
  </si>
  <si>
    <t>16-1.16</t>
  </si>
  <si>
    <t>kruhové potrubí SPIRO odbočka jednoduchá 160/160</t>
  </si>
  <si>
    <t>I.NP: 1+1 ,  m.č. 621f, 625 (v.č.  1.4.1.01)</t>
  </si>
  <si>
    <t>17-1.20</t>
  </si>
  <si>
    <t>potrubí čtyřhranné sk. I. pozinkovaný plech</t>
  </si>
  <si>
    <r>
      <t>m</t>
    </r>
    <r>
      <rPr>
        <vertAlign val="superscript"/>
        <sz val="10"/>
        <rFont val="Times New Roman"/>
        <family val="1"/>
      </rPr>
      <t>2</t>
    </r>
  </si>
  <si>
    <t>50 % tvarovek, ON 12 0405, těsné</t>
  </si>
  <si>
    <t>spoje R, závitové tyče M10, podložky, matice, ocelové hmoždinky a nosné lišty, vzdálenost závěsů 3 m</t>
  </si>
  <si>
    <t>I.NP: 334 ,  m.č. 602, 607, 621a, b, c, f, 622-629b (v.č.  1.4.1.01)</t>
  </si>
  <si>
    <t>18-1.21</t>
  </si>
  <si>
    <t>izolace tepelná tl. 40 mm</t>
  </si>
  <si>
    <r>
      <t>m</t>
    </r>
    <r>
      <rPr>
        <vertAlign val="superscript"/>
        <sz val="10"/>
        <rFont val="Times New Roman"/>
        <family val="1"/>
      </rPr>
      <t>2</t>
    </r>
  </si>
  <si>
    <t>lamelová rohož z kamenné vlny na nosné podložce z hliníkové fólie</t>
  </si>
  <si>
    <t>vyztužené skleněnou mřížkou; na navařovací trny, páska ALS pro přelep spojů</t>
  </si>
  <si>
    <t>I.NP: 210*1,2 ,  m.č.  621a, b, c, f, 622-629b (v.č.  1.4.1.01)</t>
  </si>
  <si>
    <t>19-1.22</t>
  </si>
  <si>
    <t>izolace tepelná tl. 60 mm</t>
  </si>
  <si>
    <t>vyztužené skleněnou mřížkou; na navařovací trny</t>
  </si>
  <si>
    <t>I.NP: 86*1,2 ,  m.č.  602 (v.č.  1.4.1.01)</t>
  </si>
  <si>
    <t>20-1.23</t>
  </si>
  <si>
    <t>izolace protipožární  tl. 40 mm</t>
  </si>
  <si>
    <t>minimální odolnost EI 30/DP1</t>
  </si>
  <si>
    <t>I.NP: 25*1,2 ,  m.č.  607 (v.č.  1.4.1.01)</t>
  </si>
  <si>
    <t>21-1.24</t>
  </si>
  <si>
    <t>protopožární utěsnění vzt prostupů</t>
  </si>
  <si>
    <t>bm</t>
  </si>
  <si>
    <t>tmel + minerální vata, spára max. 20 mm</t>
  </si>
  <si>
    <t>I.NP:3*3 ,  m.č.  602, 607 (v.č.  1.4.1.01)</t>
  </si>
  <si>
    <t xml:space="preserve">CELKEM </t>
  </si>
  <si>
    <r>
      <t>Seznam strojů a zařízení - zařízení</t>
    </r>
    <r>
      <rPr>
        <b/>
        <sz val="11"/>
        <rFont val="Times New Roman"/>
        <family val="1"/>
      </rPr>
      <t xml:space="preserve"> č. 2 - Chodby</t>
    </r>
  </si>
  <si>
    <t>1 - 2.01</t>
  </si>
  <si>
    <t>Rekuperační vzduchotechnická jednotka parapetní</t>
  </si>
  <si>
    <t>vnitřní s protiproudým rekuperátorem, hygienické provedení dle VDI 6022</t>
  </si>
  <si>
    <r>
      <t>přívod 520 m</t>
    </r>
    <r>
      <rPr>
        <i/>
        <vertAlign val="superscript"/>
        <sz val="8"/>
        <rFont val="Times New Roman"/>
        <family val="1"/>
      </rPr>
      <t>3</t>
    </r>
    <r>
      <rPr>
        <i/>
        <sz val="8"/>
        <rFont val="Times New Roman"/>
        <family val="1"/>
      </rPr>
      <t>/hod, 385 W, 230 V, 380 Pa, 2,5 A</t>
    </r>
  </si>
  <si>
    <t>odvod 520 m3/hod, 385 W, 230 V, 280 Pa, 2,5 A</t>
  </si>
  <si>
    <t>rekuperační výměník 89 % (5,6 kW), ohřívač teplovodní 0,9 kW (70/50 °C)</t>
  </si>
  <si>
    <t xml:space="preserve">uzavírací klapky na přívodu a odvodu, by-passová klapka, cirkulační klapka, spojovací manžety </t>
  </si>
  <si>
    <t xml:space="preserve">regulační uzel včetně čtyřcestného směšovacího ventilu, čerpadla, servopohonu, protimrazového termostatu, </t>
  </si>
  <si>
    <t>odvzdušňovacího ventilu a uazvíracích kulových ventilů</t>
  </si>
  <si>
    <t>sklonové manometry pro zobrazení stavu přívodního filtru, kazetové filtry F 7, podrobná specifikace jednotky  v příloze</t>
  </si>
  <si>
    <t>VI.NP - 1, m.č. 602  (v.č. 1.4.1.1)</t>
  </si>
  <si>
    <t>2-2.02</t>
  </si>
  <si>
    <t>regulační klapka těsná 400 x 400 mm</t>
  </si>
  <si>
    <t>včetně servopohonu 230 V s havarijní funkcí</t>
  </si>
  <si>
    <t>3-2.03</t>
  </si>
  <si>
    <t>I.NP: 5*2 ,  m.č. 601, 602, 621b (v.č.  1.4.1.01)</t>
  </si>
  <si>
    <t>4-2.04</t>
  </si>
  <si>
    <t>I.NP: 2*2 ,  m.č. 621c,d,e (v.č.  1.4.1.01)</t>
  </si>
  <si>
    <t>5-2.05</t>
  </si>
  <si>
    <t>komfortní protidešťová žaluzie 400 x 500 mm</t>
  </si>
  <si>
    <t>I.NP: 1+1 ,  m.č. 601, 602 (v.č.  1.4.1.01)</t>
  </si>
  <si>
    <t>6-2.06</t>
  </si>
  <si>
    <t>požární klapka EIS 90 D1 250 x 250</t>
  </si>
  <si>
    <t>I.NP: 1,  m.č. 602 (v.č.  1.4.1.01)</t>
  </si>
  <si>
    <t>7-2.07</t>
  </si>
  <si>
    <t>požární klapka EIS 90 D1 400 x 250</t>
  </si>
  <si>
    <t>8.2.08</t>
  </si>
  <si>
    <t xml:space="preserve">s filtrační vložkou ABSOFIL 305x305x78 mm - 150 P U, </t>
  </si>
  <si>
    <t>I.NP: 4*1 ,  m.č. 621a, 621b (v.č.  1.4.1.01)</t>
  </si>
  <si>
    <t>9-2.09</t>
  </si>
  <si>
    <t>10-2.10</t>
  </si>
  <si>
    <t>mřížka čtyřhranná do podhledu 200  x 200 mm</t>
  </si>
  <si>
    <t>hliníková neprůhledná mřížka s pevnými lamelami s rozestupem 20 mm</t>
  </si>
  <si>
    <t>barva RAL dle barvy podhledu, včetně montážního materálu</t>
  </si>
  <si>
    <t>11-2.14</t>
  </si>
  <si>
    <t>profil 250 mm</t>
  </si>
  <si>
    <t>I.NP: 3*1,5  m.č. 602 (v.č.  1.4.1.01)</t>
  </si>
  <si>
    <t>12-2.15</t>
  </si>
  <si>
    <t>I.NP: 8*1,5,  m.č. 621a, 621b (v.č.  1.4.1.01)</t>
  </si>
  <si>
    <t>13-2.16</t>
  </si>
  <si>
    <t>I.NP: 1 ,  m.č. 621b (v.č.  1.4.1.01)</t>
  </si>
  <si>
    <t>14-2.20</t>
  </si>
  <si>
    <t>I.NP: 132 ,  m.č. 601, 602, 621a -f,  (v.č.  1.4.1.01)</t>
  </si>
  <si>
    <t>15-2.21</t>
  </si>
  <si>
    <t>I.NP: 100*1,2 ,  m.č.  621a -f,  (v.č.  1.4.1.01)</t>
  </si>
  <si>
    <t>16-2.22</t>
  </si>
  <si>
    <t>I.NP: 30*1,2 ,  m.č.  602 (v.č.  1.4.1.01)</t>
  </si>
  <si>
    <t>17-2.23</t>
  </si>
  <si>
    <t>I.NP: 6*1,2 ,  m.č.  601 (v.č.  1.4.1.01)</t>
  </si>
  <si>
    <t>18-2.24</t>
  </si>
  <si>
    <t>I.NP: 3*2 ,  m.č.  602 (v.č.  1.4.1.01)</t>
  </si>
  <si>
    <r>
      <t>Seznam strojů a zařízení - zařízení</t>
    </r>
    <r>
      <rPr>
        <b/>
        <sz val="11"/>
        <rFont val="Times New Roman"/>
        <family val="1"/>
      </rPr>
      <t xml:space="preserve"> č. 3 Hygienické zázemí</t>
    </r>
  </si>
  <si>
    <t>1-3.01</t>
  </si>
  <si>
    <t>diagonální potrubní ventilátor do potrubí profilu 125 mm</t>
  </si>
  <si>
    <r>
      <t>230V, 50 Hz, 30 W, 200-250 m</t>
    </r>
    <r>
      <rPr>
        <i/>
        <vertAlign val="superscript"/>
        <sz val="8"/>
        <rFont val="Times New Roman"/>
        <family val="1"/>
      </rPr>
      <t>3</t>
    </r>
    <r>
      <rPr>
        <i/>
        <sz val="8"/>
        <rFont val="Times New Roman"/>
        <family val="1"/>
      </rPr>
      <t>/hod, 33 dB(A), s doběhem</t>
    </r>
  </si>
  <si>
    <t>včetně závěsů a montážního materiálu</t>
  </si>
  <si>
    <t>VI.NP: 1+1 ,  m.č. 602, 630b (v.č.  1.4.1.01)</t>
  </si>
  <si>
    <t>2-3.01b</t>
  </si>
  <si>
    <t xml:space="preserve">spojovací manžety </t>
  </si>
  <si>
    <t xml:space="preserve">profil 125 mm, </t>
  </si>
  <si>
    <t>galvanizovaná ocel s gumovým vyložením pro ůtlum hluku a kmitání</t>
  </si>
  <si>
    <t>VI.NP: 2+2 ,  m.č. 602, 630b (v.č.  1.4.1.01)</t>
  </si>
  <si>
    <t>3-3.02</t>
  </si>
  <si>
    <t xml:space="preserve">zpětná klapka </t>
  </si>
  <si>
    <t>profil 125 mm, "motýlková", galvanizovaná ocel</t>
  </si>
  <si>
    <t>včetně montžního materiálu</t>
  </si>
  <si>
    <t>4-3.03</t>
  </si>
  <si>
    <t xml:space="preserve">kruhový tlumič hluku </t>
  </si>
  <si>
    <t>profil 125 mm, délka 600 mm, specifikace v příloze</t>
  </si>
  <si>
    <t>VI.NP: 1+1+1+1 ,  m.č. 602, 621a, 630b (v.č.  1.4.1.01)</t>
  </si>
  <si>
    <t>5-3.04</t>
  </si>
  <si>
    <t>větrací mřížka kruhová do fasády</t>
  </si>
  <si>
    <t>plastová, profil 125 mm, s okapničkou</t>
  </si>
  <si>
    <t>VI.NP: 1 ,  m.č. 601 (v.č.  1.4.1.01)</t>
  </si>
  <si>
    <t>6-3.05</t>
  </si>
  <si>
    <t>větrací stříška pro kruhové potrubí</t>
  </si>
  <si>
    <t>profil 125 mm</t>
  </si>
  <si>
    <t>střecha: 1 ,  (v.č.  1.4.1.01)</t>
  </si>
  <si>
    <t>7-3.06</t>
  </si>
  <si>
    <t>odsávací ventil kruhový, kovový</t>
  </si>
  <si>
    <t xml:space="preserve">profil 100 mm,s bílou vypalovací barvou,  včetně montážního kroužku s těsněním </t>
  </si>
  <si>
    <t xml:space="preserve">těsnění z pěnové hmoty, nastavitelný průtok pomocí regulačního kuželu </t>
  </si>
  <si>
    <t>VI.NP: 5*1,  m.č. 630c, 621d, 621e, 636, 638 (v.č.  1.4.1.01)</t>
  </si>
  <si>
    <t>8-3.07</t>
  </si>
  <si>
    <t xml:space="preserve">profil 125 mm,s bílou vypalovací barvou,  včetně montážního kroužku s těsněním </t>
  </si>
  <si>
    <t>VI.NP: 5*1,  m.č.  610b, 621c, 630b, 637, 639 (v.č.  1.4.1.01)</t>
  </si>
  <si>
    <t>9-3.09</t>
  </si>
  <si>
    <t>zvukově izolovaná ohebná hadice profil 100 mm</t>
  </si>
  <si>
    <t>10-3.10</t>
  </si>
  <si>
    <t>zvukově izolovaná ohebná hadice profil 125 mm</t>
  </si>
  <si>
    <t>VI.NP: 6*1,  m.č.  602, 610b, 621c, 630b, 637, 639 (v.č.  1.4.1.01)</t>
  </si>
  <si>
    <t>11-3.20</t>
  </si>
  <si>
    <t>potrubí kruhové SPIRO profil 100 mm</t>
  </si>
  <si>
    <t>VI.NP: 4*1,  m.č. 630b, 630c, 621d, 621e, 636-639 (v.č.  1.4.1.01)</t>
  </si>
  <si>
    <t>12-3.20</t>
  </si>
  <si>
    <t>kruhové potrubí SPIRO odbočka jednoduchá 100/100</t>
  </si>
  <si>
    <t>VI.NP: 1,  m.č. 621e (v.č.  1.4.1.01)</t>
  </si>
  <si>
    <t>13-3.21</t>
  </si>
  <si>
    <t>kruhové potrubí SPIRO profil 125 mm</t>
  </si>
  <si>
    <t>v místnostech621e a 630b potrubí opatřit odvodňovacím nátrubkem profilu 20 mm</t>
  </si>
  <si>
    <t>VI.NP: 5*1+2*2+3+4, m.č. 601, 602, 621a, 621e, 629b, 630b, 637, 639  (v.č.  1.4.1.01)</t>
  </si>
  <si>
    <t>14-3.21</t>
  </si>
  <si>
    <t>kruhové potrubí SPIRO oblouk 125</t>
  </si>
  <si>
    <t>VI.NP: 7*1, m.č. 602, 621a, 621e, 629b, 630b  (v.č.  1.4.1.01)</t>
  </si>
  <si>
    <t>15-3.21</t>
  </si>
  <si>
    <t>kruhové potrubí SPIRO přechod osový 125/100</t>
  </si>
  <si>
    <t>VI.NP: 1+1, m.č. 621e, 630b (v.č.  1.4.1.01)</t>
  </si>
  <si>
    <t>16-3.21</t>
  </si>
  <si>
    <t>kruhové potrubí SPIRO odbočka jednoduchá 125/125</t>
  </si>
  <si>
    <t>.</t>
  </si>
  <si>
    <t>17-3.21</t>
  </si>
  <si>
    <t>kruhové potrubí SPIRO odbočka jednoduchá 125/100</t>
  </si>
  <si>
    <t>VI.NP: 1, m.č. 637 (v.č.  1.4.1.01)</t>
  </si>
  <si>
    <t>18-3.22</t>
  </si>
  <si>
    <t>kruhové potrubí SPIRO profil 200 mm</t>
  </si>
  <si>
    <t>VI.NP: 638, 6391, (v.č.  1.4.1.01)</t>
  </si>
  <si>
    <t>19-3.22</t>
  </si>
  <si>
    <t>kruhové potrubí SPIRO odbočka jednoduchá 200/125</t>
  </si>
  <si>
    <t>VI.NP: 1, m.č. 639 (v.č.  1.4.1.01)</t>
  </si>
  <si>
    <t>20-3.22</t>
  </si>
  <si>
    <t>kruhové potrubí SPIRO odbočka jednoduchá 200/100</t>
  </si>
  <si>
    <t>21-3.22</t>
  </si>
  <si>
    <t>kruhové potrubí SPIRO profil 200 mm, oblouk 90°</t>
  </si>
  <si>
    <t>22-3.22</t>
  </si>
  <si>
    <t>kruhové potrubí SPIRO přechod osový 200/125</t>
  </si>
  <si>
    <t>23-3.23</t>
  </si>
  <si>
    <t xml:space="preserve">100 % tvarovek, ON 12 0405, </t>
  </si>
  <si>
    <t>spoje R, závitové tyče M10 a nosné lišty, vzdálenost závěsů 3 m</t>
  </si>
  <si>
    <t>VI.NP: 2+1, m.č. 610b, 638 (v.č.  1.4.1.01)</t>
  </si>
  <si>
    <t>24-3.23</t>
  </si>
  <si>
    <t>DEMONTÁŽ</t>
  </si>
  <si>
    <t>VI.NP: 6, m.č. 610b, 636-638 (v.č.  1.4.1.01)</t>
  </si>
  <si>
    <r>
      <t>Seznam strojů a zařízení - zařízení</t>
    </r>
    <r>
      <rPr>
        <b/>
        <sz val="11"/>
        <rFont val="Times New Roman"/>
        <family val="1"/>
      </rPr>
      <t xml:space="preserve"> č. 4 Demontáže</t>
    </r>
  </si>
  <si>
    <t>1-4.01</t>
  </si>
  <si>
    <t>jednotka GEA AT 10</t>
  </si>
  <si>
    <t>pro přívod do operačních sálů</t>
  </si>
  <si>
    <t>2-4.01</t>
  </si>
  <si>
    <t>ventilátor RNH 400</t>
  </si>
  <si>
    <t>pro odsávání z operačních sálů</t>
  </si>
  <si>
    <t>3-4.01</t>
  </si>
  <si>
    <t>operační sál: včetně tlumičů a potrubních komponentů</t>
  </si>
  <si>
    <t>4-4.01</t>
  </si>
  <si>
    <t>pro přívod do úpravy novorozenců</t>
  </si>
  <si>
    <t>5-4.01</t>
  </si>
  <si>
    <t>ventilátor RNH 250</t>
  </si>
  <si>
    <t>pro odsávání z úpravy novorozenců</t>
  </si>
  <si>
    <t>6-4.01</t>
  </si>
  <si>
    <t>úprava novorozenců: včetně tlumičů a potrubních komponentů</t>
  </si>
  <si>
    <t>7-4.01</t>
  </si>
  <si>
    <t>parapetní jednotka GEO 4</t>
  </si>
  <si>
    <t>pro přívod do sterilizace</t>
  </si>
  <si>
    <t>8-4.01</t>
  </si>
  <si>
    <t>ventilátor RNH 315</t>
  </si>
  <si>
    <t>pro odsávání ze sterilizace</t>
  </si>
  <si>
    <t>9-4.01</t>
  </si>
  <si>
    <t>sterilizace: včetně tlumičů a potrubních komponentů</t>
  </si>
  <si>
    <t>Seznam strojů a zařízení - Ostatní náklady</t>
  </si>
  <si>
    <t>1-5.01</t>
  </si>
  <si>
    <t>dopravné</t>
  </si>
  <si>
    <t>soub</t>
  </si>
  <si>
    <t>2-5.02</t>
  </si>
  <si>
    <t>zednické výpomoci</t>
  </si>
  <si>
    <t>drobné výpomoci při motáži závěsů potrubí</t>
  </si>
  <si>
    <t>veškeré stavební a bourací práce nutné pro zdárné provedení vzduchotechniky</t>
  </si>
  <si>
    <t>prostup zdí tl. 450 mm 1200x500 mm 2x, zdí tl. 150m m: 800x500 1x, 800x400 2x, 800x250 10x, 600(630)x400 6x, 160x250 3x,</t>
  </si>
  <si>
    <t>425(400)x225(250) 10x, 1200x250 1x</t>
  </si>
  <si>
    <t>prostup zdí tl. 450 mm 400x500 2x, zdí tl. 150 mm 400x250 3x, 250x250 1x, 250x200 2x, 315x160 2x</t>
  </si>
  <si>
    <t>prostup zdí tl. 450 mm profilu 125 mm 1x, zdí tl. 150 mm profilu 200 mm 1x, profilu 125 mm 8x, profilu 100 mm 3x</t>
  </si>
  <si>
    <t>zapravení veškerých prostupů materiálem shodným s materiálem v němž jsou prostupy prováděny s potřebnou požární odolností dle PBŘ</t>
  </si>
  <si>
    <t>odvoz a likvidace suti a odpadu na skládku do 20 km</t>
  </si>
  <si>
    <t>3-5.03</t>
  </si>
  <si>
    <t>staveništní přesun hmot</t>
  </si>
  <si>
    <t>4-5.04</t>
  </si>
  <si>
    <t>zaregulování systému a uvedení do provozu</t>
  </si>
  <si>
    <t>včetně zpracování protokoů o naměřených hodnotách</t>
  </si>
  <si>
    <t>5-5.05</t>
  </si>
  <si>
    <t>informační systém</t>
  </si>
  <si>
    <t xml:space="preserve">v rozsahu nevyhnutelně potřebném pro provoz a údržbu vzduchotecniky, </t>
  </si>
  <si>
    <t>tj. označení tras potrubí dle ČSN, označení směru toků médií v potrubích, označení přístupů a provozních stavů</t>
  </si>
  <si>
    <t>6-5.06</t>
  </si>
  <si>
    <t>lešení, montážní plošiny</t>
  </si>
  <si>
    <t>3112fh6</t>
  </si>
  <si>
    <t>Plochý pórobetonový překlad 150x124x1500 mm</t>
  </si>
  <si>
    <t>3112fh7</t>
  </si>
  <si>
    <t>Plochý pórobetonový překlad 150x124x2750 mm</t>
  </si>
  <si>
    <t>51b</t>
  </si>
  <si>
    <t>Příplatek za přemístění vybouraných hmot bez mechanizace ručně vodorovný (-2.NP až 5.NP (7 podlaží))</t>
  </si>
  <si>
    <t>51c</t>
  </si>
  <si>
    <t>Příplatek za přemístění vybouraných hmot bez mechanizace ručně svislý (-2.NP až 5.NP (7 podlaží))</t>
  </si>
  <si>
    <t>Doplnění rozvaděče 3-RP09+5NP, typ vestavný, IP40/20, TN-S, In=40A; Ik=10kA / 400V, přívod i vývody vrchem, 9x vývod s jističem 16B/1 a proud.chráničem 30mA, 3x vývod s jističem 10B/1 a proud.chráničem 30mA</t>
  </si>
  <si>
    <t>Rozvaděč 3-RSM10, typ vestavný, IP40/20, TN-S, In=40A; Ik=10kA / 400V, přívod i vývody vrchem, provedený dle výkresu č. D.1.4.3.04</t>
  </si>
  <si>
    <t>Rozvaděč 3-RSM11, typ vestavný, IP40/20, TN-S, In=40A; Ik=10kA / 400V, přívod i vývody vrchem, provedený dle výkresu č. D.1.4.3.05</t>
  </si>
  <si>
    <t>A1 - SVÍTIDLO ZÁŘIVKOVÉ 2x54W, IP40, přisazené, elektronický předřadník, mikroprismatický kryt</t>
  </si>
  <si>
    <t>A2 - SVÍTIDLO ZÁŘIVKOVÉ 1x54W, IP40, přisazené, elektronický předřadník, mikroprismatický kryt</t>
  </si>
  <si>
    <t>B1 - SVÍTIDLO ZÁŘIVKOVÉ 2x26W, IP20, vestavné, kruhové, elektronický předřadník, parabolický relektor</t>
  </si>
  <si>
    <t>B2 - SVÍTIDLO ZÁŘIVKOVÉ 2x26W, IP20, přisazené, kruhové, elektronický předřadník, parabolický relektor</t>
  </si>
  <si>
    <t>D1 - SVÍTIDLO ZÁŘIVKOVÉ 4x24W, IP40, vestavné, elektronický předřadník, mikroprismatický kryt</t>
  </si>
  <si>
    <t>D2 - SVÍTIDLO ZÁŘIVKOVÉ 4x14W, IP40, vestavné, elektronický předřadník, mikroprismatický kryt</t>
  </si>
  <si>
    <t>H1 - SVÍTIDLO ZÁŘIVKOVÉ 21W, IP44, nástěnné, elektronický předřadník, opálový kryt</t>
  </si>
  <si>
    <t>N1 - SVÍTIDLO ZÁŘIVKOVÉ 8W nouzové IP20, nástěnné s piktogramem</t>
  </si>
  <si>
    <t>zářivka lineární např. PHILIPS T5 54W/840</t>
  </si>
  <si>
    <t>zářivka lineární např. PHILIPS T5 24W/840</t>
  </si>
  <si>
    <t>zářivka lineární např. PHILIPS T5 14W/840</t>
  </si>
  <si>
    <t>zářivka lineární např. PHILIPS T5 8W/840</t>
  </si>
  <si>
    <t>zářivka kompaktní např. PHILIPS PL-C 26W/840</t>
  </si>
  <si>
    <t>zářivka kompaktní např. PHILIPS PL-C 21W/840</t>
  </si>
  <si>
    <t>spínač řazení 1 IP20 např. ABB Levit, bílá/ledově bílá</t>
  </si>
  <si>
    <t>spínač řazení 5 IP20 např. ABB Levit, bílá/ledově bílá</t>
  </si>
  <si>
    <t>spínač řazení 6 IP20 např. ABB Levit, bílá/ledově bílá</t>
  </si>
  <si>
    <t>tlačítko řazení 1/0 IP20 např. ABB Levit, bílá/ledově bílá</t>
  </si>
  <si>
    <t>dvojzásuvka 230V 16A IP20 např. ABB Levit, bílá/ledově bílá</t>
  </si>
  <si>
    <t>zásuvka 230V 16A IP20 např. ABB Levit, bílá/ledově bílá</t>
  </si>
  <si>
    <t>zásuvka STA např. ABB Levit, bílá/ledově bílá</t>
  </si>
  <si>
    <t>zásuvka 2xRJ45 cat.5 např. ABB Levit, bílá/ledově bílá</t>
  </si>
  <si>
    <t>trasy</t>
  </si>
  <si>
    <t>žlab 200/60 včeně příslušenství,ocelový, drátěný, pozinkovaný</t>
  </si>
  <si>
    <t>nosník 250</t>
  </si>
  <si>
    <t>ochran pospoj</t>
  </si>
  <si>
    <t>vodič CYA 10 zžl</t>
  </si>
  <si>
    <t>demontáž, přesun suti a likvidace stávající elektroinstalace</t>
  </si>
  <si>
    <t>doprava</t>
  </si>
  <si>
    <t>KOMUNIKAČNÍ KONTROLER 2000LCC16</t>
  </si>
  <si>
    <t>KOMUNIKAČNÍ JEDNOTKA 2000NU - Pacientský terminál</t>
  </si>
  <si>
    <t>KOMUNIKAČNÍ JEDNOTKA 2000S - Sesterský terminál</t>
  </si>
  <si>
    <t>ZÁSUVKA BSU pro 2000S</t>
  </si>
  <si>
    <t>SOFTWARE pro 2000S, 2000LCC16</t>
  </si>
  <si>
    <t>DVEŘNÍ JEDNOTKA 2000TS1M - Intercom vchodový terminal</t>
  </si>
  <si>
    <t>PŘÍPOJKA 2000 Pab/Pa</t>
  </si>
  <si>
    <t>TLAČÍTKO 2000 Paa</t>
  </si>
  <si>
    <t>PŘIVOLÁVACÍ TLAČÍTKO 2000Pw - Nouzové tlačítko</t>
  </si>
  <si>
    <t>PŘIVOLÁVACÍ TÁHLO 2000Pd - Tahové tlačítko do vlhka</t>
  </si>
  <si>
    <t>INDIKAČNÍ SVĚTLO 2000CL</t>
  </si>
  <si>
    <t>Montáž, oživení, programování</t>
  </si>
  <si>
    <t>žlab 100/60 včeně příslušenství, ocelový, drátěný, pozinkovaný</t>
  </si>
  <si>
    <t>Kabel SYKFY 2x0,5</t>
  </si>
  <si>
    <t>Kabel SYKFY 5x2x0,5</t>
  </si>
  <si>
    <t>Kabel SYKFY 10x2x0,5</t>
  </si>
  <si>
    <t>Kabel SYKFY 3x2x0,5</t>
  </si>
  <si>
    <t>Doprava</t>
  </si>
  <si>
    <t>170b</t>
  </si>
  <si>
    <t>170c</t>
  </si>
  <si>
    <t>711411052</t>
  </si>
  <si>
    <t>Provedení izolace proti vodě za studena na vodorovné ploše tekutou lepenkou</t>
  </si>
  <si>
    <t>711412052</t>
  </si>
  <si>
    <t>Provedení izolace proti vodě za studena na svislé ploše tekutou lepenkou</t>
  </si>
  <si>
    <t>X8cr4</t>
  </si>
  <si>
    <t>Trvale pružná dvousložková hydroizolační těsnící hmota, na bázi polymercementové suspenze - 1,5 kg/m2 při 2 nátěrech</t>
  </si>
  <si>
    <t>99871120x</t>
  </si>
  <si>
    <t>Přesun hmot pro izolace proti vodě, vlhkosti a plynům v objektech v do 24 m</t>
  </si>
  <si>
    <t>721 17-0907.R00</t>
  </si>
  <si>
    <t xml:space="preserve">Oprava potrubí PVC odpadní, vsazení odbočky D 75 </t>
  </si>
  <si>
    <t>Izolace návleková např. MIRELON PRO tl. stěny 9 mm vnitřní průměr 18 mm</t>
  </si>
  <si>
    <t>Izolace návleková např. MIRELON PRO tl. stěny 9 mm vnitřní průměr 22 mm</t>
  </si>
  <si>
    <t>Izolace návleková např. MIRELON PRO tl. stěny 9 mm vnitřní průměr 28 mm</t>
  </si>
  <si>
    <t>722 17-3964.R00</t>
  </si>
  <si>
    <t xml:space="preserve">Spoje pro rozvod vody plast lepené D 32 mm </t>
  </si>
  <si>
    <t>722 17-3965.R00</t>
  </si>
  <si>
    <t xml:space="preserve">Spoje pro rozvod vody plast lepené D 40 mm </t>
  </si>
  <si>
    <t xml:space="preserve">Klozet závěsný např. MIO + sedátko, bílý </t>
  </si>
  <si>
    <t>725 01-7134.R00</t>
  </si>
  <si>
    <t xml:space="preserve">Umyvadlo na šrouby např. OLYMP 60 x 45 cm, bílé </t>
  </si>
  <si>
    <t>725 01-7321.R00</t>
  </si>
  <si>
    <t xml:space="preserve">Umývátko na šrouby např. CUBITO 45 x 34 cm, bílé </t>
  </si>
  <si>
    <t xml:space="preserve">Dřez nerezový  s přepadem a odkapávačem </t>
  </si>
  <si>
    <t>725 82-3111.RT1</t>
  </si>
  <si>
    <t>Baterie umyvadlová stoján. ruční, bez otvír.odpadu standardní</t>
  </si>
  <si>
    <t>725 82-3114.R00</t>
  </si>
  <si>
    <t xml:space="preserve">Baterie dřezová stojánková ruční, bez otvír.odpadu </t>
  </si>
  <si>
    <t>733 11-1105.R00</t>
  </si>
  <si>
    <t xml:space="preserve">Potrubí závitové bezešvé běžné nízkotlaké DN 25 </t>
  </si>
  <si>
    <t>733 12-3912.R00</t>
  </si>
  <si>
    <t xml:space="preserve">Svařovaný spoj potrubí ocelového hladkého D 25 mm </t>
  </si>
  <si>
    <t>733 19-1925.R00</t>
  </si>
  <si>
    <t xml:space="preserve">Navaření odbočky na potrubí,DN odbočky 25 </t>
  </si>
  <si>
    <t>722 18-1241.RT9</t>
  </si>
  <si>
    <t>Izolace návleková např. MIRELON STABIL tl. stěny 6 mm vnitřní průměr 28 mm</t>
  </si>
  <si>
    <t>tvarovky Cu do DN25</t>
  </si>
  <si>
    <t>konzole jednoduchá (pro 1 plyn)</t>
  </si>
  <si>
    <t>konzole středně složitá (pro 2-3 plyny)</t>
  </si>
  <si>
    <t>napojení na stávající rozvod</t>
  </si>
  <si>
    <t>odstavení části stáv.rozvodu vč.zpětného uvedení do provozu</t>
  </si>
  <si>
    <t xml:space="preserve">manometr pr.100 rozsah 0-1MPa </t>
  </si>
  <si>
    <t>ventil.krabice pro 2 plyny kompletní (2xuzav.ventil,2xpřip.zálohy,2xčidlo snímání tlaku)</t>
  </si>
  <si>
    <t>ventil.krabice pro 3 plyny kompletní (3xuzav.ventil,3xpřip.zálohy,3xčidlo snímání tlaku)</t>
  </si>
  <si>
    <t>nástěnná lůžková rampa pro 1 lůžko , délka 1000mm, výbava na 1 lůžko : 2x O2, 2x VAC, 2x zásuvka DO, 4x zásuvka MDO, 6x zásuvka ochr.pospojení, 2x datová zásuvka, 2x prázdné víčko, 1x příprava pro doroz.zařízení sestra/pacient, 1x medilišta 400mm, osvětlení přímé (ovládané z rampy), nepřímé (ovládané ode dveří), noční (ovládané ode dveří)</t>
  </si>
  <si>
    <t>nástěnná lůžková rampa pro 1 lůžko , délka 1650mm, výbava na 1 lůžko : 2x O2, 2x VAC, 2x zásuvka DO, 4x zásuvka MDO, 6x zásuvka ochr.pospojení, 2x datová zásuvka, 2x prázdné víčko, 1x příprava pro doroz.zařízení sestra/pacient, 2x medilišta 400mm, osvětlení přímé (ovládané z rampy), nepřímé (ovládané ode dveří), noční (ovládané ode dveří)</t>
  </si>
  <si>
    <t>nástěnná lůžková rampa pro 1 lůžko , délka 1650mm, výbava na 1 lůžko : 2x O2, 2x VAC, 2x zásuvka DO, 4x zásuvka MDO, 6x zásuvka ochr.pospojení, 2x datová zásuvka, 2x prázdné víčko, 1x příprava pro doroz.zařízení sestra/pacient, 2x medilišta 400mm, osvětlení přímé (ovládané z rampy), nepřímé (ovládané ode dveří), noční (ovládané ode dveří), plenta mezi lůžka</t>
  </si>
  <si>
    <t>nástěnná lůžková rampa pro 1 lůžko , délka 1000mm, výbava na 1 lůžko : 2x O2, 2x SV, 2x VAC, 4x zásuvka ZIS-LED, 2x zásuvka VDO-LED, 6x zásuvka ochr.pospojení, 2x datová zásuvka, 2x prázdné víčko, 1x příprava pro doroz.zařízení sestra/pacient, 1x medilišta 400mm, osvětlení přímé (ovládané z rampy), nepřímé (ovládané ode dveří), noční (ovládané ode dveří)</t>
  </si>
  <si>
    <t>nástěnná lůžková rampa pro 4 lůžka , délka 6000mm, výbava na 1 lůžko : 2x O2, 2x zásuvka MDO, 2x zásuvka DO, 4x zásuvka ochr.pospojení, 2x datová zásuvka, 2x prázdné víčko, 1x příprava pro doroz.zařízení sestra/pacient, 2x medilišta 400mm, osvětlení přímé (ovládané z rampy), nepřímé (ovládané ode dveří), noční (ovládané ode dveří)</t>
  </si>
  <si>
    <t xml:space="preserve">nástěnná lůžková rampa pro 4 lůžka , délka 6000mm, výbava na 1 lůžko : 2x O2, 2x SV, 2x VAC, 6x zásuvka ZIS-LED, 4x zásuvka VDO-LED, 10x zásuvka ochr.pospojení, 2x datová zásuvka, 2x prázdné víčko, 1x příprava pro doroz.zařízení sestra/pacient, 2x medilišta 400mm, osvětlení přímé (ovládané z rampy), nepřímé (ovládané ode dveří), noční (ovládané ode dveří), 1x police na medilištu 307x257mm, sada ramen na stěnu: rameno lomenné 700/600mm+držák infuzí, rameno rovné 750mm+závěsná police 750x420mm, rameno rovné 550mm+závěsná tyč 900mm, 3x plenta mezi lůžka na celou rampu </t>
  </si>
  <si>
    <t>demontáž stávající měděné trubky 8x1</t>
  </si>
  <si>
    <t>demontáž stávající měděné trubky 12x1</t>
  </si>
  <si>
    <t>demontáž stávající měděné trubky 18x1</t>
  </si>
  <si>
    <t>demontáž stávajícího lékařského panelu</t>
  </si>
  <si>
    <t>demontáž stávajícího kontrolního manometru</t>
  </si>
  <si>
    <t>demontáž stávajícího pevného stativu</t>
  </si>
  <si>
    <t>elektronika tlačítkového hlásiče IQ8</t>
  </si>
  <si>
    <t>kryt pro tlačítkový hlásič IQ8</t>
  </si>
  <si>
    <t>štítek s adresou pro tlačítkový hlásič</t>
  </si>
  <si>
    <t>Nástěnný rozvaděč 800x600x250, přívody vrchem, IP40/20
Vnitřní vybavení rozvaděče  (svorky, jističe, můstky, …)</t>
  </si>
  <si>
    <t>2C/1 Jištěný motorový vývod 230V se stykačem</t>
  </si>
  <si>
    <t>Transformátor 230/24V 60VA</t>
  </si>
  <si>
    <t>Servopohon klapky, 5Nm, 24VAC, 0-10V</t>
  </si>
  <si>
    <t>Servopohon směšovacího 4c ventilu, 24 VAC, 0-10V, 30 s, 300N</t>
  </si>
  <si>
    <t>Servopohon klapky, 5Nm, 24VAC, 2-bodový, 150s</t>
  </si>
  <si>
    <t>Diferenční snímač tlaku 20-300Pa</t>
  </si>
  <si>
    <t>Kabelový  žlab pevný 65/50, vč. příslušenství, víka  a nosného materiálu</t>
  </si>
  <si>
    <t>J-H(St)H B2ca,s1,d0 1x2x0,8</t>
  </si>
  <si>
    <t>Doprava v místě</t>
  </si>
  <si>
    <t>76758180X</t>
  </si>
  <si>
    <t>Demontáž podhledu lamel - k dalšímu použití</t>
  </si>
  <si>
    <t>xc70</t>
  </si>
  <si>
    <t>Montáž podhledu lamelového z rozebraných stávajících součástí</t>
  </si>
  <si>
    <t>Demontáž podhledu kovového lamelového</t>
  </si>
  <si>
    <t>Kazetový minerální podhled zalomení podhledu</t>
  </si>
  <si>
    <t>Demontáž rámu jednoduchých oken a dveří plastových včetně křídel do 4m2</t>
  </si>
  <si>
    <t>Demontáž vnitřních prosklených stěn s dveřmi plastových nad 4m2</t>
  </si>
  <si>
    <t>Vyvěšení nebo zavěšení dřevěných křídel dveří pl do 2 m2</t>
  </si>
  <si>
    <t>Montáž a dodávka dveře vnitřní 700x1970 mm včetně kování, viz. výpis prvků PSV č. 1a</t>
  </si>
  <si>
    <t>Montáž a dodávka dveře vnitřní 800x1970 mm včetně kování a dveřní mřížky, viz. výpis prvků PSV č. 2</t>
  </si>
  <si>
    <t>Montáž a dodávka dveře vnitřní 900x1970 mm včetně kování, viz. výpis prvků PSV č. 3</t>
  </si>
  <si>
    <t>X163</t>
  </si>
  <si>
    <t>Montáž a dodávka dveře vnitřní posuvné na stěnu do obložkové zárubně prosklenné 1100x1970 mm včetně kování, meziskelní žaluzie, apod, viz. výpis prvků PSV č. 4</t>
  </si>
  <si>
    <t>Montáž a dodávka dveře vnitřní 1100x1970 mm včetně kování, viz. výpis prvků PSV č. 5</t>
  </si>
  <si>
    <t>X165</t>
  </si>
  <si>
    <t>Montáž a dodávka vnitřní plastová prosklená stěna 2100x2600 mm včetně kování, viz. výpis prvků PSV č. 6</t>
  </si>
  <si>
    <t>X166</t>
  </si>
  <si>
    <t>Montáž a dodávka vnitřní plastová prosklená stěna 2250x3300 mm včetně kování, viz. výpis prvků PSV č. 7</t>
  </si>
  <si>
    <t>Montáž a dodávka vnitřní hliníková protipožární prosklená stěna 3200x2990 mm včetně kování, viz. výpis prvků PSV č. 8</t>
  </si>
  <si>
    <t>Montáž a dodávka vnitřní plastová prosklená stěna 2300x3300 mm včetně kování, viz. výpis prvků PSV č. 9</t>
  </si>
  <si>
    <t>X169</t>
  </si>
  <si>
    <t>Montáž a dodávka vnitřní plastová prosklená stěna včetně kování, viz. výpis prvků PSV č. 10a+10b</t>
  </si>
  <si>
    <t>Montáž a dodávka vnitřní plastové okno fixní 2250x405 mm, viz. výpis prvků PSV č. 11</t>
  </si>
  <si>
    <t>X172</t>
  </si>
  <si>
    <t>M+D hliníkový profil SM 20 k ochraně rohů před poškozením vozíky z akrylvinylu, viz "PSV" č. M2</t>
  </si>
  <si>
    <t>X173</t>
  </si>
  <si>
    <t>M+D nárazové madlo HRB 35 s ergonomicky tvarovaným pružným krytem z akrylvinylu - viz "PSV" č. M3</t>
  </si>
  <si>
    <t>X174</t>
  </si>
  <si>
    <t>M+D dřevěné madlo - viz "PSV" č. M4</t>
  </si>
  <si>
    <t>M+D Pevně zabudovaná skříň policová 980x600x2270, posuvné dveře, každé křídlo samostatně uzamikatelné do boku skříně, společný klíč</t>
  </si>
  <si>
    <t>M+D Pevně zabudovaná skříň policová 1500x350x1000, posuvné dveře</t>
  </si>
  <si>
    <t>M+D Pevně zabudovaná kuchyňská linka 2100x600/400x860/2020, dřez s odkapem a páková baterie je dodávkou zařizovacích předmětů</t>
  </si>
  <si>
    <t>M+D Pevně zabudovaný koupací pult - mycí komplet 940x750x1000, umělý kámen = bezspárové provedení vaničky, pracovní plochy a jejího ohraničení, páková baterie s vytahovací sprškou je dodávkou zařizovacích předmětů</t>
  </si>
  <si>
    <t>M+D Pevně zabudovaná pracovní a kuchyňská linka 2400x1350x2020, dřez s odkapem a páková baterie je dodávkou zařizovacích předmětů</t>
  </si>
  <si>
    <t>M+D Pevně zabudovaná kuchyňská linka 1500x600/400x2020/860, dřez s odkapem a páková baterie je dodávkou zařizovacích předmětů</t>
  </si>
  <si>
    <t>M+D Pevně zabudovaná kuchyňská linka s navazující policí 2000x600x2020, police se zaobleným rohem 1550x400x25, na podpěrných konzolách</t>
  </si>
  <si>
    <t>M+D Pevně zabudovaná skříň policová 1310x500x2350, posuvné dveře, uzamykatelná, každé křídlo v hliníkovém rámu, bajonetový zámek</t>
  </si>
  <si>
    <t>M+D Pevně zabudovaná skříň policová 1760x600x2350, posuvné dveře, uzamykatelná, každé křídlo v hliníkovém rámu, bajonetový zámek</t>
  </si>
  <si>
    <t>M+D Pevně zabudovaná kuchyňská linka 1300x600/400x2020/860, dřez s odkapem a páková baterie je dodávkou zařizovacích předmětů</t>
  </si>
  <si>
    <t>označení ve výpisu nábytku č. 36</t>
  </si>
  <si>
    <t>M+D Pevně zabudovaná skříň vestavěná policová a šatní s nástavcem</t>
  </si>
  <si>
    <t>Montáž a dodávka ocelové zárubně pro cihelné zdivo 150/1970/900</t>
  </si>
  <si>
    <t>771574113</t>
  </si>
  <si>
    <t>Montáž podlah keramických režných hladkých lepených flexibilním lepidlem do 12 ks/m2</t>
  </si>
  <si>
    <t>771579191</t>
  </si>
  <si>
    <t>Příplatek k montáž podlah keramických za plochu do 5 m2</t>
  </si>
  <si>
    <t>xc35</t>
  </si>
  <si>
    <t>Dlaždice keramické slinuté neglazované jakost I, 30 x 30 x 0,9 cm - barva a typ dle výběru investora</t>
  </si>
  <si>
    <t>Broušení nerovností betonových podlah do 2 mm</t>
  </si>
  <si>
    <t xml:space="preserve">Homogenní neválcované antistatické PVC ve čtvercích vhodné do čistého provozu 
- hodnota el. odporu je 5x10 4 ≤ R ≤ 10 6 
- rozměry čtverců 615mm x 615mm 
- celková tloušťka 2 mm 
- třídy zátěže 34/43 
- rozměrová stálost dle EN 434 je ≤ 0,05% 
- zbytkový otlak dle EN 433 je ≤  0,035mm 
- součinitel smykového tření dle ČSN je µ ≥ 0,6 
- reakce na oheň dle EN13501-1: třída Bƒl S1 
- splňuje normu pro čisté provozy ISO 14644-1 třída 4 
- splňuje normu pro čisté provozy ISO 14644-8  (TVOC 23°C/90°C) třída-9,1 
- biologická odolnost dle ISO 846 intenzita růstu 0 
- adheze mikroorganismů dle ISO 14698-1 třída A-B 
- třída čistitelnosti dle ISO 14644-9 úspěšnost čištění více než 99 % 
- vynikající chemická odolnost dle ISO 26787/ EN423 bez nutnosti nanášení dalších povrchových úprav 
- možnost oprav stejným materiálem bez nutnosti výměny čtverců 
- instalace na vodivé lepidlo a vodivou síť z Cu pásky, připojenou na uzemňovací svorky 
</t>
  </si>
  <si>
    <t>X33lo</t>
  </si>
  <si>
    <t xml:space="preserve">Heterogenní akustický vinyl v rolích
- vyztužení kompaktní vrstvou z netkaného skelného rouna
- celková tloušťka materiálu 2,60 mm
- tloušťka nášlapné vrstvy 0,70 mm
- šířka role 2m
- třída zátěže 34/42
- kročejový útlum dle EN ISO 717-2 je 15 dB
- povrchová úprava PUR
- reakce na oheň dle EN 13 501-1 je B fl – S 1
- nejvyšší hodnota zbytkového otlaku dle EN 433 je 0,07 mm
- odolnost proti opotřebení dle EN 660-2: třída T
- protiskluznost dle DIN 51130 je R10
- součinitel smykového tření dle ČSN hodnota µ ≥ 0,6
- rozměrová stálost dle EN 434 je ≤ 0,1%
- emise těkavých organických látek dle  EN ISO 16000 za 28 dní &lt; 100 µg/m 3 
- schopnost snížit intenzitu hluku při nárazu dle NF S 31-074 Ln,e,w &lt; 65dB, třída A
</t>
  </si>
  <si>
    <t>Vytažení a přilepení krytiny na sokl - fabión, včetně M+D plastového podložného profilu</t>
  </si>
  <si>
    <t>781414112</t>
  </si>
  <si>
    <t>Montáž obkladaček vnitřních pórovinových pravoúhlých do 25 ks/m2 lepených flexibilním lepidlem</t>
  </si>
  <si>
    <t>781413912</t>
  </si>
  <si>
    <t>Oprava obkladu z obkladaček pórovinových do 25 ks/m2 lepených</t>
  </si>
  <si>
    <t>781419191</t>
  </si>
  <si>
    <t>Příplatek k montáži obkladů vnitřních pórovinových za plochu do 10 m2</t>
  </si>
  <si>
    <t>xc31</t>
  </si>
  <si>
    <t>Obkládačky keramické I. j. - barva, rozměr a typ dle výběru investora</t>
  </si>
  <si>
    <t>781494511</t>
  </si>
  <si>
    <t>Plastové profily ukončovací lepené flexibilním lepidlem</t>
  </si>
  <si>
    <t>781494111</t>
  </si>
  <si>
    <t>Plastové profily rohové lepené flexibilním lepidlem</t>
  </si>
  <si>
    <t>REKAPITULACE ROZPOČTU</t>
  </si>
  <si>
    <t>1.4.1 VZDUCHOTECHNIKA</t>
  </si>
  <si>
    <t>Modernizace perinatologického centra II. typu nemocnice Havlíčkův Brod</t>
  </si>
  <si>
    <t>Celkem dodávka</t>
  </si>
  <si>
    <t>Celkem montáž</t>
  </si>
  <si>
    <t>Celkem hmotnost</t>
  </si>
  <si>
    <t xml:space="preserve">Seznam strojů a zařízení </t>
  </si>
  <si>
    <r>
      <t>přívod 480 m</t>
    </r>
    <r>
      <rPr>
        <i/>
        <vertAlign val="superscript"/>
        <sz val="8"/>
        <rFont val="Times New Roman"/>
        <family val="1"/>
      </rPr>
      <t>3</t>
    </r>
    <r>
      <rPr>
        <i/>
        <sz val="8"/>
        <rFont val="Times New Roman"/>
        <family val="1"/>
      </rPr>
      <t>/hod, 170 W, 230 V, 300 Pa, 1,4 A</t>
    </r>
  </si>
  <si>
    <t>odvod 480 m3/hod, 170 W, 230 V, 180 Pa, 1,45 A</t>
  </si>
  <si>
    <t>rekuperační výměník 88 % (5,1 kW), ohřívač teplovodní 0,9 kW (70/50 °C)</t>
  </si>
  <si>
    <t>sklonové manometry pro zobrazení stavu přívodního filtru, kazetové filtry F 7</t>
  </si>
  <si>
    <t>V.NP - 1  (v.č. 1.4.1.1)</t>
  </si>
  <si>
    <t>regulační klapka těsná 400 x 500 mm</t>
  </si>
  <si>
    <t>protidešťová žaluzie komfortní 400 x 500 mm</t>
  </si>
  <si>
    <t xml:space="preserve">včetně rámu a síta proti hmyzu </t>
  </si>
  <si>
    <t>V.NP - 1+1  (v.č. 1.4.1.1)</t>
  </si>
  <si>
    <t>buňkový tlumič hluku</t>
  </si>
  <si>
    <t>G 200 x 500 x 1000.1, hygienické provedení</t>
  </si>
  <si>
    <t>F[Hz]   63   125   250   500   1     2     4     8</t>
  </si>
  <si>
    <t>dB        9     12     19     26    28   24   18   10</t>
  </si>
  <si>
    <t>V.NP - 7*2  (v.č. 1.4.1.1)</t>
  </si>
  <si>
    <t>neobsazeno</t>
  </si>
  <si>
    <t>a výustkou 350 x 350 mm, výška nástavce 345 mm, připojení 160 mm</t>
  </si>
  <si>
    <t>včetně lišty či rámečku po obvodě</t>
  </si>
  <si>
    <t>V.NP - 3*2  (v.č. 1.4.1.1)</t>
  </si>
  <si>
    <t>s výustkou 350 x 350 mm, výška nástavce 345 mm, připojení 160 mm</t>
  </si>
  <si>
    <t>8-1.08</t>
  </si>
  <si>
    <t xml:space="preserve">ohebná tepelně izolovaná hadice </t>
  </si>
  <si>
    <t>Ohebná Al laminátová hadice s tepelnou izolací z vrstvy minerální vaty tloušťky 25 mm, 16 kg/ m3, parozábrana – zpevněný Al laminát.</t>
  </si>
  <si>
    <t>V.NP - 6*1  (v.č. 1.4.1.1)</t>
  </si>
  <si>
    <t>V.NP - 2*1  (v.č. 1.4.1.1)</t>
  </si>
  <si>
    <t>zvukově izolovaná ohebná hadice profil 200 mm</t>
  </si>
  <si>
    <t>profil 100 mm</t>
  </si>
  <si>
    <t>13-1.12</t>
  </si>
  <si>
    <t>14-1.20</t>
  </si>
  <si>
    <t xml:space="preserve">30 % tvarovek, těsné, ON 12 0405, </t>
  </si>
  <si>
    <t xml:space="preserve">V.NP - 200/200-32m, 250/200-27m, 400/500-18m, 200/100-1m (v.č. 1.4.1.1)     </t>
  </si>
  <si>
    <t>15-1.21</t>
  </si>
  <si>
    <t>izolace tepelná</t>
  </si>
  <si>
    <t>minerální plstˇ tl. 4 cm s AL foliií, na trny</t>
  </si>
  <si>
    <t>V.NP - 1,2 * 82  (v.č. 1.4.1.1)</t>
  </si>
  <si>
    <t>16-1.22</t>
  </si>
  <si>
    <t>demontáž</t>
  </si>
  <si>
    <t xml:space="preserve">V.NP - 200/200-5 m, 200/100-1m (v.č. 1.4.1.1)   </t>
  </si>
  <si>
    <t>17</t>
  </si>
  <si>
    <t xml:space="preserve">materiál těsnící, montážní a spojovací </t>
  </si>
  <si>
    <t>vzdálenost závěsů 3 m</t>
  </si>
  <si>
    <t>čtyřhranné potrubí :spoje R, závitové tyče M10 a nosné lišty, vzdálenost závěsů 3 m</t>
  </si>
  <si>
    <t>V.NP - Σ pol. 1 - 16  (v.č. 1.4.1.1)</t>
  </si>
  <si>
    <t>MEZISOUČET</t>
  </si>
  <si>
    <t>18</t>
  </si>
  <si>
    <t>V.NP - Σ pol. 1 - 17  (v.č. 1.4.1.1)</t>
  </si>
  <si>
    <t>19</t>
  </si>
  <si>
    <t xml:space="preserve">prostupy cihelnou zdí a příčkami, potrubí rozměru 200/200 až 400/400 mm   </t>
  </si>
  <si>
    <t>zapravení veškerých výše uvedených prostupů materiálem shodným s materiálem v němž jsou prostupy prováděny</t>
  </si>
  <si>
    <t xml:space="preserve">odvoz a likvidace suti na skládku, </t>
  </si>
  <si>
    <t>20</t>
  </si>
  <si>
    <t>(Kč)</t>
  </si>
  <si>
    <t>Stavební objekt SO 01 (Gynekologie)</t>
  </si>
  <si>
    <t>Stavební objekt SO 02 (Perinatologie)</t>
  </si>
  <si>
    <t>SO 02 (perinatologie)</t>
  </si>
  <si>
    <t>SLEPÝ ROZPOČET S VÝKAZEM VÝMĚR</t>
  </si>
  <si>
    <t>Stavba:   Nemocnice Havlíčkův Brod – rekonstrukce perinatologického centra a gynekologickoporodnického oddělení</t>
  </si>
  <si>
    <t>Objekt:   Ostatní a vedlejší náklady</t>
  </si>
  <si>
    <t>Objednatel:   Kraj Vysočina</t>
  </si>
  <si>
    <t xml:space="preserve">Zhotovitel:   </t>
  </si>
  <si>
    <t xml:space="preserve">Zpracoval:  </t>
  </si>
  <si>
    <t>Místo:   Havlíčkův Brod</t>
  </si>
  <si>
    <t>Datum:  22.4.2015</t>
  </si>
  <si>
    <t>Č.</t>
  </si>
  <si>
    <t>KCN</t>
  </si>
  <si>
    <t>Kód položky</t>
  </si>
  <si>
    <t>Množství celkem</t>
  </si>
  <si>
    <t>Jednotková cena zadání</t>
  </si>
  <si>
    <t>Celková cena zadání</t>
  </si>
  <si>
    <t>1</t>
  </si>
  <si>
    <t>3</t>
  </si>
  <si>
    <t>4</t>
  </si>
  <si>
    <t>5</t>
  </si>
  <si>
    <t>6</t>
  </si>
  <si>
    <t>7</t>
  </si>
  <si>
    <t>8</t>
  </si>
  <si>
    <t>VRN</t>
  </si>
  <si>
    <t xml:space="preserve">Vedlejší rozpočtové náklady   </t>
  </si>
  <si>
    <t>001</t>
  </si>
  <si>
    <t xml:space="preserve">Projektová dokumentace   </t>
  </si>
  <si>
    <t>000</t>
  </si>
  <si>
    <t>VRN1001-R</t>
  </si>
  <si>
    <t xml:space="preserve">Dokumentace skutečného provedení stavby   </t>
  </si>
  <si>
    <t xml:space="preserve">Zpracování a kompletace projektové dokumentace skutečného provedení stavby se zakreslením změn   </t>
  </si>
  <si>
    <t xml:space="preserve">3 x v tištěné podobě 1 x v digitální podobě na CD nosiči, ve formátu vektorové CAD grafiky DGN (BENTLEY MicroStation),   </t>
  </si>
  <si>
    <t xml:space="preserve">DWG (AutoCAD Graphics Autodesk) a/nebo DXF (Data eXchange File).   </t>
  </si>
  <si>
    <t xml:space="preserve">Textové části je možno vytvářet ve formátech RTF (Rich Text File) nebo DOC Microsoft Word).   </t>
  </si>
  <si>
    <t>Převedení dokumentace skutečného provedení do formátu FAMA pro uživatele (Nemocnice HB)</t>
  </si>
  <si>
    <t>003</t>
  </si>
  <si>
    <t xml:space="preserve">1   </t>
  </si>
  <si>
    <t xml:space="preserve">Zařízení staveniště   </t>
  </si>
  <si>
    <t>VRN3003-R</t>
  </si>
  <si>
    <t xml:space="preserve">Vybudování, provoz a odstranění zařízení staveniště, včetně zřízení připojení na energie a zajištění měření jejich spotřeby,   </t>
  </si>
  <si>
    <t xml:space="preserve">včetně zřízení sociálních zařízení. Zhotovitel zajistí na vlastní náklady veškerá potřebná povolení k užívání veřejných ploch,   </t>
  </si>
  <si>
    <t xml:space="preserve">včetně záboru veřejného prostranství na náklady zhotovitele, bude-li stavba vyžadovat.   </t>
  </si>
  <si>
    <t xml:space="preserve">Zhotovitel zajistí na vlastní náklady zabezpečení provádění díla tak, aby v souvislosti s prováděním díla nedošlo ke zranění osob   </t>
  </si>
  <si>
    <t xml:space="preserve">a škodám na majetku osob a subjektů užívajících objekty a pozemky dotčené stavbou, k poškození stávajících staveb,   </t>
  </si>
  <si>
    <t xml:space="preserve">jejich součástí, zařízení a přilehlých nemovitostí.   </t>
  </si>
  <si>
    <t>VRN3006-R</t>
  </si>
  <si>
    <t xml:space="preserve">Dočasné využití ploch   </t>
  </si>
  <si>
    <t xml:space="preserve">Úpravy ploch areálu pro potřebu stavby, oplocení a po skončení stavby oprava poškozených míst   </t>
  </si>
  <si>
    <t>VRN3007-R</t>
  </si>
  <si>
    <t xml:space="preserve">Zajištění místnosti pro umožnění výkonu činnosti TDS, AD, koordinátora BOZP.   </t>
  </si>
  <si>
    <t xml:space="preserve">Poskytnutí místnosti nebo její části včetně vybavení pracovním stolem a 4 židlemi pro konání kontrolních dnů,   </t>
  </si>
  <si>
    <t xml:space="preserve">případně pro umožnění činnosti TDS, AD, SÚ.   </t>
  </si>
  <si>
    <t>VRN3009-R</t>
  </si>
  <si>
    <t xml:space="preserve">Vyklizení prostoru staveniště.   </t>
  </si>
  <si>
    <t xml:space="preserve">Vystěhování, vyklizení a vyčištění místností a komunikačních tras ve všech podlažích dotčených navrženými stavebními úpravami,   </t>
  </si>
  <si>
    <t xml:space="preserve">demontáž a zpětné nastěhování, montáž a seřízení vystěhovaného zařízení, vybavení a dekorací,   </t>
  </si>
  <si>
    <t xml:space="preserve">včetně zajištění jejich ochrany před poškozením a dále ochrana zařízení před znečištěním nebo poškozením, které nelze demontovat nebo vystěhovat.   </t>
  </si>
  <si>
    <t xml:space="preserve">Odpojení technologických celků a spotřebičů energií v dotčených místnostech objektu, případně jejich přemístění.   </t>
  </si>
  <si>
    <t>VRN3010-R</t>
  </si>
  <si>
    <t xml:space="preserve">Zabezpečení stávajících zařízení a vybavení   </t>
  </si>
  <si>
    <t xml:space="preserve">Zabezpečení stávajících zařízení a vybavení proti mechanickému poškození, prachu,   </t>
  </si>
  <si>
    <t xml:space="preserve">zatečení (při opravách a rekonstrukcích) - zabezpečení stávajících a ostatních ponechávaných zařízení   </t>
  </si>
  <si>
    <t>VRN3011-R</t>
  </si>
  <si>
    <t xml:space="preserve">Závěrečný úklid staveniště a komunikačních tras   </t>
  </si>
  <si>
    <t xml:space="preserve">Po provedení stavebních prací bude proveden kompletní závěrečný úklid staveniště a komunikačních tras.   </t>
  </si>
  <si>
    <t xml:space="preserve">Poškozené zatravněné plochy budou ozeleněny a upraveny.   </t>
  </si>
  <si>
    <t xml:space="preserve">Ostatní dotčené plochy a konstrukce budou uvedeny do původního stavu na náklady zhotovitele.   </t>
  </si>
  <si>
    <t>004</t>
  </si>
  <si>
    <t xml:space="preserve">Všeobecné práce   </t>
  </si>
  <si>
    <t>VRN4003-R</t>
  </si>
  <si>
    <t xml:space="preserve">Zřízení dočasného informačního panelu pro zajištění publicity projektu pro Kraj Vysočina.   </t>
  </si>
  <si>
    <t xml:space="preserve">Vybraný dodavatel bude po celou dobu plnění veřejné zakázky úzce spolupracovat se zadavatelem na zajištění publicity   </t>
  </si>
  <si>
    <t xml:space="preserve">a propagaci stavu a výsledků dosažených při provádění stavby v rámci plnění veřejné zakázky.   </t>
  </si>
  <si>
    <t xml:space="preserve">Zhotovitel je povinen na své náklady zabezpečit na místě pro provádění díla publicitu a propagaci objednatele,   </t>
  </si>
  <si>
    <t xml:space="preserve">jejichž pravidla jsou uveřejněna na URL adrese http://www.kr-vysocina.cz/publicita/stavimeprovas.   </t>
  </si>
  <si>
    <t xml:space="preserve">Informační panel bude obsahovat zejména identifikační údaje stavby a doby realizace, identifikační údaje objednatele,   </t>
  </si>
  <si>
    <t xml:space="preserve">zhotovitele díla, zpracovatele PD, TDS a koordinátora BOZP.   </t>
  </si>
  <si>
    <t xml:space="preserve">Informační panel zhotovitele nesmí být větší než informační panel objednatele.   </t>
  </si>
  <si>
    <t xml:space="preserve">Součástí položky je návrh, výroba a kompletní dodávka informačního panelu, jeho montáž, údržba pod dobu výstavby,   </t>
  </si>
  <si>
    <t xml:space="preserve">jeho demontáž a likvidace, včetně zřízení nosné konstrukce, souvisejících prvků a prací.   </t>
  </si>
  <si>
    <t xml:space="preserve">Rozměr informačního panelu bude minimálně 5100 x 2400 mm.   </t>
  </si>
  <si>
    <t>005</t>
  </si>
  <si>
    <t xml:space="preserve">Inženýrská činnost   </t>
  </si>
  <si>
    <t>VRN5001-R</t>
  </si>
  <si>
    <t xml:space="preserve">Kompletační a koordinační činnost   </t>
  </si>
  <si>
    <t xml:space="preserve">Kompletace atestů, certifikátů, revizních zpráv a ostatních dokladů potřebných k předání a kolaudaci stavby vyplývajících z SOD.   </t>
  </si>
  <si>
    <t xml:space="preserve">3 x v tištěné formě. 1 x v digitální formě na CD nosiči, v obecně dostupných formátech.   </t>
  </si>
  <si>
    <t xml:space="preserve">Soupis požadovaných dokumentů je uveden v kapitole B. Souhrnná technická zpráva.   </t>
  </si>
  <si>
    <t>VRN5002-R</t>
  </si>
  <si>
    <t xml:space="preserve">Zpracování harmonogramu   </t>
  </si>
  <si>
    <t xml:space="preserve">Náklady na předložení a aktualizaci podrobného časového harmonogramu prací a plnění   </t>
  </si>
  <si>
    <t>VRN5003-R</t>
  </si>
  <si>
    <t xml:space="preserve">Zajištění energetického štítku budovy   </t>
  </si>
  <si>
    <t xml:space="preserve">Po ukončení stavebních prací zajistí zhotovitel dodání energetického štítku celáho objektu.   </t>
  </si>
  <si>
    <t>VRN5004-R</t>
  </si>
  <si>
    <t xml:space="preserve">Zaškolení obsluhy   </t>
  </si>
  <si>
    <t xml:space="preserve">Zhotovitel zajistí  provedení všech zaškolení obsluhy včetně zápisu a předání všech návodů na obsluhu.   </t>
  </si>
  <si>
    <t>006</t>
  </si>
  <si>
    <t xml:space="preserve">Finanční náklady   </t>
  </si>
  <si>
    <t>VRN6001-R</t>
  </si>
  <si>
    <t xml:space="preserve">Zajíštění realizace díla bankovní zárukou   </t>
  </si>
  <si>
    <t xml:space="preserve">Náklady a poplatky spojené se zajištěním závazků zhotovitele  za realizaci díla formou bankovní záruky ve výši dle obchodních podmínek.   </t>
  </si>
  <si>
    <t>VRN6002-R</t>
  </si>
  <si>
    <t xml:space="preserve">Zajíštění kvality díla bankovní zárukou   </t>
  </si>
  <si>
    <t xml:space="preserve">Náklady a poplatky spojené se zajištěním závazků zhotovitele plynoucích z odpovědnosti za vady díla po dobu záruky   </t>
  </si>
  <si>
    <t xml:space="preserve">formou bankovní záruky ve výši dle obchodních podmínek.   </t>
  </si>
  <si>
    <t>007</t>
  </si>
  <si>
    <t xml:space="preserve">Provozní vlivy   </t>
  </si>
  <si>
    <t>VRN7001-R</t>
  </si>
  <si>
    <t xml:space="preserve">Dočasné dopravní opatření.   </t>
  </si>
  <si>
    <t xml:space="preserve">Náklady na vyhotovení návrhu dočasného dopravního značení,   </t>
  </si>
  <si>
    <t xml:space="preserve">jeho projednání a odsouhlasení s dotčenými orgány a organizacemi,   </t>
  </si>
  <si>
    <t xml:space="preserve">dodání dopravních značek a světelné signalizace, jejich rozmístění a   </t>
  </si>
  <si>
    <t xml:space="preserve">přemísťování a jejich údržba v průběhu výstavby včetně následného odstranění.   </t>
  </si>
  <si>
    <t>VRN7002-R</t>
  </si>
  <si>
    <t xml:space="preserve">Tato kategorie nákladů vyjadřuje ztížené podmínky provádění tam, kde jsou stavební práce zcela nebo zčásti   </t>
  </si>
  <si>
    <t xml:space="preserve">omezovány provozem jiných osob. Jde zejména o zvýšené náklady související s   </t>
  </si>
  <si>
    <t xml:space="preserve">omezeným provozem v areálu objednatele nebo o náklady v důsledku   </t>
  </si>
  <si>
    <t xml:space="preserve">nezbytného respektování stávající dopravy v okolí stavby ovlivňující stavební práce.   </t>
  </si>
  <si>
    <t xml:space="preserve">Do této položky patří dále náklady na ztížené provádění stavebních prací v důsledku provozu zdravotnického zařízení   </t>
  </si>
  <si>
    <t xml:space="preserve">(nutnost ochranných konstrukcí, ochranných zábradlí a hrazení, záchytných sítí mimo sítě na lešení, stříšek, apod.)   </t>
  </si>
  <si>
    <t>VRN7003-R</t>
  </si>
  <si>
    <t>Zajištění provozu nemocnice</t>
  </si>
  <si>
    <t xml:space="preserve">Oddělení dopravních tras pro provádění stavebních prací od provozu Nemocnice.   </t>
  </si>
  <si>
    <t xml:space="preserve">Zajištění bezpečného a pohybu osob ( pacientů i personálu nemocnice) v budově podobu výstavby.   </t>
  </si>
  <si>
    <t xml:space="preserve">Zajištění hygienických podmínek ( hluk a prašnost)  podle standardů zdravotnického zařízení.   </t>
  </si>
  <si>
    <t xml:space="preserve">Tyto úpravy schvaluje pověřený pracovník Nemocnice Havlíčkův Brod.   </t>
  </si>
  <si>
    <t xml:space="preserve">Celkem   </t>
  </si>
  <si>
    <t>Ostatní a vedlejší náklady</t>
  </si>
  <si>
    <t>Nemocnice Havlíčkův Brod – rekonstrukce perinatologického centra a stavební úpravy gynekologickoporodnického oddělení</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</si>
</sst>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0&quot;.&quot;_);;;_(@_)"/>
    <numFmt numFmtId="165" formatCode="_(#,##0_);[Red]\-\ #,##0_);&quot;–&quot;??;_(@_)"/>
    <numFmt numFmtId="166" formatCode="_(#,##0.0??;\-\ #,##0.0??;&quot;–&quot;???;_(@_)"/>
    <numFmt numFmtId="167" formatCode="_(#,##0.00_);[Red]\-\ #,##0.00_);&quot;–&quot;??;_(@_)"/>
    <numFmt numFmtId="168" formatCode="_(#,##0.0_);[Red]\-\ #,##0.0_);&quot;–&quot;??;_(@_)"/>
    <numFmt numFmtId="169" formatCode="_-* #,##0.0\ &quot;Kč&quot;_-;\-* #,##0.0\ &quot;Kč&quot;_-;_-* &quot;-&quot;??\ &quot;Kč&quot;_-;_-@_-"/>
    <numFmt numFmtId="170" formatCode="0.000"/>
    <numFmt numFmtId="171" formatCode="#,##0.000;\-#,##0.000"/>
    <numFmt numFmtId="172" formatCode="#,##0.00;\-#,##0.00"/>
    <numFmt numFmtId="173" formatCode="#,##0;\-#,##0"/>
  </numFmts>
  <fonts count="91">
    <font>
      <sz val="11"/>
      <color theme="1"/>
      <name val="Calibri"/>
      <family val="2"/>
      <scheme val="minor"/>
    </font>
    <font>
      <sz val="10"/>
      <name val="Arial"/>
      <family val="2"/>
    </font>
    <font>
      <b/>
      <sz val="12"/>
      <color indexed="25"/>
      <name val="Arial"/>
      <family val="2"/>
    </font>
    <font>
      <sz val="10"/>
      <color indexed="53"/>
      <name val="Arial"/>
      <family val="2"/>
    </font>
    <font>
      <b/>
      <sz val="11"/>
      <name val="Arial"/>
      <family val="2"/>
    </font>
    <font>
      <b/>
      <sz val="9"/>
      <color indexed="18"/>
      <name val="Arial"/>
      <family val="2"/>
    </font>
    <font>
      <b/>
      <sz val="9"/>
      <name val="Arial"/>
      <family val="2"/>
    </font>
    <font>
      <b/>
      <sz val="10"/>
      <color indexed="61"/>
      <name val="Arial"/>
      <family val="2"/>
    </font>
    <font>
      <sz val="10"/>
      <color indexed="61"/>
      <name val="Arial"/>
      <family val="2"/>
    </font>
    <font>
      <sz val="9"/>
      <color indexed="18"/>
      <name val="Arial"/>
      <family val="2"/>
    </font>
    <font>
      <b/>
      <sz val="10"/>
      <color indexed="56"/>
      <name val="Arial"/>
      <family val="2"/>
    </font>
    <font>
      <b/>
      <sz val="11"/>
      <color indexed="8"/>
      <name val="Arial"/>
      <family val="2"/>
    </font>
    <font>
      <b/>
      <sz val="9"/>
      <color rgb="FF000080"/>
      <name val="Arial"/>
      <family val="2"/>
    </font>
    <font>
      <b/>
      <sz val="10"/>
      <color rgb="FF993366"/>
      <name val="Arial"/>
      <family val="2"/>
    </font>
    <font>
      <b/>
      <sz val="11"/>
      <color rgb="FF000000"/>
      <name val="Arial"/>
      <family val="2"/>
    </font>
    <font>
      <b/>
      <sz val="9"/>
      <color rgb="FFC00000"/>
      <name val="Arial"/>
      <family val="2"/>
    </font>
    <font>
      <b/>
      <sz val="10"/>
      <color rgb="FFC00000"/>
      <name val="Arial"/>
      <family val="2"/>
    </font>
    <font>
      <sz val="16"/>
      <name val="Arial"/>
      <family val="2"/>
    </font>
    <font>
      <b/>
      <sz val="11"/>
      <color theme="4" tint="-0.4999699890613556"/>
      <name val="Arial"/>
      <family val="2"/>
    </font>
    <font>
      <b/>
      <sz val="9"/>
      <color theme="8" tint="-0.24997000396251678"/>
      <name val="Arial"/>
      <family val="2"/>
    </font>
    <font>
      <sz val="10"/>
      <color theme="8" tint="-0.24997000396251678"/>
      <name val="Arial"/>
      <family val="2"/>
    </font>
    <font>
      <b/>
      <sz val="11"/>
      <color theme="8" tint="-0.24997000396251678"/>
      <name val="Arial"/>
      <family val="2"/>
    </font>
    <font>
      <b/>
      <sz val="12"/>
      <color indexed="10"/>
      <name val="Arial"/>
      <family val="2"/>
    </font>
    <font>
      <b/>
      <sz val="12"/>
      <name val="Arial"/>
      <family val="2"/>
    </font>
    <font>
      <sz val="10"/>
      <color indexed="18"/>
      <name val="Arial"/>
      <family val="2"/>
    </font>
    <font>
      <b/>
      <sz val="9"/>
      <color indexed="10"/>
      <name val="Arial"/>
      <family val="2"/>
    </font>
    <font>
      <b/>
      <sz val="10"/>
      <name val="Arial"/>
      <family val="2"/>
    </font>
    <font>
      <b/>
      <sz val="10"/>
      <color indexed="10"/>
      <name val="Arial"/>
      <family val="2"/>
    </font>
    <font>
      <b/>
      <i/>
      <sz val="1"/>
      <color indexed="9"/>
      <name val="Calibri"/>
      <family val="2"/>
    </font>
    <font>
      <b/>
      <i/>
      <sz val="1"/>
      <name val="Calibri"/>
      <family val="2"/>
    </font>
    <font>
      <b/>
      <i/>
      <sz val="1"/>
      <color indexed="10"/>
      <name val="Calibri"/>
      <family val="2"/>
    </font>
    <font>
      <sz val="9"/>
      <name val="Arial"/>
      <family val="2"/>
    </font>
    <font>
      <sz val="9"/>
      <color indexed="8"/>
      <name val="Arial"/>
      <family val="2"/>
    </font>
    <font>
      <sz val="9"/>
      <name val="Arial CE"/>
      <family val="2"/>
    </font>
    <font>
      <sz val="9"/>
      <color indexed="8"/>
      <name val="Arial CE"/>
      <family val="2"/>
    </font>
    <font>
      <sz val="10"/>
      <name val="Arial CE"/>
      <family val="2"/>
    </font>
    <font>
      <sz val="8"/>
      <name val="Arial CE"/>
      <family val="2"/>
    </font>
    <font>
      <b/>
      <sz val="10"/>
      <name val="Arial CE"/>
      <family val="2"/>
    </font>
    <font>
      <sz val="9"/>
      <color indexed="10"/>
      <name val="Arial CE"/>
      <family val="2"/>
    </font>
    <font>
      <b/>
      <sz val="9"/>
      <color indexed="8"/>
      <name val="Arial"/>
      <family val="2"/>
    </font>
    <font>
      <b/>
      <sz val="10"/>
      <color indexed="62"/>
      <name val="Arial"/>
      <family val="2"/>
    </font>
    <font>
      <sz val="10"/>
      <color indexed="8"/>
      <name val="Arial"/>
      <family val="2"/>
    </font>
    <font>
      <sz val="10"/>
      <color indexed="10"/>
      <name val="Arial CE"/>
      <family val="2"/>
    </font>
    <font>
      <sz val="10"/>
      <color indexed="8"/>
      <name val="Arial CE"/>
      <family val="2"/>
    </font>
    <font>
      <b/>
      <sz val="9"/>
      <name val="Tahoma"/>
      <family val="2"/>
    </font>
    <font>
      <b/>
      <sz val="12"/>
      <name val="Arial CE"/>
      <family val="2"/>
    </font>
    <font>
      <sz val="11"/>
      <name val="Times New Roman"/>
      <family val="1"/>
    </font>
    <font>
      <b/>
      <sz val="11"/>
      <name val="Times New Roman"/>
      <family val="1"/>
    </font>
    <font>
      <sz val="8"/>
      <name val="Times New Roman"/>
      <family val="1"/>
    </font>
    <font>
      <b/>
      <i/>
      <sz val="8"/>
      <name val="Times New Roman"/>
      <family val="1"/>
    </font>
    <font>
      <i/>
      <sz val="8"/>
      <name val="Times New Roman"/>
      <family val="1"/>
    </font>
    <font>
      <u val="single"/>
      <sz val="8"/>
      <name val="Times New Roman"/>
      <family val="1"/>
    </font>
    <font>
      <i/>
      <u val="single"/>
      <sz val="8"/>
      <name val="Arial CE"/>
      <family val="2"/>
    </font>
    <font>
      <sz val="10"/>
      <name val="Times New Roman"/>
      <family val="1"/>
    </font>
    <font>
      <b/>
      <sz val="10"/>
      <name val="Times New Roman"/>
      <family val="1"/>
    </font>
    <font>
      <sz val="10"/>
      <color indexed="21"/>
      <name val="Times New Roman"/>
      <family val="1"/>
    </font>
    <font>
      <sz val="12"/>
      <name val="Times New Roman"/>
      <family val="1"/>
    </font>
    <font>
      <i/>
      <vertAlign val="superscript"/>
      <sz val="8"/>
      <name val="Times New Roman"/>
      <family val="1"/>
    </font>
    <font>
      <sz val="11"/>
      <color indexed="21"/>
      <name val="Times New Roman"/>
      <family val="1"/>
    </font>
    <font>
      <b/>
      <sz val="8"/>
      <name val="Arial CE"/>
      <family val="2"/>
    </font>
    <font>
      <sz val="11"/>
      <name val="Arial CE"/>
      <family val="2"/>
    </font>
    <font>
      <sz val="12"/>
      <name val="Arial CE"/>
      <family val="2"/>
    </font>
    <font>
      <i/>
      <sz val="8"/>
      <name val="Arial"/>
      <family val="2"/>
    </font>
    <font>
      <i/>
      <sz val="7"/>
      <name val="Times New Roman"/>
      <family val="1"/>
    </font>
    <font>
      <vertAlign val="superscript"/>
      <sz val="10"/>
      <name val="Times New Roman"/>
      <family val="1"/>
    </font>
    <font>
      <i/>
      <sz val="10"/>
      <name val="Times New Roman"/>
      <family val="1"/>
    </font>
    <font>
      <b/>
      <sz val="9"/>
      <name val="Arial CE"/>
      <family val="2"/>
    </font>
    <font>
      <i/>
      <sz val="8"/>
      <name val="Arial CE"/>
      <family val="2"/>
    </font>
    <font>
      <i/>
      <sz val="11"/>
      <name val="Arial CE"/>
      <family val="2"/>
    </font>
    <font>
      <sz val="10"/>
      <color indexed="9"/>
      <name val="Arial CE"/>
      <family val="2"/>
    </font>
    <font>
      <b/>
      <sz val="8"/>
      <color indexed="9"/>
      <name val="Arial"/>
      <family val="2"/>
    </font>
    <font>
      <sz val="8"/>
      <color indexed="9"/>
      <name val="Arial"/>
      <family val="2"/>
    </font>
    <font>
      <sz val="8"/>
      <name val="Arial"/>
      <family val="2"/>
    </font>
    <font>
      <i/>
      <sz val="8"/>
      <color indexed="8"/>
      <name val="Times New Roman"/>
      <family val="1"/>
    </font>
    <font>
      <u val="single"/>
      <sz val="10"/>
      <name val="Times New Roman"/>
      <family val="1"/>
    </font>
    <font>
      <b/>
      <sz val="12"/>
      <name val="Times New Roman"/>
      <family val="1"/>
    </font>
    <font>
      <sz val="9"/>
      <name val="Times New Roman"/>
      <family val="1"/>
    </font>
    <font>
      <b/>
      <i/>
      <sz val="9"/>
      <name val="Times New Roman"/>
      <family val="1"/>
    </font>
    <font>
      <i/>
      <sz val="9"/>
      <name val="Times New Roman"/>
      <family val="1"/>
    </font>
    <font>
      <i/>
      <u val="single"/>
      <sz val="8"/>
      <name val="Times New Roman"/>
      <family val="1"/>
    </font>
    <font>
      <b/>
      <sz val="14"/>
      <name val="Arial CE"/>
      <family val="2"/>
    </font>
    <font>
      <b/>
      <sz val="9"/>
      <name val="MS Sans Serif"/>
      <family val="2"/>
    </font>
    <font>
      <sz val="7"/>
      <name val="Arial CE"/>
      <family val="2"/>
    </font>
    <font>
      <sz val="9"/>
      <name val="MS Sans Serif"/>
      <family val="2"/>
    </font>
    <font>
      <sz val="7"/>
      <name val="MS Sans Serif"/>
      <family val="2"/>
    </font>
    <font>
      <b/>
      <sz val="11"/>
      <color indexed="18"/>
      <name val="Arial CE"/>
      <family val="2"/>
    </font>
    <font>
      <b/>
      <sz val="10"/>
      <color indexed="18"/>
      <name val="Arial CE"/>
      <family val="2"/>
    </font>
    <font>
      <sz val="8"/>
      <color indexed="20"/>
      <name val="Arial CE"/>
      <family val="2"/>
    </font>
    <font>
      <sz val="8"/>
      <color indexed="63"/>
      <name val="Arial CE"/>
      <family val="2"/>
    </font>
    <font>
      <b/>
      <sz val="11"/>
      <name val="Arial CE"/>
      <family val="2"/>
    </font>
    <font>
      <b/>
      <sz val="8"/>
      <name val="Calibri"/>
      <family val="2"/>
    </font>
  </fonts>
  <fills count="6">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C000"/>
        <bgColor indexed="64"/>
      </patternFill>
    </fill>
  </fills>
  <borders count="16">
    <border>
      <left/>
      <right/>
      <top/>
      <bottom/>
      <diagonal/>
    </border>
    <border>
      <left/>
      <right/>
      <top style="thin"/>
      <bottom style="medium"/>
    </border>
    <border>
      <left style="medium"/>
      <right/>
      <top style="medium"/>
      <bottom style="medium"/>
    </border>
    <border>
      <left/>
      <right/>
      <top style="medium"/>
      <bottom style="medium"/>
    </border>
    <border>
      <left/>
      <right style="medium"/>
      <top style="medium"/>
      <bottom style="medium"/>
    </border>
    <border>
      <left/>
      <right/>
      <top/>
      <bottom style="medium"/>
    </border>
    <border>
      <left style="hair"/>
      <right style="hair"/>
      <top style="hair"/>
      <bottom style="hair"/>
    </border>
    <border>
      <left/>
      <right/>
      <top style="hair"/>
      <bottom/>
    </border>
    <border>
      <left/>
      <right/>
      <top/>
      <bottom style="hair"/>
    </border>
    <border>
      <left/>
      <right/>
      <top style="hair"/>
      <bottom style="hair"/>
    </border>
    <border>
      <left style="hair"/>
      <right/>
      <top style="hair"/>
      <bottom style="hair"/>
    </border>
    <border>
      <left style="hair"/>
      <right style="hair"/>
      <top/>
      <bottom style="hair"/>
    </border>
    <border>
      <left style="hair"/>
      <right/>
      <top/>
      <bottom style="hair"/>
    </border>
    <border>
      <left style="hair"/>
      <right style="hair"/>
      <top style="hair"/>
      <bottom/>
    </border>
    <border>
      <left style="thin">
        <color indexed="8"/>
      </left>
      <right style="thin">
        <color indexed="8"/>
      </right>
      <top style="thin">
        <color indexed="8"/>
      </top>
      <bottom style="thin">
        <color indexed="8"/>
      </bottom>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35" fillId="0" borderId="0">
      <alignment/>
      <protection/>
    </xf>
  </cellStyleXfs>
  <cellXfs count="320">
    <xf numFmtId="0" fontId="0" fillId="0" borderId="0" xfId="0"/>
    <xf numFmtId="49" fontId="2" fillId="0" borderId="0" xfId="0" applyNumberFormat="1" applyFont="1" applyAlignment="1">
      <alignment/>
    </xf>
    <xf numFmtId="49" fontId="3" fillId="0" borderId="0" xfId="0" applyNumberFormat="1" applyFont="1" applyAlignment="1">
      <alignment horizontal="left" vertical="top"/>
    </xf>
    <xf numFmtId="49" fontId="5" fillId="0" borderId="0" xfId="0" applyNumberFormat="1" applyFont="1" applyBorder="1" applyAlignment="1">
      <alignment horizontal="left"/>
    </xf>
    <xf numFmtId="49" fontId="5" fillId="0" borderId="0" xfId="0" applyNumberFormat="1" applyFont="1" applyBorder="1" applyAlignment="1">
      <alignment horizontal="right"/>
    </xf>
    <xf numFmtId="49" fontId="7" fillId="0" borderId="0" xfId="0" applyNumberFormat="1" applyFont="1" applyAlignment="1">
      <alignment horizontal="left"/>
    </xf>
    <xf numFmtId="165" fontId="7" fillId="0" borderId="0" xfId="0" applyNumberFormat="1" applyFont="1" applyAlignment="1">
      <alignment/>
    </xf>
    <xf numFmtId="49" fontId="5" fillId="0" borderId="0" xfId="0" applyNumberFormat="1" applyFont="1" applyAlignment="1">
      <alignment horizontal="left" indent="1"/>
    </xf>
    <xf numFmtId="165" fontId="5" fillId="0" borderId="0" xfId="0" applyNumberFormat="1" applyFont="1" applyAlignment="1">
      <alignment/>
    </xf>
    <xf numFmtId="0" fontId="10" fillId="0" borderId="0" xfId="0" applyFont="1" applyAlignment="1">
      <alignment horizontal="left"/>
    </xf>
    <xf numFmtId="49" fontId="12" fillId="0" borderId="0" xfId="0" applyNumberFormat="1" applyFont="1" applyFill="1" applyBorder="1" applyAlignment="1">
      <alignment horizontal="right"/>
    </xf>
    <xf numFmtId="165" fontId="13" fillId="0" borderId="0" xfId="0" applyNumberFormat="1" applyFont="1" applyFill="1" applyBorder="1" applyAlignment="1">
      <alignment/>
    </xf>
    <xf numFmtId="165" fontId="12" fillId="0" borderId="0" xfId="0" applyNumberFormat="1" applyFont="1" applyFill="1" applyBorder="1" applyAlignment="1">
      <alignment/>
    </xf>
    <xf numFmtId="49" fontId="2" fillId="0" borderId="0" xfId="0" applyNumberFormat="1" applyFont="1" applyBorder="1" applyAlignment="1">
      <alignment/>
    </xf>
    <xf numFmtId="49" fontId="3" fillId="0" borderId="0" xfId="0" applyNumberFormat="1" applyFont="1" applyBorder="1" applyAlignment="1">
      <alignment horizontal="left" vertical="top"/>
    </xf>
    <xf numFmtId="49" fontId="12" fillId="0" borderId="0" xfId="0" applyNumberFormat="1" applyFont="1" applyFill="1" applyBorder="1" applyAlignment="1">
      <alignment horizontal="center"/>
    </xf>
    <xf numFmtId="49" fontId="6" fillId="0" borderId="0" xfId="0" applyNumberFormat="1" applyFont="1" applyBorder="1" applyAlignment="1">
      <alignment/>
    </xf>
    <xf numFmtId="0" fontId="8" fillId="0" borderId="0" xfId="0" applyFont="1" applyBorder="1"/>
    <xf numFmtId="0" fontId="9" fillId="0" borderId="0" xfId="0" applyFont="1" applyBorder="1"/>
    <xf numFmtId="0" fontId="0" fillId="0" borderId="0" xfId="0" applyBorder="1"/>
    <xf numFmtId="165" fontId="14" fillId="0" borderId="0" xfId="0" applyNumberFormat="1" applyFont="1" applyFill="1" applyBorder="1" applyAlignment="1">
      <alignment/>
    </xf>
    <xf numFmtId="3" fontId="4" fillId="0" borderId="0" xfId="0" applyNumberFormat="1" applyFont="1" applyBorder="1" applyAlignment="1">
      <alignment horizontal="left" indent="2"/>
    </xf>
    <xf numFmtId="3" fontId="5" fillId="0" borderId="0" xfId="0" applyNumberFormat="1" applyFont="1" applyBorder="1" applyAlignment="1">
      <alignment horizontal="center"/>
    </xf>
    <xf numFmtId="3" fontId="0" fillId="0" borderId="0" xfId="0" applyNumberFormat="1" applyBorder="1"/>
    <xf numFmtId="49" fontId="5" fillId="0" borderId="1" xfId="0" applyNumberFormat="1" applyFont="1" applyBorder="1" applyAlignment="1">
      <alignment horizontal="center"/>
    </xf>
    <xf numFmtId="3" fontId="15" fillId="0" borderId="1" xfId="0" applyNumberFormat="1" applyFont="1" applyBorder="1" applyAlignment="1">
      <alignment horizontal="center"/>
    </xf>
    <xf numFmtId="3" fontId="16" fillId="0" borderId="0" xfId="0" applyNumberFormat="1" applyFont="1" applyBorder="1" applyAlignment="1">
      <alignment horizontal="center"/>
    </xf>
    <xf numFmtId="3" fontId="15" fillId="0" borderId="0" xfId="0" applyNumberFormat="1" applyFont="1" applyBorder="1" applyAlignment="1">
      <alignment horizontal="center"/>
    </xf>
    <xf numFmtId="0" fontId="11" fillId="0" borderId="2" xfId="0" applyFont="1" applyBorder="1" applyAlignment="1">
      <alignment horizontal="left"/>
    </xf>
    <xf numFmtId="165" fontId="14" fillId="0" borderId="3" xfId="0" applyNumberFormat="1" applyFont="1" applyFill="1" applyBorder="1" applyAlignment="1">
      <alignment/>
    </xf>
    <xf numFmtId="3" fontId="15" fillId="0" borderId="4" xfId="0" applyNumberFormat="1" applyFont="1" applyBorder="1" applyAlignment="1">
      <alignment horizontal="center"/>
    </xf>
    <xf numFmtId="164" fontId="18" fillId="0" borderId="0" xfId="0" applyNumberFormat="1" applyFont="1" applyAlignment="1">
      <alignment horizontal="left" indent="2"/>
    </xf>
    <xf numFmtId="49" fontId="19" fillId="0" borderId="1" xfId="0" applyNumberFormat="1" applyFont="1" applyBorder="1" applyAlignment="1">
      <alignment horizontal="center"/>
    </xf>
    <xf numFmtId="49" fontId="19" fillId="0" borderId="0" xfId="0" applyNumberFormat="1" applyFont="1" applyBorder="1" applyAlignment="1">
      <alignment horizontal="center"/>
    </xf>
    <xf numFmtId="0" fontId="20" fillId="0" borderId="0" xfId="0" applyFont="1"/>
    <xf numFmtId="165" fontId="19" fillId="0" borderId="0" xfId="0" applyNumberFormat="1" applyFont="1" applyFill="1" applyBorder="1" applyAlignment="1">
      <alignment/>
    </xf>
    <xf numFmtId="0" fontId="20" fillId="0" borderId="0" xfId="0" applyFont="1" applyFill="1" applyBorder="1"/>
    <xf numFmtId="165" fontId="21" fillId="0" borderId="3" xfId="0" applyNumberFormat="1" applyFont="1" applyFill="1" applyBorder="1" applyAlignment="1">
      <alignment/>
    </xf>
    <xf numFmtId="164" fontId="1" fillId="0" borderId="0" xfId="0" applyNumberFormat="1" applyFont="1" applyAlignment="1">
      <alignment/>
    </xf>
    <xf numFmtId="166" fontId="22" fillId="0" borderId="0" xfId="0" applyNumberFormat="1" applyFont="1" applyFill="1" applyBorder="1" applyAlignment="1">
      <alignment/>
    </xf>
    <xf numFmtId="167" fontId="2" fillId="0" borderId="0" xfId="0" applyNumberFormat="1" applyFont="1" applyAlignment="1">
      <alignment/>
    </xf>
    <xf numFmtId="166" fontId="2" fillId="0" borderId="0" xfId="0" applyNumberFormat="1" applyFont="1" applyFill="1" applyBorder="1" applyAlignment="1">
      <alignment/>
    </xf>
    <xf numFmtId="165" fontId="2" fillId="0" borderId="0" xfId="0" applyNumberFormat="1" applyFont="1" applyAlignment="1">
      <alignment/>
    </xf>
    <xf numFmtId="164" fontId="23" fillId="0" borderId="0" xfId="0" applyNumberFormat="1" applyFont="1" applyAlignment="1">
      <alignment/>
    </xf>
    <xf numFmtId="0" fontId="24" fillId="0" borderId="0" xfId="0" applyFont="1"/>
    <xf numFmtId="49" fontId="6" fillId="0" borderId="5" xfId="0" applyNumberFormat="1" applyFont="1" applyBorder="1" applyAlignment="1">
      <alignment horizontal="center"/>
    </xf>
    <xf numFmtId="49" fontId="5" fillId="0" borderId="5" xfId="0" applyNumberFormat="1" applyFont="1" applyBorder="1" applyAlignment="1">
      <alignment horizontal="center"/>
    </xf>
    <xf numFmtId="0" fontId="5" fillId="0" borderId="5" xfId="0" applyNumberFormat="1" applyFont="1" applyBorder="1" applyAlignment="1">
      <alignment horizontal="center"/>
    </xf>
    <xf numFmtId="49" fontId="25" fillId="0" borderId="5" xfId="0" applyNumberFormat="1" applyFont="1" applyBorder="1" applyAlignment="1">
      <alignment horizontal="center"/>
    </xf>
    <xf numFmtId="49" fontId="6" fillId="0" borderId="0" xfId="0" applyNumberFormat="1" applyFont="1" applyAlignment="1">
      <alignment horizontal="right"/>
    </xf>
    <xf numFmtId="49" fontId="5" fillId="0" borderId="0" xfId="0" applyNumberFormat="1" applyFont="1" applyAlignment="1">
      <alignment horizontal="center"/>
    </xf>
    <xf numFmtId="49" fontId="5" fillId="0" borderId="0" xfId="0" applyNumberFormat="1" applyFont="1" applyAlignment="1">
      <alignment horizontal="left"/>
    </xf>
    <xf numFmtId="0" fontId="5" fillId="0" borderId="0" xfId="0" applyNumberFormat="1" applyFont="1" applyAlignment="1">
      <alignment horizontal="left" wrapText="1"/>
    </xf>
    <xf numFmtId="49" fontId="25" fillId="0" borderId="0" xfId="0" applyNumberFormat="1" applyFont="1" applyAlignment="1">
      <alignment horizontal="right"/>
    </xf>
    <xf numFmtId="49" fontId="5" fillId="0" borderId="0" xfId="0" applyNumberFormat="1" applyFont="1" applyAlignment="1">
      <alignment horizontal="right"/>
    </xf>
    <xf numFmtId="0" fontId="7" fillId="0" borderId="0" xfId="0" applyFont="1"/>
    <xf numFmtId="164" fontId="26" fillId="0" borderId="0" xfId="0" applyNumberFormat="1" applyFont="1" applyAlignment="1">
      <alignment/>
    </xf>
    <xf numFmtId="49" fontId="7" fillId="0" borderId="0" xfId="0" applyNumberFormat="1" applyFont="1" applyAlignment="1">
      <alignment horizontal="center"/>
    </xf>
    <xf numFmtId="0" fontId="7" fillId="0" borderId="0" xfId="0" applyNumberFormat="1" applyFont="1" applyAlignment="1">
      <alignment horizontal="left"/>
    </xf>
    <xf numFmtId="166" fontId="27" fillId="0" borderId="0" xfId="0" applyNumberFormat="1" applyFont="1" applyFill="1" applyBorder="1" applyAlignment="1">
      <alignment/>
    </xf>
    <xf numFmtId="167" fontId="7" fillId="0" borderId="0" xfId="0" applyNumberFormat="1" applyFont="1" applyAlignment="1">
      <alignment/>
    </xf>
    <xf numFmtId="166" fontId="7" fillId="0" borderId="0" xfId="0" applyNumberFormat="1" applyFont="1" applyFill="1" applyBorder="1" applyAlignment="1">
      <alignment/>
    </xf>
    <xf numFmtId="0" fontId="28" fillId="0" borderId="0" xfId="0" applyFont="1" applyAlignment="1">
      <alignment horizontal="center" vertical="center"/>
    </xf>
    <xf numFmtId="164" fontId="29" fillId="0" borderId="0" xfId="0" applyNumberFormat="1" applyFont="1" applyAlignment="1">
      <alignment horizontal="center" vertical="center"/>
    </xf>
    <xf numFmtId="49" fontId="28" fillId="0" borderId="0" xfId="0" applyNumberFormat="1" applyFont="1" applyAlignment="1">
      <alignment horizontal="center" vertical="center"/>
    </xf>
    <xf numFmtId="49" fontId="28" fillId="0" borderId="0" xfId="0" applyNumberFormat="1" applyFont="1" applyAlignment="1">
      <alignment horizontal="center" vertical="center" wrapText="1"/>
    </xf>
    <xf numFmtId="166" fontId="30" fillId="0" borderId="0" xfId="0" applyNumberFormat="1" applyFont="1" applyFill="1" applyBorder="1" applyAlignment="1">
      <alignment horizontal="center" vertical="center"/>
    </xf>
    <xf numFmtId="167" fontId="28" fillId="0" borderId="0" xfId="0" applyNumberFormat="1" applyFont="1" applyAlignment="1">
      <alignment horizontal="center" vertical="center"/>
    </xf>
    <xf numFmtId="166" fontId="28" fillId="0" borderId="0" xfId="0" applyNumberFormat="1" applyFont="1" applyFill="1" applyBorder="1" applyAlignment="1">
      <alignment horizontal="center" vertical="center"/>
    </xf>
    <xf numFmtId="165" fontId="28" fillId="0" borderId="0" xfId="0" applyNumberFormat="1" applyFont="1" applyAlignment="1">
      <alignment horizontal="center" vertical="center"/>
    </xf>
    <xf numFmtId="0" fontId="5" fillId="0" borderId="0" xfId="0" applyFont="1"/>
    <xf numFmtId="164" fontId="6" fillId="0" borderId="0" xfId="0" applyNumberFormat="1" applyFont="1" applyAlignment="1">
      <alignment/>
    </xf>
    <xf numFmtId="0" fontId="5" fillId="0" borderId="0" xfId="0" applyNumberFormat="1" applyFont="1" applyAlignment="1">
      <alignment horizontal="left"/>
    </xf>
    <xf numFmtId="166" fontId="25" fillId="0" borderId="0" xfId="0" applyNumberFormat="1" applyFont="1" applyFill="1" applyBorder="1" applyAlignment="1">
      <alignment/>
    </xf>
    <xf numFmtId="167" fontId="5" fillId="0" borderId="0" xfId="0" applyNumberFormat="1" applyFont="1" applyAlignment="1">
      <alignment/>
    </xf>
    <xf numFmtId="166" fontId="5" fillId="0" borderId="0" xfId="0" applyNumberFormat="1" applyFont="1" applyFill="1" applyBorder="1" applyAlignment="1">
      <alignment/>
    </xf>
    <xf numFmtId="0" fontId="31" fillId="0" borderId="0" xfId="0" applyFont="1"/>
    <xf numFmtId="164" fontId="31" fillId="0" borderId="6" xfId="0" applyNumberFormat="1" applyFont="1" applyBorder="1" applyAlignment="1">
      <alignment horizontal="right" vertical="top"/>
    </xf>
    <xf numFmtId="49" fontId="32" fillId="0" borderId="6" xfId="0" applyNumberFormat="1" applyFont="1" applyBorder="1" applyAlignment="1">
      <alignment horizontal="center" vertical="top"/>
    </xf>
    <xf numFmtId="49" fontId="32" fillId="0" borderId="6" xfId="0" applyNumberFormat="1" applyFont="1" applyBorder="1" applyAlignment="1">
      <alignment horizontal="left" vertical="top"/>
    </xf>
    <xf numFmtId="0" fontId="32" fillId="0" borderId="6" xfId="0" applyNumberFormat="1" applyFont="1" applyBorder="1" applyAlignment="1">
      <alignment horizontal="left" vertical="top" wrapText="1"/>
    </xf>
    <xf numFmtId="166" fontId="33" fillId="0" borderId="6" xfId="0" applyNumberFormat="1" applyFont="1" applyFill="1" applyBorder="1" applyAlignment="1">
      <alignment horizontal="right" vertical="top"/>
    </xf>
    <xf numFmtId="168" fontId="32" fillId="0" borderId="6" xfId="0" applyNumberFormat="1" applyFont="1" applyBorder="1" applyAlignment="1">
      <alignment horizontal="right" vertical="top"/>
    </xf>
    <xf numFmtId="166" fontId="34" fillId="0" borderId="6" xfId="0" applyNumberFormat="1" applyFont="1" applyFill="1" applyBorder="1" applyAlignment="1">
      <alignment horizontal="right" vertical="top"/>
    </xf>
    <xf numFmtId="167" fontId="32" fillId="0" borderId="6" xfId="0" applyNumberFormat="1" applyFont="1" applyBorder="1" applyAlignment="1">
      <alignment horizontal="right" vertical="top"/>
    </xf>
    <xf numFmtId="165" fontId="32" fillId="0" borderId="6" xfId="0" applyNumberFormat="1" applyFont="1" applyBorder="1" applyAlignment="1">
      <alignment horizontal="right" vertical="top"/>
    </xf>
    <xf numFmtId="168" fontId="32" fillId="0" borderId="7" xfId="0" applyNumberFormat="1" applyFont="1" applyBorder="1" applyAlignment="1">
      <alignment horizontal="right" vertical="top"/>
    </xf>
    <xf numFmtId="166" fontId="34" fillId="0" borderId="7" xfId="0" applyNumberFormat="1" applyFont="1" applyFill="1" applyBorder="1" applyAlignment="1">
      <alignment horizontal="right" vertical="top"/>
    </xf>
    <xf numFmtId="168" fontId="32" fillId="0" borderId="8" xfId="0" applyNumberFormat="1" applyFont="1" applyBorder="1" applyAlignment="1">
      <alignment horizontal="right" vertical="top"/>
    </xf>
    <xf numFmtId="166" fontId="34" fillId="0" borderId="8" xfId="0" applyNumberFormat="1" applyFont="1" applyFill="1" applyBorder="1" applyAlignment="1">
      <alignment horizontal="right" vertical="top"/>
    </xf>
    <xf numFmtId="168" fontId="32" fillId="0" borderId="0" xfId="0" applyNumberFormat="1" applyFont="1" applyBorder="1" applyAlignment="1">
      <alignment horizontal="right" vertical="top"/>
    </xf>
    <xf numFmtId="166" fontId="34" fillId="0" borderId="0" xfId="0" applyNumberFormat="1" applyFont="1" applyFill="1" applyBorder="1" applyAlignment="1">
      <alignment horizontal="right" vertical="top"/>
    </xf>
    <xf numFmtId="49" fontId="32" fillId="0" borderId="0" xfId="0" applyNumberFormat="1" applyFont="1" applyBorder="1" applyAlignment="1">
      <alignment horizontal="left" vertical="top"/>
    </xf>
    <xf numFmtId="0" fontId="26" fillId="0" borderId="0" xfId="0" applyFont="1" applyFill="1" applyBorder="1" applyAlignment="1">
      <alignment horizontal="left" vertical="center" wrapText="1"/>
    </xf>
    <xf numFmtId="0" fontId="35" fillId="0" borderId="0" xfId="0" applyFont="1" applyFill="1" applyBorder="1" applyAlignment="1" applyProtection="1">
      <alignment horizontal="center"/>
      <protection locked="0"/>
    </xf>
    <xf numFmtId="0" fontId="31" fillId="0" borderId="0" xfId="0" applyNumberFormat="1" applyFont="1" applyFill="1" applyBorder="1" applyAlignment="1">
      <alignment horizontal="center" vertical="center" wrapText="1"/>
    </xf>
    <xf numFmtId="169" fontId="1" fillId="0" borderId="0" xfId="20" applyNumberFormat="1" applyFont="1" applyFill="1" applyAlignment="1">
      <alignment horizontal="right"/>
      <protection/>
    </xf>
    <xf numFmtId="0" fontId="26" fillId="0" borderId="6" xfId="0" applyFont="1" applyFill="1" applyBorder="1" applyAlignment="1">
      <alignment horizontal="left" vertical="center" wrapText="1"/>
    </xf>
    <xf numFmtId="164" fontId="31" fillId="0" borderId="0" xfId="0" applyNumberFormat="1" applyFont="1" applyBorder="1" applyAlignment="1">
      <alignment horizontal="right" vertical="top"/>
    </xf>
    <xf numFmtId="49" fontId="32" fillId="0" borderId="0" xfId="0" applyNumberFormat="1" applyFont="1" applyBorder="1" applyAlignment="1">
      <alignment horizontal="center" vertical="top"/>
    </xf>
    <xf numFmtId="0" fontId="36" fillId="0" borderId="0" xfId="0" applyFont="1" applyFill="1" applyBorder="1" applyProtection="1">
      <protection locked="0"/>
    </xf>
    <xf numFmtId="0" fontId="31" fillId="0" borderId="0" xfId="0" applyFont="1" applyFill="1" applyBorder="1" applyAlignment="1">
      <alignment horizontal="center" vertical="center" wrapText="1"/>
    </xf>
    <xf numFmtId="169" fontId="1" fillId="0" borderId="0" xfId="20" applyNumberFormat="1" applyFont="1" applyFill="1">
      <alignment/>
      <protection/>
    </xf>
    <xf numFmtId="164" fontId="31" fillId="0" borderId="8" xfId="0" applyNumberFormat="1" applyFont="1" applyBorder="1" applyAlignment="1">
      <alignment horizontal="right" vertical="top"/>
    </xf>
    <xf numFmtId="49" fontId="32" fillId="0" borderId="8" xfId="0" applyNumberFormat="1" applyFont="1" applyBorder="1" applyAlignment="1">
      <alignment horizontal="center" vertical="top"/>
    </xf>
    <xf numFmtId="0" fontId="37" fillId="0" borderId="0" xfId="0" applyFont="1" applyFill="1" applyBorder="1" applyAlignment="1" applyProtection="1">
      <alignment horizontal="left"/>
      <protection hidden="1"/>
    </xf>
    <xf numFmtId="0" fontId="35" fillId="0" borderId="0" xfId="0" applyFont="1" applyBorder="1" applyAlignment="1" applyProtection="1">
      <alignment horizontal="center"/>
      <protection locked="0"/>
    </xf>
    <xf numFmtId="49" fontId="32" fillId="0" borderId="9" xfId="0" applyNumberFormat="1" applyFont="1" applyBorder="1" applyAlignment="1">
      <alignment horizontal="center" vertical="top"/>
    </xf>
    <xf numFmtId="164" fontId="31" fillId="0" borderId="9" xfId="0" applyNumberFormat="1" applyFont="1" applyBorder="1" applyAlignment="1">
      <alignment horizontal="right" vertical="top"/>
    </xf>
    <xf numFmtId="0" fontId="35" fillId="0" borderId="0" xfId="0" applyFont="1" applyFill="1" applyBorder="1" applyAlignment="1" applyProtection="1">
      <alignment horizontal="center"/>
      <protection hidden="1"/>
    </xf>
    <xf numFmtId="0" fontId="35" fillId="0" borderId="0" xfId="0" applyFont="1" applyProtection="1">
      <protection hidden="1"/>
    </xf>
    <xf numFmtId="0" fontId="37" fillId="0" borderId="0" xfId="0" applyFont="1" applyFill="1" applyBorder="1" applyProtection="1">
      <protection locked="0"/>
    </xf>
    <xf numFmtId="0" fontId="26" fillId="0" borderId="0" xfId="0" applyFont="1" applyFill="1" applyBorder="1"/>
    <xf numFmtId="0" fontId="32" fillId="0" borderId="0" xfId="0" applyNumberFormat="1" applyFont="1" applyBorder="1" applyAlignment="1">
      <alignment horizontal="left" vertical="top" wrapText="1"/>
    </xf>
    <xf numFmtId="166" fontId="38" fillId="0" borderId="0" xfId="0" applyNumberFormat="1" applyFont="1" applyFill="1" applyBorder="1" applyAlignment="1">
      <alignment horizontal="right" vertical="top"/>
    </xf>
    <xf numFmtId="165" fontId="32" fillId="0" borderId="0" xfId="0" applyNumberFormat="1" applyFont="1" applyBorder="1" applyAlignment="1">
      <alignment horizontal="right" vertical="top"/>
    </xf>
    <xf numFmtId="0" fontId="39" fillId="0" borderId="6" xfId="0" applyNumberFormat="1" applyFont="1" applyBorder="1" applyAlignment="1">
      <alignment horizontal="left" vertical="top" wrapText="1"/>
    </xf>
    <xf numFmtId="167" fontId="32" fillId="0" borderId="0" xfId="0" applyNumberFormat="1" applyFont="1" applyBorder="1" applyAlignment="1">
      <alignment horizontal="right" vertical="top"/>
    </xf>
    <xf numFmtId="166" fontId="29" fillId="0" borderId="0" xfId="0" applyNumberFormat="1" applyFont="1" applyFill="1" applyBorder="1" applyAlignment="1">
      <alignment horizontal="center" vertical="center"/>
    </xf>
    <xf numFmtId="49" fontId="36" fillId="0" borderId="0" xfId="21" applyNumberFormat="1" applyFont="1" applyFill="1" applyBorder="1" applyAlignment="1">
      <alignment horizontal="left"/>
      <protection/>
    </xf>
    <xf numFmtId="0" fontId="36" fillId="0" borderId="0" xfId="21" applyFont="1" applyFill="1" applyBorder="1" applyAlignment="1">
      <alignment wrapText="1"/>
      <protection/>
    </xf>
    <xf numFmtId="49" fontId="36" fillId="0" borderId="0" xfId="21" applyNumberFormat="1" applyFont="1" applyFill="1" applyBorder="1" applyAlignment="1">
      <alignment horizontal="center" shrinkToFit="1"/>
      <protection/>
    </xf>
    <xf numFmtId="4" fontId="36" fillId="0" borderId="0" xfId="21" applyNumberFormat="1" applyFont="1" applyFill="1" applyBorder="1" applyAlignment="1">
      <alignment horizontal="right"/>
      <protection/>
    </xf>
    <xf numFmtId="49" fontId="32" fillId="0" borderId="7" xfId="0" applyNumberFormat="1" applyFont="1" applyBorder="1" applyAlignment="1">
      <alignment horizontal="center" vertical="top"/>
    </xf>
    <xf numFmtId="49" fontId="31" fillId="0" borderId="6" xfId="0" applyNumberFormat="1" applyFont="1" applyFill="1" applyBorder="1" applyAlignment="1">
      <alignment horizontal="left" vertical="center" wrapText="1"/>
    </xf>
    <xf numFmtId="0" fontId="10" fillId="0" borderId="0" xfId="0" applyNumberFormat="1" applyFont="1" applyBorder="1" applyAlignment="1">
      <alignment horizontal="center"/>
    </xf>
    <xf numFmtId="49" fontId="10" fillId="0" borderId="8" xfId="0" applyNumberFormat="1" applyFont="1" applyBorder="1" applyAlignment="1">
      <alignment horizontal="left" wrapText="1"/>
    </xf>
    <xf numFmtId="49" fontId="10" fillId="0" borderId="0" xfId="0" applyNumberFormat="1" applyFont="1" applyBorder="1" applyAlignment="1">
      <alignment horizontal="left" wrapText="1"/>
    </xf>
    <xf numFmtId="49" fontId="40" fillId="0" borderId="0" xfId="0" applyNumberFormat="1" applyFont="1" applyBorder="1" applyAlignment="1">
      <alignment horizontal="center"/>
    </xf>
    <xf numFmtId="166" fontId="40" fillId="0" borderId="0" xfId="0" applyNumberFormat="1" applyFont="1" applyFill="1" applyBorder="1" applyAlignment="1">
      <alignment horizontal="center"/>
    </xf>
    <xf numFmtId="167" fontId="32" fillId="0" borderId="8" xfId="0" applyNumberFormat="1" applyFont="1" applyBorder="1" applyAlignment="1">
      <alignment horizontal="right" vertical="top"/>
    </xf>
    <xf numFmtId="165" fontId="32" fillId="0" borderId="8" xfId="0" applyNumberFormat="1" applyFont="1" applyBorder="1" applyAlignment="1">
      <alignment horizontal="right" vertical="top"/>
    </xf>
    <xf numFmtId="49" fontId="32" fillId="0" borderId="6" xfId="0" applyNumberFormat="1" applyFont="1" applyFill="1" applyBorder="1" applyAlignment="1">
      <alignment horizontal="center" vertical="center" wrapText="1"/>
    </xf>
    <xf numFmtId="0" fontId="31" fillId="0" borderId="10" xfId="0" applyNumberFormat="1" applyFont="1" applyFill="1" applyBorder="1" applyAlignment="1">
      <alignment horizontal="left" vertical="center" wrapText="1"/>
    </xf>
    <xf numFmtId="49" fontId="31" fillId="0" borderId="6" xfId="0" applyNumberFormat="1" applyFont="1" applyFill="1" applyBorder="1" applyAlignment="1">
      <alignment horizontal="center" vertical="center"/>
    </xf>
    <xf numFmtId="166" fontId="33" fillId="0" borderId="1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49" fontId="10" fillId="0" borderId="9" xfId="0" applyNumberFormat="1" applyFont="1" applyFill="1" applyBorder="1" applyAlignment="1">
      <alignment horizontal="left" vertical="center" wrapText="1"/>
    </xf>
    <xf numFmtId="49" fontId="40" fillId="0" borderId="0" xfId="0" applyNumberFormat="1" applyFont="1" applyFill="1" applyBorder="1" applyAlignment="1">
      <alignment horizontal="center" vertical="center"/>
    </xf>
    <xf numFmtId="166" fontId="40" fillId="0" borderId="9" xfId="0" applyNumberFormat="1" applyFont="1" applyFill="1" applyBorder="1" applyAlignment="1">
      <alignment horizontal="center" vertical="center"/>
    </xf>
    <xf numFmtId="49" fontId="32" fillId="0" borderId="6" xfId="0" applyNumberFormat="1" applyFont="1" applyFill="1" applyBorder="1" applyAlignment="1">
      <alignment horizontal="center" vertical="center"/>
    </xf>
    <xf numFmtId="0" fontId="31" fillId="0" borderId="6" xfId="0" applyNumberFormat="1" applyFont="1" applyFill="1" applyBorder="1" applyAlignment="1">
      <alignment horizontal="left" vertical="center" wrapText="1"/>
    </xf>
    <xf numFmtId="49" fontId="40" fillId="0" borderId="9" xfId="0" applyNumberFormat="1" applyFont="1" applyFill="1" applyBorder="1" applyAlignment="1">
      <alignment horizontal="center" vertical="center"/>
    </xf>
    <xf numFmtId="49" fontId="31" fillId="0" borderId="11" xfId="0" applyNumberFormat="1" applyFont="1" applyFill="1" applyBorder="1" applyAlignment="1">
      <alignment horizontal="left" vertical="top" wrapText="1"/>
    </xf>
    <xf numFmtId="49" fontId="31" fillId="0" borderId="11" xfId="0" applyNumberFormat="1" applyFont="1" applyFill="1" applyBorder="1" applyAlignment="1">
      <alignment horizontal="center" vertical="center"/>
    </xf>
    <xf numFmtId="166" fontId="33" fillId="0" borderId="12" xfId="0" applyNumberFormat="1" applyFont="1" applyFill="1" applyBorder="1" applyAlignment="1">
      <alignment horizontal="center" vertical="center"/>
    </xf>
    <xf numFmtId="49" fontId="31" fillId="0" borderId="6" xfId="0" applyNumberFormat="1" applyFont="1" applyFill="1" applyBorder="1" applyAlignment="1">
      <alignment horizontal="left" vertical="top" wrapText="1"/>
    </xf>
    <xf numFmtId="49" fontId="31" fillId="0" borderId="8" xfId="0" applyNumberFormat="1" applyFont="1" applyFill="1" applyBorder="1" applyAlignment="1">
      <alignment horizontal="center" vertical="center"/>
    </xf>
    <xf numFmtId="49" fontId="31" fillId="0" borderId="8" xfId="0" applyNumberFormat="1" applyFont="1" applyFill="1" applyBorder="1" applyAlignment="1">
      <alignment horizontal="left" vertical="top" wrapText="1"/>
    </xf>
    <xf numFmtId="166" fontId="33" fillId="0" borderId="8" xfId="0" applyNumberFormat="1" applyFont="1" applyFill="1" applyBorder="1" applyAlignment="1">
      <alignment horizontal="center" vertical="center"/>
    </xf>
    <xf numFmtId="49" fontId="31" fillId="0" borderId="13" xfId="0" applyNumberFormat="1" applyFont="1" applyFill="1" applyBorder="1" applyAlignment="1">
      <alignment horizontal="center" vertical="center"/>
    </xf>
    <xf numFmtId="49" fontId="31" fillId="0" borderId="10" xfId="0" applyNumberFormat="1" applyFont="1" applyFill="1" applyBorder="1" applyAlignment="1">
      <alignment horizontal="left" vertical="center" wrapText="1"/>
    </xf>
    <xf numFmtId="49" fontId="31" fillId="0" borderId="7" xfId="0" applyNumberFormat="1" applyFont="1" applyFill="1" applyBorder="1" applyAlignment="1">
      <alignment horizontal="center" vertical="center"/>
    </xf>
    <xf numFmtId="49" fontId="31" fillId="0" borderId="9" xfId="0" applyNumberFormat="1" applyFont="1" applyFill="1" applyBorder="1" applyAlignment="1">
      <alignment horizontal="left" vertical="center" wrapText="1"/>
    </xf>
    <xf numFmtId="49" fontId="31" fillId="0" borderId="9" xfId="0" applyNumberFormat="1" applyFont="1" applyFill="1" applyBorder="1" applyAlignment="1">
      <alignment horizontal="center" vertical="center"/>
    </xf>
    <xf numFmtId="166" fontId="33" fillId="0" borderId="9" xfId="0" applyNumberFormat="1" applyFont="1" applyFill="1" applyBorder="1" applyAlignment="1">
      <alignment horizontal="center" vertical="center"/>
    </xf>
    <xf numFmtId="49" fontId="31" fillId="0" borderId="0" xfId="0" applyNumberFormat="1" applyFont="1" applyFill="1" applyBorder="1" applyAlignment="1">
      <alignment horizontal="center" vertical="center"/>
    </xf>
    <xf numFmtId="49" fontId="31" fillId="0" borderId="0" xfId="0" applyNumberFormat="1" applyFont="1" applyFill="1" applyBorder="1" applyAlignment="1">
      <alignment horizontal="left" vertical="center" wrapText="1"/>
    </xf>
    <xf numFmtId="166" fontId="33" fillId="0" borderId="0" xfId="0" applyNumberFormat="1" applyFont="1" applyFill="1" applyBorder="1" applyAlignment="1">
      <alignment horizontal="center" vertical="center"/>
    </xf>
    <xf numFmtId="49" fontId="32" fillId="0" borderId="6" xfId="0" applyNumberFormat="1" applyFont="1" applyBorder="1" applyAlignment="1">
      <alignment horizontal="center" vertical="center"/>
    </xf>
    <xf numFmtId="49" fontId="32" fillId="0" borderId="6" xfId="0" applyNumberFormat="1" applyFont="1" applyBorder="1" applyAlignment="1">
      <alignment horizontal="left" vertical="center" wrapText="1"/>
    </xf>
    <xf numFmtId="0" fontId="32" fillId="0" borderId="6" xfId="0" applyNumberFormat="1" applyFont="1" applyBorder="1" applyAlignment="1">
      <alignment horizontal="left" vertical="center" wrapText="1"/>
    </xf>
    <xf numFmtId="166" fontId="33" fillId="0" borderId="6" xfId="0" applyNumberFormat="1" applyFont="1" applyFill="1" applyBorder="1" applyAlignment="1">
      <alignment horizontal="right" vertical="center"/>
    </xf>
    <xf numFmtId="168" fontId="32" fillId="0" borderId="6" xfId="0" applyNumberFormat="1" applyFont="1" applyBorder="1" applyAlignment="1">
      <alignment horizontal="right" vertical="center"/>
    </xf>
    <xf numFmtId="166" fontId="34" fillId="0" borderId="6" xfId="0" applyNumberFormat="1" applyFont="1" applyFill="1" applyBorder="1" applyAlignment="1">
      <alignment horizontal="right" vertical="center"/>
    </xf>
    <xf numFmtId="167" fontId="32" fillId="0" borderId="6" xfId="0" applyNumberFormat="1" applyFont="1" applyBorder="1" applyAlignment="1">
      <alignment horizontal="right" vertical="center"/>
    </xf>
    <xf numFmtId="165" fontId="32" fillId="0" borderId="6" xfId="0" applyNumberFormat="1" applyFont="1" applyBorder="1" applyAlignment="1">
      <alignment horizontal="right" vertical="center"/>
    </xf>
    <xf numFmtId="164" fontId="1" fillId="0" borderId="0" xfId="0" applyNumberFormat="1" applyFont="1" applyAlignment="1">
      <alignment horizontal="right" vertical="top"/>
    </xf>
    <xf numFmtId="49" fontId="41" fillId="0" borderId="0" xfId="0" applyNumberFormat="1" applyFont="1" applyAlignment="1">
      <alignment horizontal="center" vertical="top"/>
    </xf>
    <xf numFmtId="49" fontId="41" fillId="0" borderId="0" xfId="0" applyNumberFormat="1" applyFont="1" applyAlignment="1">
      <alignment horizontal="left" vertical="top"/>
    </xf>
    <xf numFmtId="166" fontId="42" fillId="0" borderId="0" xfId="0" applyNumberFormat="1" applyFont="1" applyFill="1" applyBorder="1" applyAlignment="1">
      <alignment horizontal="right" vertical="top"/>
    </xf>
    <xf numFmtId="167" fontId="41" fillId="0" borderId="0" xfId="0" applyNumberFormat="1" applyFont="1" applyAlignment="1">
      <alignment horizontal="right" vertical="top"/>
    </xf>
    <xf numFmtId="166" fontId="43" fillId="0" borderId="0" xfId="0" applyNumberFormat="1" applyFont="1" applyFill="1" applyBorder="1" applyAlignment="1">
      <alignment horizontal="right" vertical="top"/>
    </xf>
    <xf numFmtId="165" fontId="41" fillId="0" borderId="0" xfId="0" applyNumberFormat="1" applyFont="1" applyAlignment="1">
      <alignment horizontal="right" vertical="top"/>
    </xf>
    <xf numFmtId="49" fontId="32" fillId="0" borderId="6" xfId="0" applyNumberFormat="1" applyFont="1" applyBorder="1" applyAlignment="1">
      <alignment horizontal="left" vertical="top" wrapText="1"/>
    </xf>
    <xf numFmtId="49" fontId="41" fillId="0" borderId="0" xfId="0" applyNumberFormat="1" applyFont="1" applyAlignment="1">
      <alignment horizontal="left" vertical="top" wrapText="1"/>
    </xf>
    <xf numFmtId="0" fontId="45" fillId="0" borderId="0" xfId="0" applyFont="1" applyAlignment="1">
      <alignment horizontal="center"/>
    </xf>
    <xf numFmtId="0" fontId="37" fillId="0" borderId="0" xfId="0" applyFont="1"/>
    <xf numFmtId="1" fontId="37" fillId="0" borderId="0" xfId="0" applyNumberFormat="1" applyFont="1"/>
    <xf numFmtId="1" fontId="0" fillId="0" borderId="0" xfId="0" applyNumberFormat="1"/>
    <xf numFmtId="1" fontId="0" fillId="2" borderId="0" xfId="0" applyNumberFormat="1" applyFill="1"/>
    <xf numFmtId="0" fontId="45" fillId="0" borderId="0" xfId="0" applyFont="1"/>
    <xf numFmtId="1" fontId="45" fillId="2" borderId="0" xfId="0" applyNumberFormat="1" applyFont="1" applyFill="1"/>
    <xf numFmtId="0" fontId="46" fillId="0" borderId="0" xfId="0" applyFont="1"/>
    <xf numFmtId="0" fontId="48" fillId="0" borderId="0" xfId="0" applyFont="1"/>
    <xf numFmtId="0" fontId="49" fillId="0" borderId="0" xfId="0" applyFont="1"/>
    <xf numFmtId="0" fontId="50" fillId="0" borderId="0" xfId="0" applyFont="1"/>
    <xf numFmtId="0" fontId="36" fillId="0" borderId="0" xfId="0" applyFont="1"/>
    <xf numFmtId="0" fontId="51" fillId="0" borderId="0" xfId="0" applyFont="1" applyBorder="1"/>
    <xf numFmtId="0" fontId="52" fillId="0" borderId="0" xfId="0" applyFont="1" applyBorder="1"/>
    <xf numFmtId="0" fontId="33" fillId="0" borderId="0" xfId="0" applyFont="1"/>
    <xf numFmtId="49" fontId="53" fillId="0" borderId="0" xfId="0" applyNumberFormat="1" applyFont="1"/>
    <xf numFmtId="0" fontId="54" fillId="0" borderId="0" xfId="0" applyFont="1"/>
    <xf numFmtId="0" fontId="35" fillId="0" borderId="0" xfId="0" applyFont="1"/>
    <xf numFmtId="0" fontId="53" fillId="0" borderId="0" xfId="0" applyFont="1"/>
    <xf numFmtId="1" fontId="53" fillId="0" borderId="0" xfId="0" applyNumberFormat="1" applyFont="1"/>
    <xf numFmtId="49" fontId="55" fillId="0" borderId="0" xfId="0" applyNumberFormat="1" applyFont="1"/>
    <xf numFmtId="0" fontId="54" fillId="0" borderId="0" xfId="0" applyFont="1"/>
    <xf numFmtId="1" fontId="54" fillId="0" borderId="0" xfId="0" applyNumberFormat="1" applyFont="1"/>
    <xf numFmtId="49" fontId="56" fillId="0" borderId="0" xfId="0" applyNumberFormat="1" applyFont="1"/>
    <xf numFmtId="49" fontId="58" fillId="0" borderId="0" xfId="0" applyNumberFormat="1" applyFont="1"/>
    <xf numFmtId="0" fontId="59" fillId="0" borderId="0" xfId="0" applyFont="1"/>
    <xf numFmtId="1" fontId="59" fillId="0" borderId="0" xfId="0" applyNumberFormat="1" applyFont="1"/>
    <xf numFmtId="0" fontId="60" fillId="0" borderId="0" xfId="0" applyFont="1"/>
    <xf numFmtId="0" fontId="53" fillId="0" borderId="0" xfId="0" applyFont="1"/>
    <xf numFmtId="1" fontId="53" fillId="0" borderId="0" xfId="0" applyNumberFormat="1" applyFont="1"/>
    <xf numFmtId="49" fontId="46" fillId="0" borderId="0" xfId="0" applyNumberFormat="1" applyFont="1"/>
    <xf numFmtId="1" fontId="54" fillId="0" borderId="0" xfId="0" applyNumberFormat="1" applyFont="1"/>
    <xf numFmtId="0" fontId="61" fillId="0" borderId="0" xfId="0" applyFont="1"/>
    <xf numFmtId="0" fontId="62" fillId="0" borderId="0" xfId="0" applyFont="1"/>
    <xf numFmtId="1" fontId="54" fillId="0" borderId="0" xfId="0" applyNumberFormat="1" applyFont="1" applyFill="1"/>
    <xf numFmtId="0" fontId="63" fillId="0" borderId="0" xfId="0" applyFont="1"/>
    <xf numFmtId="0" fontId="47" fillId="0" borderId="0" xfId="0" applyFont="1"/>
    <xf numFmtId="0" fontId="65" fillId="0" borderId="0" xfId="0" applyFont="1"/>
    <xf numFmtId="1" fontId="60" fillId="0" borderId="0" xfId="0" applyNumberFormat="1" applyFont="1"/>
    <xf numFmtId="0" fontId="56" fillId="0" borderId="0" xfId="0" applyFont="1"/>
    <xf numFmtId="0" fontId="66" fillId="0" borderId="0" xfId="0" applyFont="1"/>
    <xf numFmtId="0" fontId="67" fillId="0" borderId="0" xfId="0" applyFont="1"/>
    <xf numFmtId="49" fontId="60" fillId="0" borderId="0" xfId="0" applyNumberFormat="1" applyFont="1"/>
    <xf numFmtId="0" fontId="68" fillId="0" borderId="0" xfId="0" applyFont="1"/>
    <xf numFmtId="0" fontId="69" fillId="0" borderId="0" xfId="0" applyFont="1"/>
    <xf numFmtId="0" fontId="70" fillId="3" borderId="0" xfId="0" applyFont="1" applyFill="1" applyAlignment="1">
      <alignment horizontal="right" vertical="top" wrapText="1"/>
    </xf>
    <xf numFmtId="0" fontId="71" fillId="3" borderId="0" xfId="0" applyFont="1" applyFill="1" applyAlignment="1">
      <alignment horizontal="right" vertical="top" wrapText="1"/>
    </xf>
    <xf numFmtId="0" fontId="71" fillId="4" borderId="0" xfId="0" applyFont="1" applyFill="1" applyAlignment="1">
      <alignment horizontal="right" wrapText="1"/>
    </xf>
    <xf numFmtId="0" fontId="72" fillId="4" borderId="0" xfId="0" applyFont="1" applyFill="1" applyAlignment="1">
      <alignment horizontal="right" wrapText="1"/>
    </xf>
    <xf numFmtId="1" fontId="47" fillId="0" borderId="0" xfId="0" applyNumberFormat="1" applyFont="1"/>
    <xf numFmtId="0" fontId="73" fillId="0" borderId="0" xfId="0" applyFont="1"/>
    <xf numFmtId="0" fontId="50" fillId="0" borderId="0" xfId="0" applyFont="1" applyAlignment="1">
      <alignment/>
    </xf>
    <xf numFmtId="1" fontId="50" fillId="0" borderId="0" xfId="0" applyNumberFormat="1" applyFont="1"/>
    <xf numFmtId="1" fontId="49" fillId="0" borderId="0" xfId="0" applyNumberFormat="1" applyFont="1"/>
    <xf numFmtId="0" fontId="50" fillId="0" borderId="0" xfId="0" applyFont="1" applyAlignment="1">
      <alignment horizontal="left"/>
    </xf>
    <xf numFmtId="1" fontId="50" fillId="0" borderId="0" xfId="0" applyNumberFormat="1" applyFont="1" applyAlignment="1">
      <alignment horizontal="left"/>
    </xf>
    <xf numFmtId="0" fontId="49" fillId="0" borderId="0" xfId="0" applyFont="1" applyAlignment="1">
      <alignment horizontal="left"/>
    </xf>
    <xf numFmtId="170" fontId="53" fillId="0" borderId="0" xfId="0" applyNumberFormat="1" applyFont="1"/>
    <xf numFmtId="2" fontId="53" fillId="0" borderId="0" xfId="0" applyNumberFormat="1" applyFont="1"/>
    <xf numFmtId="166" fontId="33" fillId="0" borderId="0" xfId="0" applyNumberFormat="1" applyFont="1" applyFill="1" applyBorder="1" applyAlignment="1">
      <alignment horizontal="right" vertical="top"/>
    </xf>
    <xf numFmtId="0" fontId="0" fillId="0" borderId="0" xfId="0" applyAlignment="1">
      <alignment horizontal="center"/>
    </xf>
    <xf numFmtId="0" fontId="54" fillId="0" borderId="0" xfId="0" applyFont="1" applyAlignment="1">
      <alignment/>
    </xf>
    <xf numFmtId="0" fontId="54" fillId="0" borderId="0" xfId="0" applyFont="1" applyAlignment="1">
      <alignment horizontal="center"/>
    </xf>
    <xf numFmtId="1" fontId="53" fillId="2" borderId="0" xfId="0" applyNumberFormat="1" applyFont="1" applyFill="1"/>
    <xf numFmtId="0" fontId="53" fillId="0" borderId="0" xfId="0" applyFont="1" applyBorder="1"/>
    <xf numFmtId="0" fontId="74" fillId="0" borderId="5" xfId="0" applyFont="1" applyBorder="1"/>
    <xf numFmtId="0" fontId="53" fillId="0" borderId="5" xfId="0" applyFont="1" applyBorder="1"/>
    <xf numFmtId="0" fontId="75" fillId="0" borderId="0" xfId="0" applyFont="1"/>
    <xf numFmtId="1" fontId="75" fillId="2" borderId="0" xfId="0" applyNumberFormat="1" applyFont="1" applyFill="1"/>
    <xf numFmtId="0" fontId="76" fillId="0" borderId="0" xfId="0" applyFont="1"/>
    <xf numFmtId="0" fontId="77" fillId="0" borderId="0" xfId="0" applyFont="1"/>
    <xf numFmtId="0" fontId="78" fillId="0" borderId="0" xfId="0" applyFont="1"/>
    <xf numFmtId="0" fontId="51" fillId="0" borderId="5" xfId="0" applyFont="1" applyBorder="1"/>
    <xf numFmtId="0" fontId="79" fillId="0" borderId="0" xfId="0" applyFont="1" applyBorder="1"/>
    <xf numFmtId="0" fontId="72" fillId="0" borderId="0" xfId="0" applyFont="1"/>
    <xf numFmtId="0" fontId="62" fillId="0" borderId="0" xfId="0" applyFont="1" applyAlignment="1">
      <alignment horizontal="justify" vertical="justify" wrapText="1" shrinkToFit="1"/>
    </xf>
    <xf numFmtId="170" fontId="53" fillId="0" borderId="0" xfId="0" applyNumberFormat="1" applyFont="1"/>
    <xf numFmtId="2" fontId="53" fillId="0" borderId="0" xfId="0" applyNumberFormat="1" applyFont="1"/>
    <xf numFmtId="0" fontId="0" fillId="0" borderId="0" xfId="0" applyFont="1" applyAlignment="1" applyProtection="1">
      <alignment horizontal="left" vertical="top"/>
      <protection locked="0"/>
    </xf>
    <xf numFmtId="0" fontId="0" fillId="0" borderId="0" xfId="0" applyAlignment="1" applyProtection="1">
      <alignment horizontal="left" vertical="top"/>
      <protection locked="0"/>
    </xf>
    <xf numFmtId="0" fontId="66" fillId="0" borderId="0" xfId="0" applyFont="1" applyAlignment="1" applyProtection="1">
      <alignment horizontal="left"/>
      <protection/>
    </xf>
    <xf numFmtId="0" fontId="81" fillId="0" borderId="0" xfId="0" applyFont="1" applyAlignment="1" applyProtection="1">
      <alignment horizontal="left" vertical="top"/>
      <protection locked="0"/>
    </xf>
    <xf numFmtId="0" fontId="66" fillId="0" borderId="0" xfId="0" applyFont="1" applyAlignment="1" applyProtection="1">
      <alignment horizontal="left" vertical="center"/>
      <protection/>
    </xf>
    <xf numFmtId="0" fontId="36" fillId="0" borderId="0" xfId="0" applyFont="1" applyAlignment="1" applyProtection="1">
      <alignment horizontal="left"/>
      <protection/>
    </xf>
    <xf numFmtId="0" fontId="82" fillId="0" borderId="0" xfId="0" applyFont="1" applyAlignment="1" applyProtection="1">
      <alignment horizontal="left"/>
      <protection/>
    </xf>
    <xf numFmtId="0" fontId="33" fillId="0" borderId="0" xfId="0" applyFont="1" applyAlignment="1" applyProtection="1">
      <alignment horizontal="left"/>
      <protection/>
    </xf>
    <xf numFmtId="0" fontId="33" fillId="0" borderId="0" xfId="0" applyFont="1" applyAlignment="1" applyProtection="1">
      <alignment horizontal="left" vertical="top" wrapText="1"/>
      <protection/>
    </xf>
    <xf numFmtId="171" fontId="83" fillId="0" borderId="0" xfId="0" applyNumberFormat="1" applyFont="1" applyAlignment="1" applyProtection="1">
      <alignment horizontal="right" vertical="top"/>
      <protection locked="0"/>
    </xf>
    <xf numFmtId="172" fontId="33" fillId="0" borderId="0" xfId="0" applyNumberFormat="1" applyFont="1" applyAlignment="1" applyProtection="1">
      <alignment horizontal="right" vertical="top"/>
      <protection/>
    </xf>
    <xf numFmtId="0" fontId="36" fillId="4" borderId="14" xfId="0" applyFont="1" applyFill="1" applyBorder="1" applyAlignment="1" applyProtection="1">
      <alignment horizontal="center" vertical="center" wrapText="1"/>
      <protection/>
    </xf>
    <xf numFmtId="0" fontId="36" fillId="4" borderId="14" xfId="0" applyFont="1" applyFill="1" applyBorder="1" applyAlignment="1" applyProtection="1">
      <alignment horizontal="center" vertical="center" wrapText="1"/>
      <protection locked="0"/>
    </xf>
    <xf numFmtId="0" fontId="84" fillId="4" borderId="14" xfId="0" applyFont="1" applyFill="1" applyBorder="1" applyAlignment="1" applyProtection="1">
      <alignment horizontal="center" vertical="center" wrapText="1"/>
      <protection locked="0"/>
    </xf>
    <xf numFmtId="173" fontId="85" fillId="0" borderId="0" xfId="0" applyNumberFormat="1" applyFont="1" applyAlignment="1" applyProtection="1">
      <alignment horizontal="right"/>
      <protection locked="0"/>
    </xf>
    <xf numFmtId="0" fontId="85" fillId="0" borderId="0" xfId="0" applyFont="1" applyAlignment="1" applyProtection="1">
      <alignment horizontal="left" wrapText="1"/>
      <protection locked="0"/>
    </xf>
    <xf numFmtId="171" fontId="85" fillId="0" borderId="0" xfId="0" applyNumberFormat="1" applyFont="1" applyAlignment="1" applyProtection="1">
      <alignment horizontal="right"/>
      <protection locked="0"/>
    </xf>
    <xf numFmtId="172" fontId="85" fillId="0" borderId="0" xfId="0" applyNumberFormat="1" applyFont="1" applyAlignment="1" applyProtection="1">
      <alignment horizontal="right"/>
      <protection locked="0"/>
    </xf>
    <xf numFmtId="173" fontId="86" fillId="0" borderId="0" xfId="0" applyNumberFormat="1" applyFont="1" applyAlignment="1" applyProtection="1">
      <alignment horizontal="right"/>
      <protection locked="0"/>
    </xf>
    <xf numFmtId="0" fontId="86" fillId="0" borderId="0" xfId="0" applyFont="1" applyAlignment="1" applyProtection="1">
      <alignment horizontal="left" wrapText="1"/>
      <protection locked="0"/>
    </xf>
    <xf numFmtId="171" fontId="86" fillId="0" borderId="0" xfId="0" applyNumberFormat="1" applyFont="1" applyAlignment="1" applyProtection="1">
      <alignment horizontal="right"/>
      <protection locked="0"/>
    </xf>
    <xf numFmtId="172" fontId="86" fillId="0" borderId="0" xfId="0" applyNumberFormat="1" applyFont="1" applyAlignment="1" applyProtection="1">
      <alignment horizontal="right"/>
      <protection locked="0"/>
    </xf>
    <xf numFmtId="173" fontId="36" fillId="0" borderId="14" xfId="0" applyNumberFormat="1" applyFont="1" applyBorder="1" applyAlignment="1" applyProtection="1">
      <alignment horizontal="right"/>
      <protection locked="0"/>
    </xf>
    <xf numFmtId="0" fontId="36" fillId="0" borderId="14" xfId="0" applyFont="1" applyBorder="1" applyAlignment="1" applyProtection="1">
      <alignment horizontal="left" wrapText="1"/>
      <protection locked="0"/>
    </xf>
    <xf numFmtId="171" fontId="36" fillId="0" borderId="14" xfId="0" applyNumberFormat="1" applyFont="1" applyBorder="1" applyAlignment="1" applyProtection="1">
      <alignment horizontal="right"/>
      <protection locked="0"/>
    </xf>
    <xf numFmtId="172" fontId="36" fillId="0" borderId="14" xfId="0" applyNumberFormat="1" applyFont="1" applyBorder="1" applyAlignment="1" applyProtection="1">
      <alignment horizontal="right"/>
      <protection locked="0"/>
    </xf>
    <xf numFmtId="173" fontId="87" fillId="0" borderId="0" xfId="0" applyNumberFormat="1" applyFont="1" applyAlignment="1" applyProtection="1">
      <alignment horizontal="right"/>
      <protection locked="0"/>
    </xf>
    <xf numFmtId="0" fontId="87" fillId="0" borderId="0" xfId="0" applyFont="1" applyAlignment="1" applyProtection="1">
      <alignment horizontal="left" wrapText="1"/>
      <protection locked="0"/>
    </xf>
    <xf numFmtId="171" fontId="87" fillId="0" borderId="0" xfId="0" applyNumberFormat="1" applyFont="1" applyAlignment="1" applyProtection="1">
      <alignment horizontal="right"/>
      <protection locked="0"/>
    </xf>
    <xf numFmtId="172" fontId="87" fillId="0" borderId="0" xfId="0" applyNumberFormat="1" applyFont="1" applyAlignment="1" applyProtection="1">
      <alignment horizontal="right"/>
      <protection locked="0"/>
    </xf>
    <xf numFmtId="173" fontId="88" fillId="0" borderId="15" xfId="0" applyNumberFormat="1" applyFont="1" applyBorder="1" applyAlignment="1" applyProtection="1">
      <alignment horizontal="right"/>
      <protection locked="0"/>
    </xf>
    <xf numFmtId="0" fontId="88" fillId="0" borderId="15" xfId="0" applyFont="1" applyBorder="1" applyAlignment="1" applyProtection="1">
      <alignment horizontal="left" wrapText="1"/>
      <protection locked="0"/>
    </xf>
    <xf numFmtId="0" fontId="36" fillId="0" borderId="15" xfId="0" applyFont="1" applyBorder="1" applyAlignment="1" applyProtection="1">
      <alignment wrapText="1"/>
      <protection locked="0"/>
    </xf>
    <xf numFmtId="171" fontId="88" fillId="0" borderId="15" xfId="0" applyNumberFormat="1" applyFont="1" applyBorder="1" applyAlignment="1" applyProtection="1">
      <alignment horizontal="right"/>
      <protection locked="0"/>
    </xf>
    <xf numFmtId="172" fontId="88" fillId="0" borderId="15" xfId="0" applyNumberFormat="1" applyFont="1" applyBorder="1" applyAlignment="1" applyProtection="1">
      <alignment horizontal="right"/>
      <protection locked="0"/>
    </xf>
    <xf numFmtId="0" fontId="88" fillId="0" borderId="0" xfId="0" applyFont="1" applyAlignment="1" applyProtection="1">
      <alignment horizontal="left" wrapText="1"/>
      <protection locked="0"/>
    </xf>
    <xf numFmtId="173" fontId="88" fillId="0" borderId="0" xfId="0" applyNumberFormat="1" applyFont="1" applyAlignment="1" applyProtection="1">
      <alignment horizontal="right"/>
      <protection locked="0"/>
    </xf>
    <xf numFmtId="171" fontId="88" fillId="0" borderId="0" xfId="0" applyNumberFormat="1" applyFont="1" applyAlignment="1" applyProtection="1">
      <alignment horizontal="right"/>
      <protection locked="0"/>
    </xf>
    <xf numFmtId="172" fontId="88" fillId="0" borderId="0" xfId="0" applyNumberFormat="1" applyFont="1" applyAlignment="1" applyProtection="1">
      <alignment horizontal="right"/>
      <protection locked="0"/>
    </xf>
    <xf numFmtId="173" fontId="89" fillId="0" borderId="0" xfId="0" applyNumberFormat="1" applyFont="1" applyAlignment="1" applyProtection="1">
      <alignment horizontal="right"/>
      <protection locked="0"/>
    </xf>
    <xf numFmtId="0" fontId="89" fillId="0" borderId="0" xfId="0" applyFont="1" applyAlignment="1" applyProtection="1">
      <alignment horizontal="left" wrapText="1"/>
      <protection locked="0"/>
    </xf>
    <xf numFmtId="171" fontId="89" fillId="0" borderId="0" xfId="0" applyNumberFormat="1" applyFont="1" applyAlignment="1" applyProtection="1">
      <alignment horizontal="right"/>
      <protection locked="0"/>
    </xf>
    <xf numFmtId="172" fontId="89" fillId="0" borderId="0" xfId="0" applyNumberFormat="1" applyFont="1" applyAlignment="1" applyProtection="1">
      <alignment horizontal="right"/>
      <protection locked="0"/>
    </xf>
    <xf numFmtId="173" fontId="0" fillId="0" borderId="0" xfId="0" applyNumberFormat="1" applyAlignment="1" applyProtection="1">
      <alignment horizontal="right" vertical="top"/>
      <protection locked="0"/>
    </xf>
    <xf numFmtId="0" fontId="0" fillId="0" borderId="0" xfId="0" applyAlignment="1" applyProtection="1">
      <alignment horizontal="left" vertical="top" wrapText="1"/>
      <protection locked="0"/>
    </xf>
    <xf numFmtId="171" fontId="0" fillId="0" borderId="0" xfId="0" applyNumberFormat="1" applyAlignment="1" applyProtection="1">
      <alignment horizontal="right" vertical="top"/>
      <protection locked="0"/>
    </xf>
    <xf numFmtId="172" fontId="0" fillId="0" borderId="0" xfId="0" applyNumberFormat="1" applyAlignment="1" applyProtection="1">
      <alignment horizontal="right" vertical="top"/>
      <protection locked="0"/>
    </xf>
    <xf numFmtId="164" fontId="21" fillId="0" borderId="0" xfId="0" applyNumberFormat="1" applyFont="1" applyAlignment="1">
      <alignment horizontal="right"/>
    </xf>
    <xf numFmtId="0" fontId="17" fillId="0" borderId="0" xfId="0" applyFont="1" applyAlignment="1">
      <alignment horizontal="center" wrapText="1"/>
    </xf>
    <xf numFmtId="0" fontId="45" fillId="0" borderId="0" xfId="0" applyFont="1" applyAlignment="1">
      <alignment horizontal="center"/>
    </xf>
    <xf numFmtId="49" fontId="46" fillId="0" borderId="0" xfId="0" applyNumberFormat="1" applyFont="1" applyAlignment="1">
      <alignment horizontal="left"/>
    </xf>
    <xf numFmtId="0" fontId="62" fillId="0" borderId="0" xfId="0" applyFont="1" applyAlignment="1">
      <alignment horizontal="justify" vertical="justify" wrapText="1" shrinkToFit="1"/>
    </xf>
    <xf numFmtId="0" fontId="37" fillId="0" borderId="0" xfId="0" applyFont="1" applyAlignment="1">
      <alignment horizontal="center"/>
    </xf>
    <xf numFmtId="0" fontId="0" fillId="0" borderId="0" xfId="0" applyAlignment="1">
      <alignment horizontal="center"/>
    </xf>
    <xf numFmtId="0" fontId="54" fillId="0" borderId="0" xfId="0" applyFont="1" applyAlignment="1">
      <alignment horizontal="center"/>
    </xf>
    <xf numFmtId="0" fontId="80" fillId="0" borderId="0" xfId="0" applyFont="1" applyAlignment="1" applyProtection="1">
      <alignment horizontal="center" vertical="center"/>
      <protection/>
    </xf>
    <xf numFmtId="0" fontId="80" fillId="0" borderId="0" xfId="0" applyFont="1" applyAlignment="1" applyProtection="1">
      <alignment horizontal="center" vertical="center"/>
      <protection locked="0"/>
    </xf>
    <xf numFmtId="164" fontId="31" fillId="5" borderId="6" xfId="0" applyNumberFormat="1" applyFont="1" applyFill="1" applyBorder="1" applyAlignment="1">
      <alignment horizontal="right" vertical="top"/>
    </xf>
    <xf numFmtId="49" fontId="32" fillId="5" borderId="6" xfId="0" applyNumberFormat="1" applyFont="1" applyFill="1" applyBorder="1" applyAlignment="1">
      <alignment horizontal="center" vertical="top"/>
    </xf>
    <xf numFmtId="49" fontId="32" fillId="5" borderId="6" xfId="0" applyNumberFormat="1" applyFont="1" applyFill="1" applyBorder="1" applyAlignment="1">
      <alignment horizontal="left" vertical="top"/>
    </xf>
    <xf numFmtId="0" fontId="32" fillId="5" borderId="6" xfId="0" applyNumberFormat="1" applyFont="1" applyFill="1" applyBorder="1" applyAlignment="1">
      <alignment horizontal="left" vertical="top" wrapText="1"/>
    </xf>
    <xf numFmtId="166" fontId="33" fillId="5" borderId="6" xfId="0" applyNumberFormat="1" applyFont="1" applyFill="1" applyBorder="1" applyAlignment="1">
      <alignment horizontal="right" vertical="top"/>
    </xf>
    <xf numFmtId="168" fontId="32" fillId="5" borderId="6" xfId="0" applyNumberFormat="1" applyFont="1" applyFill="1" applyBorder="1" applyAlignment="1">
      <alignment horizontal="right" vertical="top"/>
    </xf>
    <xf numFmtId="166" fontId="34" fillId="5" borderId="6" xfId="0" applyNumberFormat="1" applyFont="1" applyFill="1" applyBorder="1" applyAlignment="1">
      <alignment horizontal="right" vertical="top"/>
    </xf>
    <xf numFmtId="167" fontId="32" fillId="5" borderId="6" xfId="0" applyNumberFormat="1" applyFont="1" applyFill="1" applyBorder="1" applyAlignment="1">
      <alignment horizontal="right" vertical="top"/>
    </xf>
    <xf numFmtId="165" fontId="32" fillId="5" borderId="6" xfId="0" applyNumberFormat="1" applyFont="1" applyFill="1" applyBorder="1" applyAlignment="1">
      <alignment horizontal="right" vertical="top"/>
    </xf>
  </cellXfs>
  <cellStyles count="8">
    <cellStyle name="Normal" xfId="0"/>
    <cellStyle name="Percent" xfId="15"/>
    <cellStyle name="Currency" xfId="16"/>
    <cellStyle name="Currency [0]" xfId="17"/>
    <cellStyle name="Comma" xfId="18"/>
    <cellStyle name="Comma [0]" xfId="19"/>
    <cellStyle name="normální 13" xfId="20"/>
    <cellStyle name="normální_POL.XLS"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371475</xdr:colOff>
      <xdr:row>73</xdr:row>
      <xdr:rowOff>38100</xdr:rowOff>
    </xdr:from>
    <xdr:to>
      <xdr:col>5</xdr:col>
      <xdr:colOff>171450</xdr:colOff>
      <xdr:row>74</xdr:row>
      <xdr:rowOff>28575</xdr:rowOff>
    </xdr:to>
    <xdr:pic>
      <xdr:nvPicPr>
        <xdr:cNvPr id="2" name="Picture 8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28775" y="14373225"/>
          <a:ext cx="2438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161925</xdr:colOff>
      <xdr:row>73</xdr:row>
      <xdr:rowOff>123825</xdr:rowOff>
    </xdr:from>
    <xdr:to>
      <xdr:col>4</xdr:col>
      <xdr:colOff>438150</xdr:colOff>
      <xdr:row>74</xdr:row>
      <xdr:rowOff>47625</xdr:rowOff>
    </xdr:to>
    <xdr:pic>
      <xdr:nvPicPr>
        <xdr:cNvPr id="3" name="Picture 80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028825" y="14458950"/>
          <a:ext cx="1285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247650</xdr:colOff>
      <xdr:row>92</xdr:row>
      <xdr:rowOff>0</xdr:rowOff>
    </xdr:from>
    <xdr:to>
      <xdr:col>4</xdr:col>
      <xdr:colOff>533400</xdr:colOff>
      <xdr:row>92</xdr:row>
      <xdr:rowOff>133350</xdr:rowOff>
    </xdr:to>
    <xdr:pic>
      <xdr:nvPicPr>
        <xdr:cNvPr id="5" name="Picture 807"/>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114550" y="18316575"/>
          <a:ext cx="12954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314325</xdr:colOff>
      <xdr:row>110</xdr:row>
      <xdr:rowOff>0</xdr:rowOff>
    </xdr:from>
    <xdr:to>
      <xdr:col>8</xdr:col>
      <xdr:colOff>180975</xdr:colOff>
      <xdr:row>110</xdr:row>
      <xdr:rowOff>133350</xdr:rowOff>
    </xdr:to>
    <xdr:pic>
      <xdr:nvPicPr>
        <xdr:cNvPr id="7" name="Picture 81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895850" y="22088475"/>
          <a:ext cx="12763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9525</xdr:colOff>
      <xdr:row>73</xdr:row>
      <xdr:rowOff>142875</xdr:rowOff>
    </xdr:from>
    <xdr:to>
      <xdr:col>3</xdr:col>
      <xdr:colOff>1009650</xdr:colOff>
      <xdr:row>75</xdr:row>
      <xdr:rowOff>133350</xdr:rowOff>
    </xdr:to>
    <xdr:pic>
      <xdr:nvPicPr>
        <xdr:cNvPr id="8" name="Picture 826"/>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1876425" y="14478000"/>
          <a:ext cx="10001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371475</xdr:colOff>
      <xdr:row>73</xdr:row>
      <xdr:rowOff>38100</xdr:rowOff>
    </xdr:from>
    <xdr:to>
      <xdr:col>5</xdr:col>
      <xdr:colOff>276225</xdr:colOff>
      <xdr:row>74</xdr:row>
      <xdr:rowOff>38100</xdr:rowOff>
    </xdr:to>
    <xdr:pic>
      <xdr:nvPicPr>
        <xdr:cNvPr id="2" name="Picture 8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62100" y="13668375"/>
          <a:ext cx="2438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161925</xdr:colOff>
      <xdr:row>73</xdr:row>
      <xdr:rowOff>123825</xdr:rowOff>
    </xdr:from>
    <xdr:to>
      <xdr:col>4</xdr:col>
      <xdr:colOff>438150</xdr:colOff>
      <xdr:row>74</xdr:row>
      <xdr:rowOff>57150</xdr:rowOff>
    </xdr:to>
    <xdr:pic>
      <xdr:nvPicPr>
        <xdr:cNvPr id="3" name="Picture 80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962150" y="13754100"/>
          <a:ext cx="1285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419100</xdr:colOff>
      <xdr:row>78</xdr:row>
      <xdr:rowOff>180975</xdr:rowOff>
    </xdr:from>
    <xdr:to>
      <xdr:col>8</xdr:col>
      <xdr:colOff>314325</xdr:colOff>
      <xdr:row>79</xdr:row>
      <xdr:rowOff>114300</xdr:rowOff>
    </xdr:to>
    <xdr:pic>
      <xdr:nvPicPr>
        <xdr:cNvPr id="4" name="Picture 80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819650" y="14801850"/>
          <a:ext cx="1285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247650</xdr:colOff>
      <xdr:row>92</xdr:row>
      <xdr:rowOff>0</xdr:rowOff>
    </xdr:from>
    <xdr:to>
      <xdr:col>4</xdr:col>
      <xdr:colOff>523875</xdr:colOff>
      <xdr:row>92</xdr:row>
      <xdr:rowOff>133350</xdr:rowOff>
    </xdr:to>
    <xdr:pic>
      <xdr:nvPicPr>
        <xdr:cNvPr id="5" name="Picture 807"/>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047875" y="17421225"/>
          <a:ext cx="1285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361950</xdr:colOff>
      <xdr:row>79</xdr:row>
      <xdr:rowOff>38100</xdr:rowOff>
    </xdr:from>
    <xdr:to>
      <xdr:col>8</xdr:col>
      <xdr:colOff>257175</xdr:colOff>
      <xdr:row>79</xdr:row>
      <xdr:rowOff>171450</xdr:rowOff>
    </xdr:to>
    <xdr:pic>
      <xdr:nvPicPr>
        <xdr:cNvPr id="6" name="Picture 809"/>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762500" y="14859000"/>
          <a:ext cx="1285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314325</xdr:colOff>
      <xdr:row>110</xdr:row>
      <xdr:rowOff>0</xdr:rowOff>
    </xdr:from>
    <xdr:to>
      <xdr:col>8</xdr:col>
      <xdr:colOff>209550</xdr:colOff>
      <xdr:row>110</xdr:row>
      <xdr:rowOff>133350</xdr:rowOff>
    </xdr:to>
    <xdr:pic>
      <xdr:nvPicPr>
        <xdr:cNvPr id="7" name="Picture 81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714875" y="21012150"/>
          <a:ext cx="1285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159</xdr:row>
      <xdr:rowOff>38100</xdr:rowOff>
    </xdr:from>
    <xdr:to>
      <xdr:col>5</xdr:col>
      <xdr:colOff>0</xdr:colOff>
      <xdr:row>168</xdr:row>
      <xdr:rowOff>76200</xdr:rowOff>
    </xdr:to>
    <xdr:pic>
      <xdr:nvPicPr>
        <xdr:cNvPr id="8" name="Picture 812"/>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81025" y="30508575"/>
          <a:ext cx="314325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166</xdr:row>
      <xdr:rowOff>142875</xdr:rowOff>
    </xdr:from>
    <xdr:to>
      <xdr:col>5</xdr:col>
      <xdr:colOff>247650</xdr:colOff>
      <xdr:row>168</xdr:row>
      <xdr:rowOff>28575</xdr:rowOff>
    </xdr:to>
    <xdr:pic>
      <xdr:nvPicPr>
        <xdr:cNvPr id="9" name="Picture 813"/>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81025" y="31946850"/>
          <a:ext cx="33909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171450</xdr:colOff>
      <xdr:row>160</xdr:row>
      <xdr:rowOff>57150</xdr:rowOff>
    </xdr:from>
    <xdr:to>
      <xdr:col>5</xdr:col>
      <xdr:colOff>590550</xdr:colOff>
      <xdr:row>162</xdr:row>
      <xdr:rowOff>19050</xdr:rowOff>
    </xdr:to>
    <xdr:pic>
      <xdr:nvPicPr>
        <xdr:cNvPr id="10" name="Picture 814"/>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3895725" y="30718125"/>
          <a:ext cx="4191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581025</xdr:colOff>
      <xdr:row>175</xdr:row>
      <xdr:rowOff>95250</xdr:rowOff>
    </xdr:from>
    <xdr:to>
      <xdr:col>5</xdr:col>
      <xdr:colOff>0</xdr:colOff>
      <xdr:row>184</xdr:row>
      <xdr:rowOff>133350</xdr:rowOff>
    </xdr:to>
    <xdr:pic>
      <xdr:nvPicPr>
        <xdr:cNvPr id="11" name="Picture 815"/>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81025" y="33613725"/>
          <a:ext cx="314325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581025</xdr:colOff>
      <xdr:row>183</xdr:row>
      <xdr:rowOff>9525</xdr:rowOff>
    </xdr:from>
    <xdr:to>
      <xdr:col>5</xdr:col>
      <xdr:colOff>238125</xdr:colOff>
      <xdr:row>184</xdr:row>
      <xdr:rowOff>85725</xdr:rowOff>
    </xdr:to>
    <xdr:pic>
      <xdr:nvPicPr>
        <xdr:cNvPr id="12" name="Picture 816"/>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81025" y="35052000"/>
          <a:ext cx="33813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171450</xdr:colOff>
      <xdr:row>177</xdr:row>
      <xdr:rowOff>95250</xdr:rowOff>
    </xdr:from>
    <xdr:to>
      <xdr:col>5</xdr:col>
      <xdr:colOff>590550</xdr:colOff>
      <xdr:row>179</xdr:row>
      <xdr:rowOff>57150</xdr:rowOff>
    </xdr:to>
    <xdr:pic>
      <xdr:nvPicPr>
        <xdr:cNvPr id="13" name="Picture 817"/>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3895725" y="33994725"/>
          <a:ext cx="4191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192</xdr:row>
      <xdr:rowOff>47625</xdr:rowOff>
    </xdr:from>
    <xdr:to>
      <xdr:col>2</xdr:col>
      <xdr:colOff>504825</xdr:colOff>
      <xdr:row>197</xdr:row>
      <xdr:rowOff>57150</xdr:rowOff>
    </xdr:to>
    <xdr:pic>
      <xdr:nvPicPr>
        <xdr:cNvPr id="14" name="Picture 198"/>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590550" y="36804600"/>
          <a:ext cx="11049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533400</xdr:colOff>
      <xdr:row>192</xdr:row>
      <xdr:rowOff>0</xdr:rowOff>
    </xdr:from>
    <xdr:to>
      <xdr:col>4</xdr:col>
      <xdr:colOff>542925</xdr:colOff>
      <xdr:row>198</xdr:row>
      <xdr:rowOff>57150</xdr:rowOff>
    </xdr:to>
    <xdr:pic>
      <xdr:nvPicPr>
        <xdr:cNvPr id="15" name="Picture 199"/>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1724025" y="36756975"/>
          <a:ext cx="16287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50</xdr:row>
      <xdr:rowOff>104775</xdr:rowOff>
    </xdr:from>
    <xdr:to>
      <xdr:col>7</xdr:col>
      <xdr:colOff>438150</xdr:colOff>
      <xdr:row>76</xdr:row>
      <xdr:rowOff>114300</xdr:rowOff>
    </xdr:to>
    <xdr:pic>
      <xdr:nvPicPr>
        <xdr:cNvPr id="16" name="Picture 823"/>
        <xdr:cNvPicPr preferRelativeResize="1">
          <a:picLocks noChangeAspect="1"/>
        </xdr:cNvPicPr>
      </xdr:nvPicPr>
      <xdr:blipFill>
        <a:blip r:embed="rId8">
          <a:extLst>
            <a:ext uri="{28A0092B-C50C-407E-A947-70E740481C1C}">
              <a14:useLocalDpi xmlns:a14="http://schemas.microsoft.com/office/drawing/2010/main" val="0"/>
            </a:ext>
          </a:extLst>
        </a:blip>
        <a:srcRect t="3837"/>
        <a:stretch>
          <a:fillRect/>
        </a:stretch>
      </xdr:blipFill>
      <xdr:spPr bwMode="auto">
        <a:xfrm>
          <a:off x="0" y="9134475"/>
          <a:ext cx="5610225" cy="521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80</xdr:row>
      <xdr:rowOff>28575</xdr:rowOff>
    </xdr:from>
    <xdr:to>
      <xdr:col>7</xdr:col>
      <xdr:colOff>552450</xdr:colOff>
      <xdr:row>103</xdr:row>
      <xdr:rowOff>85725</xdr:rowOff>
    </xdr:to>
    <xdr:pic>
      <xdr:nvPicPr>
        <xdr:cNvPr id="17" name="Picture 824"/>
        <xdr:cNvPicPr preferRelativeResize="1">
          <a:picLocks noChangeAspect="1"/>
        </xdr:cNvPicPr>
      </xdr:nvPicPr>
      <xdr:blipFill>
        <a:blip r:embed="rId9">
          <a:extLst>
            <a:ext uri="{28A0092B-C50C-407E-A947-70E740481C1C}">
              <a14:useLocalDpi xmlns:a14="http://schemas.microsoft.com/office/drawing/2010/main" val="0"/>
            </a:ext>
          </a:extLst>
        </a:blip>
        <a:stretch>
          <a:fillRect/>
        </a:stretch>
      </xdr:blipFill>
      <xdr:spPr bwMode="auto">
        <a:xfrm>
          <a:off x="0" y="15049500"/>
          <a:ext cx="5724525" cy="465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304800</xdr:colOff>
      <xdr:row>105</xdr:row>
      <xdr:rowOff>114300</xdr:rowOff>
    </xdr:from>
    <xdr:to>
      <xdr:col>7</xdr:col>
      <xdr:colOff>238125</xdr:colOff>
      <xdr:row>122</xdr:row>
      <xdr:rowOff>133350</xdr:rowOff>
    </xdr:to>
    <xdr:pic>
      <xdr:nvPicPr>
        <xdr:cNvPr id="18" name="Picture 825"/>
        <xdr:cNvPicPr preferRelativeResize="1">
          <a:picLocks noChangeAspect="1"/>
        </xdr:cNvPicPr>
      </xdr:nvPicPr>
      <xdr:blipFill>
        <a:blip r:embed="rId10">
          <a:extLst>
            <a:ext uri="{28A0092B-C50C-407E-A947-70E740481C1C}">
              <a14:useLocalDpi xmlns:a14="http://schemas.microsoft.com/office/drawing/2010/main" val="0"/>
            </a:ext>
          </a:extLst>
        </a:blip>
        <a:stretch>
          <a:fillRect/>
        </a:stretch>
      </xdr:blipFill>
      <xdr:spPr bwMode="auto">
        <a:xfrm>
          <a:off x="304800" y="20126325"/>
          <a:ext cx="5105400" cy="341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9525</xdr:colOff>
      <xdr:row>73</xdr:row>
      <xdr:rowOff>142875</xdr:rowOff>
    </xdr:from>
    <xdr:to>
      <xdr:col>3</xdr:col>
      <xdr:colOff>1009650</xdr:colOff>
      <xdr:row>75</xdr:row>
      <xdr:rowOff>152400</xdr:rowOff>
    </xdr:to>
    <xdr:pic>
      <xdr:nvPicPr>
        <xdr:cNvPr id="19" name="Picture 826"/>
        <xdr:cNvPicPr preferRelativeResize="1">
          <a:picLocks noChangeAspect="1"/>
        </xdr:cNvPicPr>
      </xdr:nvPicPr>
      <xdr:blipFill>
        <a:blip r:embed="rId11">
          <a:extLst>
            <a:ext uri="{28A0092B-C50C-407E-A947-70E740481C1C}">
              <a14:useLocalDpi xmlns:a14="http://schemas.microsoft.com/office/drawing/2010/main" val="0"/>
            </a:ext>
          </a:extLst>
        </a:blip>
        <a:stretch>
          <a:fillRect/>
        </a:stretch>
      </xdr:blipFill>
      <xdr:spPr bwMode="auto">
        <a:xfrm>
          <a:off x="1809750" y="13773150"/>
          <a:ext cx="10001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HB_Gynekologie_rozpo&#269;et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i list"/>
      <sheetName val="Rekapitulace"/>
      <sheetName val="Zakazka"/>
      <sheetName val="VZT"/>
    </sheetNames>
    <sheetDataSet>
      <sheetData sheetId="0" refreshError="1"/>
      <sheetData sheetId="1" refreshError="1"/>
      <sheetData sheetId="2">
        <row r="5">
          <cell r="I5" t="str">
            <v>Stavební objekt SO 03 (Gynekologie)</v>
          </cell>
        </row>
        <row r="7">
          <cell r="I7" t="str">
            <v>003: Svislé konstrukce</v>
          </cell>
        </row>
        <row r="27">
          <cell r="I27" t="str">
            <v>006: Úpravy povrchu</v>
          </cell>
        </row>
        <row r="42">
          <cell r="I42" t="str">
            <v>009: Ostatní konstrukce a práce</v>
          </cell>
        </row>
        <row r="109">
          <cell r="I109" t="str">
            <v>021: Silnoproud</v>
          </cell>
        </row>
        <row r="287">
          <cell r="I287" t="str">
            <v>099: Přesun hmot HSV</v>
          </cell>
        </row>
        <row r="298">
          <cell r="I298" t="str">
            <v>721: Vnitřní kanalizace</v>
          </cell>
        </row>
        <row r="326">
          <cell r="I326" t="str">
            <v>722: Vnitřní vodovod</v>
          </cell>
        </row>
        <row r="585">
          <cell r="I585" t="str">
            <v>766: Konstrukce truhlářské</v>
          </cell>
        </row>
        <row r="621">
          <cell r="I621" t="str">
            <v>767: Konstrukce zámečnické</v>
          </cell>
        </row>
        <row r="659">
          <cell r="I659" t="str">
            <v>783: Nátěry</v>
          </cell>
        </row>
        <row r="663">
          <cell r="I663" t="str">
            <v>784: Malby</v>
          </cell>
        </row>
      </sheetData>
      <sheetData sheetId="3"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topLeftCell="A16">
      <selection activeCell="E11" sqref="E11"/>
    </sheetView>
  </sheetViews>
  <sheetFormatPr defaultColWidth="9.140625" defaultRowHeight="15"/>
  <cols>
    <col min="1" max="1" width="38.7109375" style="0" customWidth="1"/>
    <col min="2" max="2" width="15.7109375" style="0" customWidth="1"/>
    <col min="3" max="3" width="14.7109375" style="0" customWidth="1"/>
    <col min="4" max="4" width="18.28125" style="23" customWidth="1"/>
    <col min="5" max="5" width="15.7109375" style="19" customWidth="1"/>
    <col min="6" max="6" width="8.8515625" style="19" customWidth="1"/>
  </cols>
  <sheetData>
    <row r="1" spans="1:6" ht="45.6" customHeight="1">
      <c r="A1" s="302" t="s">
        <v>1584</v>
      </c>
      <c r="B1" s="302"/>
      <c r="C1" s="302"/>
      <c r="D1" s="302"/>
      <c r="E1" s="13"/>
      <c r="F1" s="14"/>
    </row>
    <row r="2" spans="1:6" ht="15.6">
      <c r="A2" s="31" t="s">
        <v>25</v>
      </c>
      <c r="B2" s="1"/>
      <c r="C2" s="2"/>
      <c r="D2" s="21"/>
      <c r="E2" s="13"/>
      <c r="F2" s="14"/>
    </row>
    <row r="3" spans="1:6" ht="16.2" customHeight="1">
      <c r="A3" s="301" t="s">
        <v>26</v>
      </c>
      <c r="B3" s="301"/>
      <c r="C3" s="301"/>
      <c r="D3" s="22"/>
      <c r="E3" s="15"/>
      <c r="F3" s="16"/>
    </row>
    <row r="4" spans="1:6" ht="15" thickBot="1">
      <c r="A4" s="24" t="s">
        <v>1</v>
      </c>
      <c r="B4" s="24" t="s">
        <v>23</v>
      </c>
      <c r="C4" s="32" t="s">
        <v>24</v>
      </c>
      <c r="D4" s="25" t="s">
        <v>22</v>
      </c>
      <c r="E4" s="10"/>
      <c r="F4" s="16"/>
    </row>
    <row r="5" spans="1:6" ht="15">
      <c r="A5" s="3"/>
      <c r="B5" s="4"/>
      <c r="C5" s="33"/>
      <c r="D5" s="26"/>
      <c r="E5" s="11"/>
      <c r="F5" s="17"/>
    </row>
    <row r="6" spans="1:6" ht="15">
      <c r="A6" s="5" t="str">
        <f>IF('[1]Zakazka'!$I$5=0,"",'[1]Zakazka'!$I$5)</f>
        <v>Stavební objekt SO 03 (Gynekologie)</v>
      </c>
      <c r="B6" s="6"/>
      <c r="C6" s="34"/>
      <c r="D6" s="26"/>
      <c r="E6" s="11"/>
      <c r="F6" s="17"/>
    </row>
    <row r="7" spans="1:6" ht="15">
      <c r="A7" s="5"/>
      <c r="B7" s="6"/>
      <c r="C7" s="34"/>
      <c r="D7" s="27"/>
      <c r="E7" s="12"/>
      <c r="F7" s="18"/>
    </row>
    <row r="8" spans="1:6" ht="15">
      <c r="A8" s="7" t="str">
        <f>IF('[1]Zakazka'!$I$7=0,"",'[1]Zakazka'!$I$7)</f>
        <v>003: Svislé konstrukce</v>
      </c>
      <c r="B8" s="8">
        <f>SO1!O7</f>
        <v>0</v>
      </c>
      <c r="C8" s="35">
        <f>SO2!O7</f>
        <v>0</v>
      </c>
      <c r="D8" s="27">
        <f>C8+B8</f>
        <v>0</v>
      </c>
      <c r="E8" s="12"/>
      <c r="F8" s="18"/>
    </row>
    <row r="9" spans="1:6" ht="15">
      <c r="A9" s="7" t="str">
        <f>IF('[1]Zakazka'!$I$27=0,"",'[1]Zakazka'!$I$27)</f>
        <v>006: Úpravy povrchu</v>
      </c>
      <c r="B9" s="8">
        <f>SO1!O27</f>
        <v>0</v>
      </c>
      <c r="C9" s="35">
        <f>SO2!O22</f>
        <v>0</v>
      </c>
      <c r="D9" s="27">
        <f aca="true" t="shared" si="0" ref="D9:D35">C9+B9</f>
        <v>0</v>
      </c>
      <c r="E9" s="12"/>
      <c r="F9" s="18"/>
    </row>
    <row r="10" spans="1:6" ht="15">
      <c r="A10" s="7" t="str">
        <f>IF('[1]Zakazka'!$I$42=0,"",'[1]Zakazka'!$I$42)</f>
        <v>009: Ostatní konstrukce a práce</v>
      </c>
      <c r="B10" s="8">
        <f>SO1!O42</f>
        <v>0</v>
      </c>
      <c r="C10" s="35">
        <f>SO2!O37</f>
        <v>0</v>
      </c>
      <c r="D10" s="27">
        <f t="shared" si="0"/>
        <v>0</v>
      </c>
      <c r="E10" s="12"/>
      <c r="F10" s="18"/>
    </row>
    <row r="11" spans="1:6" ht="15">
      <c r="A11" s="7" t="s">
        <v>3</v>
      </c>
      <c r="B11" s="8">
        <f>SO1!O88</f>
        <v>0</v>
      </c>
      <c r="C11" s="35"/>
      <c r="D11" s="27">
        <f t="shared" si="0"/>
        <v>0</v>
      </c>
      <c r="E11" s="12"/>
      <c r="F11" s="18"/>
    </row>
    <row r="12" spans="1:6" ht="15">
      <c r="A12" s="7" t="str">
        <f>IF('[1]Zakazka'!$I$109=0,"",'[1]Zakazka'!$I$109)</f>
        <v>021: Silnoproud</v>
      </c>
      <c r="B12" s="8">
        <f>SO1!O109</f>
        <v>0</v>
      </c>
      <c r="C12" s="35">
        <f>SO2!O68</f>
        <v>0</v>
      </c>
      <c r="D12" s="27">
        <f t="shared" si="0"/>
        <v>0</v>
      </c>
      <c r="E12" s="12"/>
      <c r="F12" s="18"/>
    </row>
    <row r="13" spans="1:6" ht="15">
      <c r="A13" s="7" t="s">
        <v>4</v>
      </c>
      <c r="B13" s="8">
        <f>SO1!O232</f>
        <v>0</v>
      </c>
      <c r="C13" s="35">
        <f>SO2!O143</f>
        <v>0</v>
      </c>
      <c r="D13" s="27">
        <f t="shared" si="0"/>
        <v>0</v>
      </c>
      <c r="E13" s="12"/>
      <c r="F13" s="18"/>
    </row>
    <row r="14" spans="1:6" ht="15">
      <c r="A14" s="7" t="s">
        <v>5</v>
      </c>
      <c r="B14" s="8">
        <f>SO1vzt!F24</f>
        <v>0</v>
      </c>
      <c r="C14" s="35">
        <f>SO2vzt!F21</f>
        <v>0</v>
      </c>
      <c r="D14" s="27">
        <f t="shared" si="0"/>
        <v>0</v>
      </c>
      <c r="E14" s="12"/>
      <c r="F14" s="18"/>
    </row>
    <row r="15" spans="1:6" ht="15">
      <c r="A15" s="7" t="str">
        <f>IF('[1]Zakazka'!$I$287=0,"",'[1]Zakazka'!$I$287)</f>
        <v>099: Přesun hmot HSV</v>
      </c>
      <c r="B15" s="8">
        <f>SO1!O287</f>
        <v>0</v>
      </c>
      <c r="C15" s="35">
        <f>SO2!O187</f>
        <v>0</v>
      </c>
      <c r="D15" s="27">
        <f t="shared" si="0"/>
        <v>0</v>
      </c>
      <c r="E15" s="12"/>
      <c r="F15" s="18"/>
    </row>
    <row r="16" spans="1:6" ht="15">
      <c r="A16" s="7" t="s">
        <v>21</v>
      </c>
      <c r="B16" s="8"/>
      <c r="C16" s="35">
        <f>SO2!O192</f>
        <v>0</v>
      </c>
      <c r="D16" s="27">
        <f t="shared" si="0"/>
        <v>0</v>
      </c>
      <c r="E16" s="12"/>
      <c r="F16" s="18"/>
    </row>
    <row r="17" spans="1:6" ht="15">
      <c r="A17" s="7" t="s">
        <v>6</v>
      </c>
      <c r="B17" s="8">
        <f>SO1!O292</f>
        <v>0</v>
      </c>
      <c r="C17" s="35">
        <f>SO2!O198</f>
        <v>0</v>
      </c>
      <c r="D17" s="27">
        <f t="shared" si="0"/>
        <v>0</v>
      </c>
      <c r="E17" s="12"/>
      <c r="F17" s="18"/>
    </row>
    <row r="18" spans="1:6" ht="15">
      <c r="A18" s="7" t="str">
        <f>IF('[1]Zakazka'!$I$298=0,"",'[1]Zakazka'!$I$298)</f>
        <v>721: Vnitřní kanalizace</v>
      </c>
      <c r="B18" s="8">
        <f>SO1!O298</f>
        <v>0</v>
      </c>
      <c r="C18" s="35">
        <f>SO2!O204</f>
        <v>0</v>
      </c>
      <c r="D18" s="27">
        <f t="shared" si="0"/>
        <v>0</v>
      </c>
      <c r="E18" s="12"/>
      <c r="F18" s="18"/>
    </row>
    <row r="19" spans="1:6" ht="15">
      <c r="A19" s="7" t="str">
        <f>IF('[1]Zakazka'!$I$326=0,"",'[1]Zakazka'!$I$326)</f>
        <v>722: Vnitřní vodovod</v>
      </c>
      <c r="B19" s="8">
        <f>SO1!O326</f>
        <v>0</v>
      </c>
      <c r="C19" s="35">
        <f>SO2!O226</f>
        <v>0</v>
      </c>
      <c r="D19" s="27">
        <f t="shared" si="0"/>
        <v>0</v>
      </c>
      <c r="E19" s="12"/>
      <c r="F19" s="18"/>
    </row>
    <row r="20" spans="1:6" ht="15">
      <c r="A20" s="7" t="s">
        <v>7</v>
      </c>
      <c r="B20" s="8">
        <f>SO1!O360</f>
        <v>0</v>
      </c>
      <c r="C20" s="35">
        <f>SO2!O261</f>
        <v>0</v>
      </c>
      <c r="D20" s="27">
        <f t="shared" si="0"/>
        <v>0</v>
      </c>
      <c r="E20" s="12"/>
      <c r="F20" s="18"/>
    </row>
    <row r="21" spans="1:6" ht="15">
      <c r="A21" s="7" t="s">
        <v>8</v>
      </c>
      <c r="B21" s="8">
        <f>SO1!O399</f>
        <v>0</v>
      </c>
      <c r="C21" s="35">
        <f>SO2!O286</f>
        <v>0</v>
      </c>
      <c r="D21" s="27">
        <f t="shared" si="0"/>
        <v>0</v>
      </c>
      <c r="E21" s="12"/>
      <c r="F21" s="18"/>
    </row>
    <row r="22" spans="1:6" ht="15">
      <c r="A22" s="7" t="s">
        <v>9</v>
      </c>
      <c r="B22" s="8">
        <f>SO1!O403</f>
        <v>0</v>
      </c>
      <c r="C22" s="35">
        <f>SO2!O290</f>
        <v>0</v>
      </c>
      <c r="D22" s="27">
        <f t="shared" si="0"/>
        <v>0</v>
      </c>
      <c r="E22" s="12"/>
      <c r="F22" s="18"/>
    </row>
    <row r="23" spans="1:6" ht="15">
      <c r="A23" s="7" t="s">
        <v>10</v>
      </c>
      <c r="B23" s="8">
        <f>SO1!O423</f>
        <v>0</v>
      </c>
      <c r="C23" s="35"/>
      <c r="D23" s="27">
        <f t="shared" si="0"/>
        <v>0</v>
      </c>
      <c r="E23" s="12"/>
      <c r="F23" s="18"/>
    </row>
    <row r="24" spans="1:6" ht="15">
      <c r="A24" s="7" t="s">
        <v>11</v>
      </c>
      <c r="B24" s="8">
        <f>SO1!O432</f>
        <v>0</v>
      </c>
      <c r="C24" s="35">
        <f>SO2!O299</f>
        <v>0</v>
      </c>
      <c r="D24" s="27">
        <f t="shared" si="0"/>
        <v>0</v>
      </c>
      <c r="E24" s="12"/>
      <c r="F24" s="18"/>
    </row>
    <row r="25" spans="1:6" ht="15">
      <c r="A25" s="7" t="s">
        <v>12</v>
      </c>
      <c r="B25" s="8">
        <f>SO1!O477</f>
        <v>0</v>
      </c>
      <c r="C25" s="35">
        <f>SO2!O346</f>
        <v>0</v>
      </c>
      <c r="D25" s="27">
        <f t="shared" si="0"/>
        <v>0</v>
      </c>
      <c r="E25" s="12"/>
      <c r="F25" s="18"/>
    </row>
    <row r="26" spans="1:6" ht="15">
      <c r="A26" s="7" t="s">
        <v>13</v>
      </c>
      <c r="B26" s="8">
        <f>SO1!O499</f>
        <v>0</v>
      </c>
      <c r="C26" s="35">
        <f>SO2!O362</f>
        <v>0</v>
      </c>
      <c r="D26" s="27">
        <f t="shared" si="0"/>
        <v>0</v>
      </c>
      <c r="E26" s="12"/>
      <c r="F26" s="18"/>
    </row>
    <row r="27" spans="1:6" ht="15">
      <c r="A27" s="7" t="s">
        <v>14</v>
      </c>
      <c r="B27" s="8">
        <f>SO1!O570</f>
        <v>0</v>
      </c>
      <c r="C27" s="35">
        <f>SO2!O401</f>
        <v>0</v>
      </c>
      <c r="D27" s="27">
        <f t="shared" si="0"/>
        <v>0</v>
      </c>
      <c r="E27" s="12"/>
      <c r="F27" s="18"/>
    </row>
    <row r="28" spans="1:6" ht="15">
      <c r="A28" s="7" t="s">
        <v>15</v>
      </c>
      <c r="B28" s="8">
        <f>SO1!O581</f>
        <v>0</v>
      </c>
      <c r="C28" s="35"/>
      <c r="D28" s="27">
        <f t="shared" si="0"/>
        <v>0</v>
      </c>
      <c r="E28" s="12"/>
      <c r="F28" s="18"/>
    </row>
    <row r="29" spans="1:6" ht="15">
      <c r="A29" s="7" t="str">
        <f>IF('[1]Zakazka'!$I$585=0,"",'[1]Zakazka'!$I$585)</f>
        <v>766: Konstrukce truhlářské</v>
      </c>
      <c r="B29" s="8">
        <f>SO1!O585</f>
        <v>0</v>
      </c>
      <c r="C29" s="35">
        <f>SO2!O412</f>
        <v>0</v>
      </c>
      <c r="D29" s="27">
        <f t="shared" si="0"/>
        <v>0</v>
      </c>
      <c r="E29" s="12"/>
      <c r="F29" s="18"/>
    </row>
    <row r="30" spans="1:6" ht="15">
      <c r="A30" s="7" t="str">
        <f>IF('[1]Zakazka'!$I$621=0,"",'[1]Zakazka'!$I$621)</f>
        <v>767: Konstrukce zámečnické</v>
      </c>
      <c r="B30" s="8">
        <f>SO1!O621</f>
        <v>0</v>
      </c>
      <c r="C30" s="35">
        <f>SO2!O447</f>
        <v>0</v>
      </c>
      <c r="D30" s="27">
        <f t="shared" si="0"/>
        <v>0</v>
      </c>
      <c r="E30" s="12"/>
      <c r="F30" s="18"/>
    </row>
    <row r="31" spans="1:6" ht="15">
      <c r="A31" s="7" t="s">
        <v>16</v>
      </c>
      <c r="B31" s="8">
        <f>SO1!O631</f>
        <v>0</v>
      </c>
      <c r="C31" s="35">
        <f>SO2!O454</f>
        <v>0</v>
      </c>
      <c r="D31" s="27">
        <f t="shared" si="0"/>
        <v>0</v>
      </c>
      <c r="E31" s="12"/>
      <c r="F31" s="18"/>
    </row>
    <row r="32" spans="1:6" ht="15">
      <c r="A32" s="7" t="s">
        <v>17</v>
      </c>
      <c r="B32" s="8">
        <f>SO1!O636</f>
        <v>0</v>
      </c>
      <c r="C32" s="35">
        <f>SO2!O462</f>
        <v>0</v>
      </c>
      <c r="D32" s="27">
        <f t="shared" si="0"/>
        <v>0</v>
      </c>
      <c r="E32" s="12"/>
      <c r="F32" s="18"/>
    </row>
    <row r="33" spans="1:6" ht="15">
      <c r="A33" s="7" t="s">
        <v>18</v>
      </c>
      <c r="B33" s="8">
        <f>SO1!O655</f>
        <v>0</v>
      </c>
      <c r="C33" s="35">
        <f>SO2!O473</f>
        <v>0</v>
      </c>
      <c r="D33" s="27">
        <f t="shared" si="0"/>
        <v>0</v>
      </c>
      <c r="E33" s="12"/>
      <c r="F33" s="18"/>
    </row>
    <row r="34" spans="1:6" ht="15">
      <c r="A34" s="7" t="str">
        <f>IF('[1]Zakazka'!$I$659=0,"",'[1]Zakazka'!$I$659)</f>
        <v>783: Nátěry</v>
      </c>
      <c r="B34" s="8">
        <f>SO1!O659</f>
        <v>0</v>
      </c>
      <c r="C34" s="35">
        <f>SO2!O483</f>
        <v>0</v>
      </c>
      <c r="D34" s="27">
        <f t="shared" si="0"/>
        <v>0</v>
      </c>
      <c r="E34" s="12"/>
      <c r="F34" s="18"/>
    </row>
    <row r="35" spans="1:6" ht="15">
      <c r="A35" s="7" t="str">
        <f>IF('[1]Zakazka'!$I$663=0,"",'[1]Zakazka'!$I$663)</f>
        <v>784: Malby</v>
      </c>
      <c r="B35" s="8">
        <f>SO1!O663</f>
        <v>0</v>
      </c>
      <c r="C35" s="35">
        <f>SO2!O487</f>
        <v>0</v>
      </c>
      <c r="D35" s="27">
        <f t="shared" si="0"/>
        <v>0</v>
      </c>
      <c r="E35" s="12"/>
      <c r="F35" s="18"/>
    </row>
    <row r="36" spans="1:6" ht="15">
      <c r="A36" s="7"/>
      <c r="B36" s="8"/>
      <c r="C36" s="35"/>
      <c r="D36" s="27"/>
      <c r="E36" s="12"/>
      <c r="F36" s="18"/>
    </row>
    <row r="37" spans="1:5" ht="15">
      <c r="A37" s="5" t="s">
        <v>1583</v>
      </c>
      <c r="B37" s="8"/>
      <c r="C37" s="35"/>
      <c r="D37" s="27">
        <f>OVN!H13</f>
        <v>0</v>
      </c>
      <c r="E37" s="12"/>
    </row>
    <row r="38" spans="1:5" ht="15" thickBot="1">
      <c r="A38" s="9"/>
      <c r="C38" s="36"/>
      <c r="D38" s="27"/>
      <c r="E38" s="20"/>
    </row>
    <row r="39" spans="1:4" ht="15" thickBot="1">
      <c r="A39" s="28" t="s">
        <v>19</v>
      </c>
      <c r="B39" s="29">
        <f>SUM(B8:B37)</f>
        <v>0</v>
      </c>
      <c r="C39" s="37">
        <f>SUM(C8:C37)</f>
        <v>0</v>
      </c>
      <c r="D39" s="30">
        <f>C39+B39+D37</f>
        <v>0</v>
      </c>
    </row>
    <row r="41" spans="1:4" ht="15">
      <c r="A41" s="7"/>
      <c r="B41" s="8"/>
      <c r="C41" s="12"/>
      <c r="D41" s="27"/>
    </row>
  </sheetData>
  <mergeCells count="2">
    <mergeCell ref="A3:C3"/>
    <mergeCell ref="A1:D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F1:Q691"/>
  <sheetViews>
    <sheetView tabSelected="1" workbookViewId="0" topLeftCell="F592">
      <selection activeCell="Q599" sqref="Q599"/>
    </sheetView>
  </sheetViews>
  <sheetFormatPr defaultColWidth="9.140625" defaultRowHeight="15" outlineLevelRow="2"/>
  <cols>
    <col min="1" max="5" width="9.140625" style="0" hidden="1" customWidth="1"/>
    <col min="6" max="6" width="5.57421875" style="167" bestFit="1" customWidth="1"/>
    <col min="7" max="7" width="3.8515625" style="168" bestFit="1" customWidth="1"/>
    <col min="8" max="8" width="14.8515625" style="169" bestFit="1" customWidth="1"/>
    <col min="9" max="9" width="61.8515625" style="175" customWidth="1"/>
    <col min="10" max="10" width="6.57421875" style="168" bestFit="1" customWidth="1"/>
    <col min="11" max="11" width="13.7109375" style="170" customWidth="1"/>
    <col min="12" max="12" width="6.8515625" style="171" customWidth="1"/>
    <col min="13" max="13" width="10.421875" style="172" bestFit="1" customWidth="1"/>
    <col min="14" max="14" width="13.28125" style="171" customWidth="1"/>
    <col min="15" max="15" width="12.140625" style="173" bestFit="1" customWidth="1"/>
    <col min="257" max="261" width="9.140625" style="0" hidden="1" customWidth="1"/>
    <col min="262" max="262" width="5.57421875" style="0" bestFit="1" customWidth="1"/>
    <col min="263" max="263" width="3.8515625" style="0" bestFit="1" customWidth="1"/>
    <col min="264" max="264" width="14.8515625" style="0" bestFit="1" customWidth="1"/>
    <col min="265" max="265" width="61.8515625" style="0" customWidth="1"/>
    <col min="266" max="266" width="6.57421875" style="0" bestFit="1" customWidth="1"/>
    <col min="267" max="267" width="13.7109375" style="0" customWidth="1"/>
    <col min="268" max="268" width="6.8515625" style="0" customWidth="1"/>
    <col min="269" max="269" width="10.421875" style="0" bestFit="1" customWidth="1"/>
    <col min="270" max="270" width="13.28125" style="0" customWidth="1"/>
    <col min="271" max="271" width="12.140625" style="0" bestFit="1" customWidth="1"/>
    <col min="513" max="517" width="9.140625" style="0" hidden="1" customWidth="1"/>
    <col min="518" max="518" width="5.57421875" style="0" bestFit="1" customWidth="1"/>
    <col min="519" max="519" width="3.8515625" style="0" bestFit="1" customWidth="1"/>
    <col min="520" max="520" width="14.8515625" style="0" bestFit="1" customWidth="1"/>
    <col min="521" max="521" width="61.8515625" style="0" customWidth="1"/>
    <col min="522" max="522" width="6.57421875" style="0" bestFit="1" customWidth="1"/>
    <col min="523" max="523" width="13.7109375" style="0" customWidth="1"/>
    <col min="524" max="524" width="6.8515625" style="0" customWidth="1"/>
    <col min="525" max="525" width="10.421875" style="0" bestFit="1" customWidth="1"/>
    <col min="526" max="526" width="13.28125" style="0" customWidth="1"/>
    <col min="527" max="527" width="12.140625" style="0" bestFit="1" customWidth="1"/>
    <col min="769" max="773" width="9.140625" style="0" hidden="1" customWidth="1"/>
    <col min="774" max="774" width="5.57421875" style="0" bestFit="1" customWidth="1"/>
    <col min="775" max="775" width="3.8515625" style="0" bestFit="1" customWidth="1"/>
    <col min="776" max="776" width="14.8515625" style="0" bestFit="1" customWidth="1"/>
    <col min="777" max="777" width="61.8515625" style="0" customWidth="1"/>
    <col min="778" max="778" width="6.57421875" style="0" bestFit="1" customWidth="1"/>
    <col min="779" max="779" width="13.7109375" style="0" customWidth="1"/>
    <col min="780" max="780" width="6.8515625" style="0" customWidth="1"/>
    <col min="781" max="781" width="10.421875" style="0" bestFit="1" customWidth="1"/>
    <col min="782" max="782" width="13.28125" style="0" customWidth="1"/>
    <col min="783" max="783" width="12.140625" style="0" bestFit="1" customWidth="1"/>
    <col min="1025" max="1029" width="9.140625" style="0" hidden="1" customWidth="1"/>
    <col min="1030" max="1030" width="5.57421875" style="0" bestFit="1" customWidth="1"/>
    <col min="1031" max="1031" width="3.8515625" style="0" bestFit="1" customWidth="1"/>
    <col min="1032" max="1032" width="14.8515625" style="0" bestFit="1" customWidth="1"/>
    <col min="1033" max="1033" width="61.8515625" style="0" customWidth="1"/>
    <col min="1034" max="1034" width="6.57421875" style="0" bestFit="1" customWidth="1"/>
    <col min="1035" max="1035" width="13.7109375" style="0" customWidth="1"/>
    <col min="1036" max="1036" width="6.8515625" style="0" customWidth="1"/>
    <col min="1037" max="1037" width="10.421875" style="0" bestFit="1" customWidth="1"/>
    <col min="1038" max="1038" width="13.28125" style="0" customWidth="1"/>
    <col min="1039" max="1039" width="12.140625" style="0" bestFit="1" customWidth="1"/>
    <col min="1281" max="1285" width="9.140625" style="0" hidden="1" customWidth="1"/>
    <col min="1286" max="1286" width="5.57421875" style="0" bestFit="1" customWidth="1"/>
    <col min="1287" max="1287" width="3.8515625" style="0" bestFit="1" customWidth="1"/>
    <col min="1288" max="1288" width="14.8515625" style="0" bestFit="1" customWidth="1"/>
    <col min="1289" max="1289" width="61.8515625" style="0" customWidth="1"/>
    <col min="1290" max="1290" width="6.57421875" style="0" bestFit="1" customWidth="1"/>
    <col min="1291" max="1291" width="13.7109375" style="0" customWidth="1"/>
    <col min="1292" max="1292" width="6.8515625" style="0" customWidth="1"/>
    <col min="1293" max="1293" width="10.421875" style="0" bestFit="1" customWidth="1"/>
    <col min="1294" max="1294" width="13.28125" style="0" customWidth="1"/>
    <col min="1295" max="1295" width="12.140625" style="0" bestFit="1" customWidth="1"/>
    <col min="1537" max="1541" width="9.140625" style="0" hidden="1" customWidth="1"/>
    <col min="1542" max="1542" width="5.57421875" style="0" bestFit="1" customWidth="1"/>
    <col min="1543" max="1543" width="3.8515625" style="0" bestFit="1" customWidth="1"/>
    <col min="1544" max="1544" width="14.8515625" style="0" bestFit="1" customWidth="1"/>
    <col min="1545" max="1545" width="61.8515625" style="0" customWidth="1"/>
    <col min="1546" max="1546" width="6.57421875" style="0" bestFit="1" customWidth="1"/>
    <col min="1547" max="1547" width="13.7109375" style="0" customWidth="1"/>
    <col min="1548" max="1548" width="6.8515625" style="0" customWidth="1"/>
    <col min="1549" max="1549" width="10.421875" style="0" bestFit="1" customWidth="1"/>
    <col min="1550" max="1550" width="13.28125" style="0" customWidth="1"/>
    <col min="1551" max="1551" width="12.140625" style="0" bestFit="1" customWidth="1"/>
    <col min="1793" max="1797" width="9.140625" style="0" hidden="1" customWidth="1"/>
    <col min="1798" max="1798" width="5.57421875" style="0" bestFit="1" customWidth="1"/>
    <col min="1799" max="1799" width="3.8515625" style="0" bestFit="1" customWidth="1"/>
    <col min="1800" max="1800" width="14.8515625" style="0" bestFit="1" customWidth="1"/>
    <col min="1801" max="1801" width="61.8515625" style="0" customWidth="1"/>
    <col min="1802" max="1802" width="6.57421875" style="0" bestFit="1" customWidth="1"/>
    <col min="1803" max="1803" width="13.7109375" style="0" customWidth="1"/>
    <col min="1804" max="1804" width="6.8515625" style="0" customWidth="1"/>
    <col min="1805" max="1805" width="10.421875" style="0" bestFit="1" customWidth="1"/>
    <col min="1806" max="1806" width="13.28125" style="0" customWidth="1"/>
    <col min="1807" max="1807" width="12.140625" style="0" bestFit="1" customWidth="1"/>
    <col min="2049" max="2053" width="9.140625" style="0" hidden="1" customWidth="1"/>
    <col min="2054" max="2054" width="5.57421875" style="0" bestFit="1" customWidth="1"/>
    <col min="2055" max="2055" width="3.8515625" style="0" bestFit="1" customWidth="1"/>
    <col min="2056" max="2056" width="14.8515625" style="0" bestFit="1" customWidth="1"/>
    <col min="2057" max="2057" width="61.8515625" style="0" customWidth="1"/>
    <col min="2058" max="2058" width="6.57421875" style="0" bestFit="1" customWidth="1"/>
    <col min="2059" max="2059" width="13.7109375" style="0" customWidth="1"/>
    <col min="2060" max="2060" width="6.8515625" style="0" customWidth="1"/>
    <col min="2061" max="2061" width="10.421875" style="0" bestFit="1" customWidth="1"/>
    <col min="2062" max="2062" width="13.28125" style="0" customWidth="1"/>
    <col min="2063" max="2063" width="12.140625" style="0" bestFit="1" customWidth="1"/>
    <col min="2305" max="2309" width="9.140625" style="0" hidden="1" customWidth="1"/>
    <col min="2310" max="2310" width="5.57421875" style="0" bestFit="1" customWidth="1"/>
    <col min="2311" max="2311" width="3.8515625" style="0" bestFit="1" customWidth="1"/>
    <col min="2312" max="2312" width="14.8515625" style="0" bestFit="1" customWidth="1"/>
    <col min="2313" max="2313" width="61.8515625" style="0" customWidth="1"/>
    <col min="2314" max="2314" width="6.57421875" style="0" bestFit="1" customWidth="1"/>
    <col min="2315" max="2315" width="13.7109375" style="0" customWidth="1"/>
    <col min="2316" max="2316" width="6.8515625" style="0" customWidth="1"/>
    <col min="2317" max="2317" width="10.421875" style="0" bestFit="1" customWidth="1"/>
    <col min="2318" max="2318" width="13.28125" style="0" customWidth="1"/>
    <col min="2319" max="2319" width="12.140625" style="0" bestFit="1" customWidth="1"/>
    <col min="2561" max="2565" width="9.140625" style="0" hidden="1" customWidth="1"/>
    <col min="2566" max="2566" width="5.57421875" style="0" bestFit="1" customWidth="1"/>
    <col min="2567" max="2567" width="3.8515625" style="0" bestFit="1" customWidth="1"/>
    <col min="2568" max="2568" width="14.8515625" style="0" bestFit="1" customWidth="1"/>
    <col min="2569" max="2569" width="61.8515625" style="0" customWidth="1"/>
    <col min="2570" max="2570" width="6.57421875" style="0" bestFit="1" customWidth="1"/>
    <col min="2571" max="2571" width="13.7109375" style="0" customWidth="1"/>
    <col min="2572" max="2572" width="6.8515625" style="0" customWidth="1"/>
    <col min="2573" max="2573" width="10.421875" style="0" bestFit="1" customWidth="1"/>
    <col min="2574" max="2574" width="13.28125" style="0" customWidth="1"/>
    <col min="2575" max="2575" width="12.140625" style="0" bestFit="1" customWidth="1"/>
    <col min="2817" max="2821" width="9.140625" style="0" hidden="1" customWidth="1"/>
    <col min="2822" max="2822" width="5.57421875" style="0" bestFit="1" customWidth="1"/>
    <col min="2823" max="2823" width="3.8515625" style="0" bestFit="1" customWidth="1"/>
    <col min="2824" max="2824" width="14.8515625" style="0" bestFit="1" customWidth="1"/>
    <col min="2825" max="2825" width="61.8515625" style="0" customWidth="1"/>
    <col min="2826" max="2826" width="6.57421875" style="0" bestFit="1" customWidth="1"/>
    <col min="2827" max="2827" width="13.7109375" style="0" customWidth="1"/>
    <col min="2828" max="2828" width="6.8515625" style="0" customWidth="1"/>
    <col min="2829" max="2829" width="10.421875" style="0" bestFit="1" customWidth="1"/>
    <col min="2830" max="2830" width="13.28125" style="0" customWidth="1"/>
    <col min="2831" max="2831" width="12.140625" style="0" bestFit="1" customWidth="1"/>
    <col min="3073" max="3077" width="9.140625" style="0" hidden="1" customWidth="1"/>
    <col min="3078" max="3078" width="5.57421875" style="0" bestFit="1" customWidth="1"/>
    <col min="3079" max="3079" width="3.8515625" style="0" bestFit="1" customWidth="1"/>
    <col min="3080" max="3080" width="14.8515625" style="0" bestFit="1" customWidth="1"/>
    <col min="3081" max="3081" width="61.8515625" style="0" customWidth="1"/>
    <col min="3082" max="3082" width="6.57421875" style="0" bestFit="1" customWidth="1"/>
    <col min="3083" max="3083" width="13.7109375" style="0" customWidth="1"/>
    <col min="3084" max="3084" width="6.8515625" style="0" customWidth="1"/>
    <col min="3085" max="3085" width="10.421875" style="0" bestFit="1" customWidth="1"/>
    <col min="3086" max="3086" width="13.28125" style="0" customWidth="1"/>
    <col min="3087" max="3087" width="12.140625" style="0" bestFit="1" customWidth="1"/>
    <col min="3329" max="3333" width="9.140625" style="0" hidden="1" customWidth="1"/>
    <col min="3334" max="3334" width="5.57421875" style="0" bestFit="1" customWidth="1"/>
    <col min="3335" max="3335" width="3.8515625" style="0" bestFit="1" customWidth="1"/>
    <col min="3336" max="3336" width="14.8515625" style="0" bestFit="1" customWidth="1"/>
    <col min="3337" max="3337" width="61.8515625" style="0" customWidth="1"/>
    <col min="3338" max="3338" width="6.57421875" style="0" bestFit="1" customWidth="1"/>
    <col min="3339" max="3339" width="13.7109375" style="0" customWidth="1"/>
    <col min="3340" max="3340" width="6.8515625" style="0" customWidth="1"/>
    <col min="3341" max="3341" width="10.421875" style="0" bestFit="1" customWidth="1"/>
    <col min="3342" max="3342" width="13.28125" style="0" customWidth="1"/>
    <col min="3343" max="3343" width="12.140625" style="0" bestFit="1" customWidth="1"/>
    <col min="3585" max="3589" width="9.140625" style="0" hidden="1" customWidth="1"/>
    <col min="3590" max="3590" width="5.57421875" style="0" bestFit="1" customWidth="1"/>
    <col min="3591" max="3591" width="3.8515625" style="0" bestFit="1" customWidth="1"/>
    <col min="3592" max="3592" width="14.8515625" style="0" bestFit="1" customWidth="1"/>
    <col min="3593" max="3593" width="61.8515625" style="0" customWidth="1"/>
    <col min="3594" max="3594" width="6.57421875" style="0" bestFit="1" customWidth="1"/>
    <col min="3595" max="3595" width="13.7109375" style="0" customWidth="1"/>
    <col min="3596" max="3596" width="6.8515625" style="0" customWidth="1"/>
    <col min="3597" max="3597" width="10.421875" style="0" bestFit="1" customWidth="1"/>
    <col min="3598" max="3598" width="13.28125" style="0" customWidth="1"/>
    <col min="3599" max="3599" width="12.140625" style="0" bestFit="1" customWidth="1"/>
    <col min="3841" max="3845" width="9.140625" style="0" hidden="1" customWidth="1"/>
    <col min="3846" max="3846" width="5.57421875" style="0" bestFit="1" customWidth="1"/>
    <col min="3847" max="3847" width="3.8515625" style="0" bestFit="1" customWidth="1"/>
    <col min="3848" max="3848" width="14.8515625" style="0" bestFit="1" customWidth="1"/>
    <col min="3849" max="3849" width="61.8515625" style="0" customWidth="1"/>
    <col min="3850" max="3850" width="6.57421875" style="0" bestFit="1" customWidth="1"/>
    <col min="3851" max="3851" width="13.7109375" style="0" customWidth="1"/>
    <col min="3852" max="3852" width="6.8515625" style="0" customWidth="1"/>
    <col min="3853" max="3853" width="10.421875" style="0" bestFit="1" customWidth="1"/>
    <col min="3854" max="3854" width="13.28125" style="0" customWidth="1"/>
    <col min="3855" max="3855" width="12.140625" style="0" bestFit="1" customWidth="1"/>
    <col min="4097" max="4101" width="9.140625" style="0" hidden="1" customWidth="1"/>
    <col min="4102" max="4102" width="5.57421875" style="0" bestFit="1" customWidth="1"/>
    <col min="4103" max="4103" width="3.8515625" style="0" bestFit="1" customWidth="1"/>
    <col min="4104" max="4104" width="14.8515625" style="0" bestFit="1" customWidth="1"/>
    <col min="4105" max="4105" width="61.8515625" style="0" customWidth="1"/>
    <col min="4106" max="4106" width="6.57421875" style="0" bestFit="1" customWidth="1"/>
    <col min="4107" max="4107" width="13.7109375" style="0" customWidth="1"/>
    <col min="4108" max="4108" width="6.8515625" style="0" customWidth="1"/>
    <col min="4109" max="4109" width="10.421875" style="0" bestFit="1" customWidth="1"/>
    <col min="4110" max="4110" width="13.28125" style="0" customWidth="1"/>
    <col min="4111" max="4111" width="12.140625" style="0" bestFit="1" customWidth="1"/>
    <col min="4353" max="4357" width="9.140625" style="0" hidden="1" customWidth="1"/>
    <col min="4358" max="4358" width="5.57421875" style="0" bestFit="1" customWidth="1"/>
    <col min="4359" max="4359" width="3.8515625" style="0" bestFit="1" customWidth="1"/>
    <col min="4360" max="4360" width="14.8515625" style="0" bestFit="1" customWidth="1"/>
    <col min="4361" max="4361" width="61.8515625" style="0" customWidth="1"/>
    <col min="4362" max="4362" width="6.57421875" style="0" bestFit="1" customWidth="1"/>
    <col min="4363" max="4363" width="13.7109375" style="0" customWidth="1"/>
    <col min="4364" max="4364" width="6.8515625" style="0" customWidth="1"/>
    <col min="4365" max="4365" width="10.421875" style="0" bestFit="1" customWidth="1"/>
    <col min="4366" max="4366" width="13.28125" style="0" customWidth="1"/>
    <col min="4367" max="4367" width="12.140625" style="0" bestFit="1" customWidth="1"/>
    <col min="4609" max="4613" width="9.140625" style="0" hidden="1" customWidth="1"/>
    <col min="4614" max="4614" width="5.57421875" style="0" bestFit="1" customWidth="1"/>
    <col min="4615" max="4615" width="3.8515625" style="0" bestFit="1" customWidth="1"/>
    <col min="4616" max="4616" width="14.8515625" style="0" bestFit="1" customWidth="1"/>
    <col min="4617" max="4617" width="61.8515625" style="0" customWidth="1"/>
    <col min="4618" max="4618" width="6.57421875" style="0" bestFit="1" customWidth="1"/>
    <col min="4619" max="4619" width="13.7109375" style="0" customWidth="1"/>
    <col min="4620" max="4620" width="6.8515625" style="0" customWidth="1"/>
    <col min="4621" max="4621" width="10.421875" style="0" bestFit="1" customWidth="1"/>
    <col min="4622" max="4622" width="13.28125" style="0" customWidth="1"/>
    <col min="4623" max="4623" width="12.140625" style="0" bestFit="1" customWidth="1"/>
    <col min="4865" max="4869" width="9.140625" style="0" hidden="1" customWidth="1"/>
    <col min="4870" max="4870" width="5.57421875" style="0" bestFit="1" customWidth="1"/>
    <col min="4871" max="4871" width="3.8515625" style="0" bestFit="1" customWidth="1"/>
    <col min="4872" max="4872" width="14.8515625" style="0" bestFit="1" customWidth="1"/>
    <col min="4873" max="4873" width="61.8515625" style="0" customWidth="1"/>
    <col min="4874" max="4874" width="6.57421875" style="0" bestFit="1" customWidth="1"/>
    <col min="4875" max="4875" width="13.7109375" style="0" customWidth="1"/>
    <col min="4876" max="4876" width="6.8515625" style="0" customWidth="1"/>
    <col min="4877" max="4877" width="10.421875" style="0" bestFit="1" customWidth="1"/>
    <col min="4878" max="4878" width="13.28125" style="0" customWidth="1"/>
    <col min="4879" max="4879" width="12.140625" style="0" bestFit="1" customWidth="1"/>
    <col min="5121" max="5125" width="9.140625" style="0" hidden="1" customWidth="1"/>
    <col min="5126" max="5126" width="5.57421875" style="0" bestFit="1" customWidth="1"/>
    <col min="5127" max="5127" width="3.8515625" style="0" bestFit="1" customWidth="1"/>
    <col min="5128" max="5128" width="14.8515625" style="0" bestFit="1" customWidth="1"/>
    <col min="5129" max="5129" width="61.8515625" style="0" customWidth="1"/>
    <col min="5130" max="5130" width="6.57421875" style="0" bestFit="1" customWidth="1"/>
    <col min="5131" max="5131" width="13.7109375" style="0" customWidth="1"/>
    <col min="5132" max="5132" width="6.8515625" style="0" customWidth="1"/>
    <col min="5133" max="5133" width="10.421875" style="0" bestFit="1" customWidth="1"/>
    <col min="5134" max="5134" width="13.28125" style="0" customWidth="1"/>
    <col min="5135" max="5135" width="12.140625" style="0" bestFit="1" customWidth="1"/>
    <col min="5377" max="5381" width="9.140625" style="0" hidden="1" customWidth="1"/>
    <col min="5382" max="5382" width="5.57421875" style="0" bestFit="1" customWidth="1"/>
    <col min="5383" max="5383" width="3.8515625" style="0" bestFit="1" customWidth="1"/>
    <col min="5384" max="5384" width="14.8515625" style="0" bestFit="1" customWidth="1"/>
    <col min="5385" max="5385" width="61.8515625" style="0" customWidth="1"/>
    <col min="5386" max="5386" width="6.57421875" style="0" bestFit="1" customWidth="1"/>
    <col min="5387" max="5387" width="13.7109375" style="0" customWidth="1"/>
    <col min="5388" max="5388" width="6.8515625" style="0" customWidth="1"/>
    <col min="5389" max="5389" width="10.421875" style="0" bestFit="1" customWidth="1"/>
    <col min="5390" max="5390" width="13.28125" style="0" customWidth="1"/>
    <col min="5391" max="5391" width="12.140625" style="0" bestFit="1" customWidth="1"/>
    <col min="5633" max="5637" width="9.140625" style="0" hidden="1" customWidth="1"/>
    <col min="5638" max="5638" width="5.57421875" style="0" bestFit="1" customWidth="1"/>
    <col min="5639" max="5639" width="3.8515625" style="0" bestFit="1" customWidth="1"/>
    <col min="5640" max="5640" width="14.8515625" style="0" bestFit="1" customWidth="1"/>
    <col min="5641" max="5641" width="61.8515625" style="0" customWidth="1"/>
    <col min="5642" max="5642" width="6.57421875" style="0" bestFit="1" customWidth="1"/>
    <col min="5643" max="5643" width="13.7109375" style="0" customWidth="1"/>
    <col min="5644" max="5644" width="6.8515625" style="0" customWidth="1"/>
    <col min="5645" max="5645" width="10.421875" style="0" bestFit="1" customWidth="1"/>
    <col min="5646" max="5646" width="13.28125" style="0" customWidth="1"/>
    <col min="5647" max="5647" width="12.140625" style="0" bestFit="1" customWidth="1"/>
    <col min="5889" max="5893" width="9.140625" style="0" hidden="1" customWidth="1"/>
    <col min="5894" max="5894" width="5.57421875" style="0" bestFit="1" customWidth="1"/>
    <col min="5895" max="5895" width="3.8515625" style="0" bestFit="1" customWidth="1"/>
    <col min="5896" max="5896" width="14.8515625" style="0" bestFit="1" customWidth="1"/>
    <col min="5897" max="5897" width="61.8515625" style="0" customWidth="1"/>
    <col min="5898" max="5898" width="6.57421875" style="0" bestFit="1" customWidth="1"/>
    <col min="5899" max="5899" width="13.7109375" style="0" customWidth="1"/>
    <col min="5900" max="5900" width="6.8515625" style="0" customWidth="1"/>
    <col min="5901" max="5901" width="10.421875" style="0" bestFit="1" customWidth="1"/>
    <col min="5902" max="5902" width="13.28125" style="0" customWidth="1"/>
    <col min="5903" max="5903" width="12.140625" style="0" bestFit="1" customWidth="1"/>
    <col min="6145" max="6149" width="9.140625" style="0" hidden="1" customWidth="1"/>
    <col min="6150" max="6150" width="5.57421875" style="0" bestFit="1" customWidth="1"/>
    <col min="6151" max="6151" width="3.8515625" style="0" bestFit="1" customWidth="1"/>
    <col min="6152" max="6152" width="14.8515625" style="0" bestFit="1" customWidth="1"/>
    <col min="6153" max="6153" width="61.8515625" style="0" customWidth="1"/>
    <col min="6154" max="6154" width="6.57421875" style="0" bestFit="1" customWidth="1"/>
    <col min="6155" max="6155" width="13.7109375" style="0" customWidth="1"/>
    <col min="6156" max="6156" width="6.8515625" style="0" customWidth="1"/>
    <col min="6157" max="6157" width="10.421875" style="0" bestFit="1" customWidth="1"/>
    <col min="6158" max="6158" width="13.28125" style="0" customWidth="1"/>
    <col min="6159" max="6159" width="12.140625" style="0" bestFit="1" customWidth="1"/>
    <col min="6401" max="6405" width="9.140625" style="0" hidden="1" customWidth="1"/>
    <col min="6406" max="6406" width="5.57421875" style="0" bestFit="1" customWidth="1"/>
    <col min="6407" max="6407" width="3.8515625" style="0" bestFit="1" customWidth="1"/>
    <col min="6408" max="6408" width="14.8515625" style="0" bestFit="1" customWidth="1"/>
    <col min="6409" max="6409" width="61.8515625" style="0" customWidth="1"/>
    <col min="6410" max="6410" width="6.57421875" style="0" bestFit="1" customWidth="1"/>
    <col min="6411" max="6411" width="13.7109375" style="0" customWidth="1"/>
    <col min="6412" max="6412" width="6.8515625" style="0" customWidth="1"/>
    <col min="6413" max="6413" width="10.421875" style="0" bestFit="1" customWidth="1"/>
    <col min="6414" max="6414" width="13.28125" style="0" customWidth="1"/>
    <col min="6415" max="6415" width="12.140625" style="0" bestFit="1" customWidth="1"/>
    <col min="6657" max="6661" width="9.140625" style="0" hidden="1" customWidth="1"/>
    <col min="6662" max="6662" width="5.57421875" style="0" bestFit="1" customWidth="1"/>
    <col min="6663" max="6663" width="3.8515625" style="0" bestFit="1" customWidth="1"/>
    <col min="6664" max="6664" width="14.8515625" style="0" bestFit="1" customWidth="1"/>
    <col min="6665" max="6665" width="61.8515625" style="0" customWidth="1"/>
    <col min="6666" max="6666" width="6.57421875" style="0" bestFit="1" customWidth="1"/>
    <col min="6667" max="6667" width="13.7109375" style="0" customWidth="1"/>
    <col min="6668" max="6668" width="6.8515625" style="0" customWidth="1"/>
    <col min="6669" max="6669" width="10.421875" style="0" bestFit="1" customWidth="1"/>
    <col min="6670" max="6670" width="13.28125" style="0" customWidth="1"/>
    <col min="6671" max="6671" width="12.140625" style="0" bestFit="1" customWidth="1"/>
    <col min="6913" max="6917" width="9.140625" style="0" hidden="1" customWidth="1"/>
    <col min="6918" max="6918" width="5.57421875" style="0" bestFit="1" customWidth="1"/>
    <col min="6919" max="6919" width="3.8515625" style="0" bestFit="1" customWidth="1"/>
    <col min="6920" max="6920" width="14.8515625" style="0" bestFit="1" customWidth="1"/>
    <col min="6921" max="6921" width="61.8515625" style="0" customWidth="1"/>
    <col min="6922" max="6922" width="6.57421875" style="0" bestFit="1" customWidth="1"/>
    <col min="6923" max="6923" width="13.7109375" style="0" customWidth="1"/>
    <col min="6924" max="6924" width="6.8515625" style="0" customWidth="1"/>
    <col min="6925" max="6925" width="10.421875" style="0" bestFit="1" customWidth="1"/>
    <col min="6926" max="6926" width="13.28125" style="0" customWidth="1"/>
    <col min="6927" max="6927" width="12.140625" style="0" bestFit="1" customWidth="1"/>
    <col min="7169" max="7173" width="9.140625" style="0" hidden="1" customWidth="1"/>
    <col min="7174" max="7174" width="5.57421875" style="0" bestFit="1" customWidth="1"/>
    <col min="7175" max="7175" width="3.8515625" style="0" bestFit="1" customWidth="1"/>
    <col min="7176" max="7176" width="14.8515625" style="0" bestFit="1" customWidth="1"/>
    <col min="7177" max="7177" width="61.8515625" style="0" customWidth="1"/>
    <col min="7178" max="7178" width="6.57421875" style="0" bestFit="1" customWidth="1"/>
    <col min="7179" max="7179" width="13.7109375" style="0" customWidth="1"/>
    <col min="7180" max="7180" width="6.8515625" style="0" customWidth="1"/>
    <col min="7181" max="7181" width="10.421875" style="0" bestFit="1" customWidth="1"/>
    <col min="7182" max="7182" width="13.28125" style="0" customWidth="1"/>
    <col min="7183" max="7183" width="12.140625" style="0" bestFit="1" customWidth="1"/>
    <col min="7425" max="7429" width="9.140625" style="0" hidden="1" customWidth="1"/>
    <col min="7430" max="7430" width="5.57421875" style="0" bestFit="1" customWidth="1"/>
    <col min="7431" max="7431" width="3.8515625" style="0" bestFit="1" customWidth="1"/>
    <col min="7432" max="7432" width="14.8515625" style="0" bestFit="1" customWidth="1"/>
    <col min="7433" max="7433" width="61.8515625" style="0" customWidth="1"/>
    <col min="7434" max="7434" width="6.57421875" style="0" bestFit="1" customWidth="1"/>
    <col min="7435" max="7435" width="13.7109375" style="0" customWidth="1"/>
    <col min="7436" max="7436" width="6.8515625" style="0" customWidth="1"/>
    <col min="7437" max="7437" width="10.421875" style="0" bestFit="1" customWidth="1"/>
    <col min="7438" max="7438" width="13.28125" style="0" customWidth="1"/>
    <col min="7439" max="7439" width="12.140625" style="0" bestFit="1" customWidth="1"/>
    <col min="7681" max="7685" width="9.140625" style="0" hidden="1" customWidth="1"/>
    <col min="7686" max="7686" width="5.57421875" style="0" bestFit="1" customWidth="1"/>
    <col min="7687" max="7687" width="3.8515625" style="0" bestFit="1" customWidth="1"/>
    <col min="7688" max="7688" width="14.8515625" style="0" bestFit="1" customWidth="1"/>
    <col min="7689" max="7689" width="61.8515625" style="0" customWidth="1"/>
    <col min="7690" max="7690" width="6.57421875" style="0" bestFit="1" customWidth="1"/>
    <col min="7691" max="7691" width="13.7109375" style="0" customWidth="1"/>
    <col min="7692" max="7692" width="6.8515625" style="0" customWidth="1"/>
    <col min="7693" max="7693" width="10.421875" style="0" bestFit="1" customWidth="1"/>
    <col min="7694" max="7694" width="13.28125" style="0" customWidth="1"/>
    <col min="7695" max="7695" width="12.140625" style="0" bestFit="1" customWidth="1"/>
    <col min="7937" max="7941" width="9.140625" style="0" hidden="1" customWidth="1"/>
    <col min="7942" max="7942" width="5.57421875" style="0" bestFit="1" customWidth="1"/>
    <col min="7943" max="7943" width="3.8515625" style="0" bestFit="1" customWidth="1"/>
    <col min="7944" max="7944" width="14.8515625" style="0" bestFit="1" customWidth="1"/>
    <col min="7945" max="7945" width="61.8515625" style="0" customWidth="1"/>
    <col min="7946" max="7946" width="6.57421875" style="0" bestFit="1" customWidth="1"/>
    <col min="7947" max="7947" width="13.7109375" style="0" customWidth="1"/>
    <col min="7948" max="7948" width="6.8515625" style="0" customWidth="1"/>
    <col min="7949" max="7949" width="10.421875" style="0" bestFit="1" customWidth="1"/>
    <col min="7950" max="7950" width="13.28125" style="0" customWidth="1"/>
    <col min="7951" max="7951" width="12.140625" style="0" bestFit="1" customWidth="1"/>
    <col min="8193" max="8197" width="9.140625" style="0" hidden="1" customWidth="1"/>
    <col min="8198" max="8198" width="5.57421875" style="0" bestFit="1" customWidth="1"/>
    <col min="8199" max="8199" width="3.8515625" style="0" bestFit="1" customWidth="1"/>
    <col min="8200" max="8200" width="14.8515625" style="0" bestFit="1" customWidth="1"/>
    <col min="8201" max="8201" width="61.8515625" style="0" customWidth="1"/>
    <col min="8202" max="8202" width="6.57421875" style="0" bestFit="1" customWidth="1"/>
    <col min="8203" max="8203" width="13.7109375" style="0" customWidth="1"/>
    <col min="8204" max="8204" width="6.8515625" style="0" customWidth="1"/>
    <col min="8205" max="8205" width="10.421875" style="0" bestFit="1" customWidth="1"/>
    <col min="8206" max="8206" width="13.28125" style="0" customWidth="1"/>
    <col min="8207" max="8207" width="12.140625" style="0" bestFit="1" customWidth="1"/>
    <col min="8449" max="8453" width="9.140625" style="0" hidden="1" customWidth="1"/>
    <col min="8454" max="8454" width="5.57421875" style="0" bestFit="1" customWidth="1"/>
    <col min="8455" max="8455" width="3.8515625" style="0" bestFit="1" customWidth="1"/>
    <col min="8456" max="8456" width="14.8515625" style="0" bestFit="1" customWidth="1"/>
    <col min="8457" max="8457" width="61.8515625" style="0" customWidth="1"/>
    <col min="8458" max="8458" width="6.57421875" style="0" bestFit="1" customWidth="1"/>
    <col min="8459" max="8459" width="13.7109375" style="0" customWidth="1"/>
    <col min="8460" max="8460" width="6.8515625" style="0" customWidth="1"/>
    <col min="8461" max="8461" width="10.421875" style="0" bestFit="1" customWidth="1"/>
    <col min="8462" max="8462" width="13.28125" style="0" customWidth="1"/>
    <col min="8463" max="8463" width="12.140625" style="0" bestFit="1" customWidth="1"/>
    <col min="8705" max="8709" width="9.140625" style="0" hidden="1" customWidth="1"/>
    <col min="8710" max="8710" width="5.57421875" style="0" bestFit="1" customWidth="1"/>
    <col min="8711" max="8711" width="3.8515625" style="0" bestFit="1" customWidth="1"/>
    <col min="8712" max="8712" width="14.8515625" style="0" bestFit="1" customWidth="1"/>
    <col min="8713" max="8713" width="61.8515625" style="0" customWidth="1"/>
    <col min="8714" max="8714" width="6.57421875" style="0" bestFit="1" customWidth="1"/>
    <col min="8715" max="8715" width="13.7109375" style="0" customWidth="1"/>
    <col min="8716" max="8716" width="6.8515625" style="0" customWidth="1"/>
    <col min="8717" max="8717" width="10.421875" style="0" bestFit="1" customWidth="1"/>
    <col min="8718" max="8718" width="13.28125" style="0" customWidth="1"/>
    <col min="8719" max="8719" width="12.140625" style="0" bestFit="1" customWidth="1"/>
    <col min="8961" max="8965" width="9.140625" style="0" hidden="1" customWidth="1"/>
    <col min="8966" max="8966" width="5.57421875" style="0" bestFit="1" customWidth="1"/>
    <col min="8967" max="8967" width="3.8515625" style="0" bestFit="1" customWidth="1"/>
    <col min="8968" max="8968" width="14.8515625" style="0" bestFit="1" customWidth="1"/>
    <col min="8969" max="8969" width="61.8515625" style="0" customWidth="1"/>
    <col min="8970" max="8970" width="6.57421875" style="0" bestFit="1" customWidth="1"/>
    <col min="8971" max="8971" width="13.7109375" style="0" customWidth="1"/>
    <col min="8972" max="8972" width="6.8515625" style="0" customWidth="1"/>
    <col min="8973" max="8973" width="10.421875" style="0" bestFit="1" customWidth="1"/>
    <col min="8974" max="8974" width="13.28125" style="0" customWidth="1"/>
    <col min="8975" max="8975" width="12.140625" style="0" bestFit="1" customWidth="1"/>
    <col min="9217" max="9221" width="9.140625" style="0" hidden="1" customWidth="1"/>
    <col min="9222" max="9222" width="5.57421875" style="0" bestFit="1" customWidth="1"/>
    <col min="9223" max="9223" width="3.8515625" style="0" bestFit="1" customWidth="1"/>
    <col min="9224" max="9224" width="14.8515625" style="0" bestFit="1" customWidth="1"/>
    <col min="9225" max="9225" width="61.8515625" style="0" customWidth="1"/>
    <col min="9226" max="9226" width="6.57421875" style="0" bestFit="1" customWidth="1"/>
    <col min="9227" max="9227" width="13.7109375" style="0" customWidth="1"/>
    <col min="9228" max="9228" width="6.8515625" style="0" customWidth="1"/>
    <col min="9229" max="9229" width="10.421875" style="0" bestFit="1" customWidth="1"/>
    <col min="9230" max="9230" width="13.28125" style="0" customWidth="1"/>
    <col min="9231" max="9231" width="12.140625" style="0" bestFit="1" customWidth="1"/>
    <col min="9473" max="9477" width="9.140625" style="0" hidden="1" customWidth="1"/>
    <col min="9478" max="9478" width="5.57421875" style="0" bestFit="1" customWidth="1"/>
    <col min="9479" max="9479" width="3.8515625" style="0" bestFit="1" customWidth="1"/>
    <col min="9480" max="9480" width="14.8515625" style="0" bestFit="1" customWidth="1"/>
    <col min="9481" max="9481" width="61.8515625" style="0" customWidth="1"/>
    <col min="9482" max="9482" width="6.57421875" style="0" bestFit="1" customWidth="1"/>
    <col min="9483" max="9483" width="13.7109375" style="0" customWidth="1"/>
    <col min="9484" max="9484" width="6.8515625" style="0" customWidth="1"/>
    <col min="9485" max="9485" width="10.421875" style="0" bestFit="1" customWidth="1"/>
    <col min="9486" max="9486" width="13.28125" style="0" customWidth="1"/>
    <col min="9487" max="9487" width="12.140625" style="0" bestFit="1" customWidth="1"/>
    <col min="9729" max="9733" width="9.140625" style="0" hidden="1" customWidth="1"/>
    <col min="9734" max="9734" width="5.57421875" style="0" bestFit="1" customWidth="1"/>
    <col min="9735" max="9735" width="3.8515625" style="0" bestFit="1" customWidth="1"/>
    <col min="9736" max="9736" width="14.8515625" style="0" bestFit="1" customWidth="1"/>
    <col min="9737" max="9737" width="61.8515625" style="0" customWidth="1"/>
    <col min="9738" max="9738" width="6.57421875" style="0" bestFit="1" customWidth="1"/>
    <col min="9739" max="9739" width="13.7109375" style="0" customWidth="1"/>
    <col min="9740" max="9740" width="6.8515625" style="0" customWidth="1"/>
    <col min="9741" max="9741" width="10.421875" style="0" bestFit="1" customWidth="1"/>
    <col min="9742" max="9742" width="13.28125" style="0" customWidth="1"/>
    <col min="9743" max="9743" width="12.140625" style="0" bestFit="1" customWidth="1"/>
    <col min="9985" max="9989" width="9.140625" style="0" hidden="1" customWidth="1"/>
    <col min="9990" max="9990" width="5.57421875" style="0" bestFit="1" customWidth="1"/>
    <col min="9991" max="9991" width="3.8515625" style="0" bestFit="1" customWidth="1"/>
    <col min="9992" max="9992" width="14.8515625" style="0" bestFit="1" customWidth="1"/>
    <col min="9993" max="9993" width="61.8515625" style="0" customWidth="1"/>
    <col min="9994" max="9994" width="6.57421875" style="0" bestFit="1" customWidth="1"/>
    <col min="9995" max="9995" width="13.7109375" style="0" customWidth="1"/>
    <col min="9996" max="9996" width="6.8515625" style="0" customWidth="1"/>
    <col min="9997" max="9997" width="10.421875" style="0" bestFit="1" customWidth="1"/>
    <col min="9998" max="9998" width="13.28125" style="0" customWidth="1"/>
    <col min="9999" max="9999" width="12.140625" style="0" bestFit="1" customWidth="1"/>
    <col min="10241" max="10245" width="9.140625" style="0" hidden="1" customWidth="1"/>
    <col min="10246" max="10246" width="5.57421875" style="0" bestFit="1" customWidth="1"/>
    <col min="10247" max="10247" width="3.8515625" style="0" bestFit="1" customWidth="1"/>
    <col min="10248" max="10248" width="14.8515625" style="0" bestFit="1" customWidth="1"/>
    <col min="10249" max="10249" width="61.8515625" style="0" customWidth="1"/>
    <col min="10250" max="10250" width="6.57421875" style="0" bestFit="1" customWidth="1"/>
    <col min="10251" max="10251" width="13.7109375" style="0" customWidth="1"/>
    <col min="10252" max="10252" width="6.8515625" style="0" customWidth="1"/>
    <col min="10253" max="10253" width="10.421875" style="0" bestFit="1" customWidth="1"/>
    <col min="10254" max="10254" width="13.28125" style="0" customWidth="1"/>
    <col min="10255" max="10255" width="12.140625" style="0" bestFit="1" customWidth="1"/>
    <col min="10497" max="10501" width="9.140625" style="0" hidden="1" customWidth="1"/>
    <col min="10502" max="10502" width="5.57421875" style="0" bestFit="1" customWidth="1"/>
    <col min="10503" max="10503" width="3.8515625" style="0" bestFit="1" customWidth="1"/>
    <col min="10504" max="10504" width="14.8515625" style="0" bestFit="1" customWidth="1"/>
    <col min="10505" max="10505" width="61.8515625" style="0" customWidth="1"/>
    <col min="10506" max="10506" width="6.57421875" style="0" bestFit="1" customWidth="1"/>
    <col min="10507" max="10507" width="13.7109375" style="0" customWidth="1"/>
    <col min="10508" max="10508" width="6.8515625" style="0" customWidth="1"/>
    <col min="10509" max="10509" width="10.421875" style="0" bestFit="1" customWidth="1"/>
    <col min="10510" max="10510" width="13.28125" style="0" customWidth="1"/>
    <col min="10511" max="10511" width="12.140625" style="0" bestFit="1" customWidth="1"/>
    <col min="10753" max="10757" width="9.140625" style="0" hidden="1" customWidth="1"/>
    <col min="10758" max="10758" width="5.57421875" style="0" bestFit="1" customWidth="1"/>
    <col min="10759" max="10759" width="3.8515625" style="0" bestFit="1" customWidth="1"/>
    <col min="10760" max="10760" width="14.8515625" style="0" bestFit="1" customWidth="1"/>
    <col min="10761" max="10761" width="61.8515625" style="0" customWidth="1"/>
    <col min="10762" max="10762" width="6.57421875" style="0" bestFit="1" customWidth="1"/>
    <col min="10763" max="10763" width="13.7109375" style="0" customWidth="1"/>
    <col min="10764" max="10764" width="6.8515625" style="0" customWidth="1"/>
    <col min="10765" max="10765" width="10.421875" style="0" bestFit="1" customWidth="1"/>
    <col min="10766" max="10766" width="13.28125" style="0" customWidth="1"/>
    <col min="10767" max="10767" width="12.140625" style="0" bestFit="1" customWidth="1"/>
    <col min="11009" max="11013" width="9.140625" style="0" hidden="1" customWidth="1"/>
    <col min="11014" max="11014" width="5.57421875" style="0" bestFit="1" customWidth="1"/>
    <col min="11015" max="11015" width="3.8515625" style="0" bestFit="1" customWidth="1"/>
    <col min="11016" max="11016" width="14.8515625" style="0" bestFit="1" customWidth="1"/>
    <col min="11017" max="11017" width="61.8515625" style="0" customWidth="1"/>
    <col min="11018" max="11018" width="6.57421875" style="0" bestFit="1" customWidth="1"/>
    <col min="11019" max="11019" width="13.7109375" style="0" customWidth="1"/>
    <col min="11020" max="11020" width="6.8515625" style="0" customWidth="1"/>
    <col min="11021" max="11021" width="10.421875" style="0" bestFit="1" customWidth="1"/>
    <col min="11022" max="11022" width="13.28125" style="0" customWidth="1"/>
    <col min="11023" max="11023" width="12.140625" style="0" bestFit="1" customWidth="1"/>
    <col min="11265" max="11269" width="9.140625" style="0" hidden="1" customWidth="1"/>
    <col min="11270" max="11270" width="5.57421875" style="0" bestFit="1" customWidth="1"/>
    <col min="11271" max="11271" width="3.8515625" style="0" bestFit="1" customWidth="1"/>
    <col min="11272" max="11272" width="14.8515625" style="0" bestFit="1" customWidth="1"/>
    <col min="11273" max="11273" width="61.8515625" style="0" customWidth="1"/>
    <col min="11274" max="11274" width="6.57421875" style="0" bestFit="1" customWidth="1"/>
    <col min="11275" max="11275" width="13.7109375" style="0" customWidth="1"/>
    <col min="11276" max="11276" width="6.8515625" style="0" customWidth="1"/>
    <col min="11277" max="11277" width="10.421875" style="0" bestFit="1" customWidth="1"/>
    <col min="11278" max="11278" width="13.28125" style="0" customWidth="1"/>
    <col min="11279" max="11279" width="12.140625" style="0" bestFit="1" customWidth="1"/>
    <col min="11521" max="11525" width="9.140625" style="0" hidden="1" customWidth="1"/>
    <col min="11526" max="11526" width="5.57421875" style="0" bestFit="1" customWidth="1"/>
    <col min="11527" max="11527" width="3.8515625" style="0" bestFit="1" customWidth="1"/>
    <col min="11528" max="11528" width="14.8515625" style="0" bestFit="1" customWidth="1"/>
    <col min="11529" max="11529" width="61.8515625" style="0" customWidth="1"/>
    <col min="11530" max="11530" width="6.57421875" style="0" bestFit="1" customWidth="1"/>
    <col min="11531" max="11531" width="13.7109375" style="0" customWidth="1"/>
    <col min="11532" max="11532" width="6.8515625" style="0" customWidth="1"/>
    <col min="11533" max="11533" width="10.421875" style="0" bestFit="1" customWidth="1"/>
    <col min="11534" max="11534" width="13.28125" style="0" customWidth="1"/>
    <col min="11535" max="11535" width="12.140625" style="0" bestFit="1" customWidth="1"/>
    <col min="11777" max="11781" width="9.140625" style="0" hidden="1" customWidth="1"/>
    <col min="11782" max="11782" width="5.57421875" style="0" bestFit="1" customWidth="1"/>
    <col min="11783" max="11783" width="3.8515625" style="0" bestFit="1" customWidth="1"/>
    <col min="11784" max="11784" width="14.8515625" style="0" bestFit="1" customWidth="1"/>
    <col min="11785" max="11785" width="61.8515625" style="0" customWidth="1"/>
    <col min="11786" max="11786" width="6.57421875" style="0" bestFit="1" customWidth="1"/>
    <col min="11787" max="11787" width="13.7109375" style="0" customWidth="1"/>
    <col min="11788" max="11788" width="6.8515625" style="0" customWidth="1"/>
    <col min="11789" max="11789" width="10.421875" style="0" bestFit="1" customWidth="1"/>
    <col min="11790" max="11790" width="13.28125" style="0" customWidth="1"/>
    <col min="11791" max="11791" width="12.140625" style="0" bestFit="1" customWidth="1"/>
    <col min="12033" max="12037" width="9.140625" style="0" hidden="1" customWidth="1"/>
    <col min="12038" max="12038" width="5.57421875" style="0" bestFit="1" customWidth="1"/>
    <col min="12039" max="12039" width="3.8515625" style="0" bestFit="1" customWidth="1"/>
    <col min="12040" max="12040" width="14.8515625" style="0" bestFit="1" customWidth="1"/>
    <col min="12041" max="12041" width="61.8515625" style="0" customWidth="1"/>
    <col min="12042" max="12042" width="6.57421875" style="0" bestFit="1" customWidth="1"/>
    <col min="12043" max="12043" width="13.7109375" style="0" customWidth="1"/>
    <col min="12044" max="12044" width="6.8515625" style="0" customWidth="1"/>
    <col min="12045" max="12045" width="10.421875" style="0" bestFit="1" customWidth="1"/>
    <col min="12046" max="12046" width="13.28125" style="0" customWidth="1"/>
    <col min="12047" max="12047" width="12.140625" style="0" bestFit="1" customWidth="1"/>
    <col min="12289" max="12293" width="9.140625" style="0" hidden="1" customWidth="1"/>
    <col min="12294" max="12294" width="5.57421875" style="0" bestFit="1" customWidth="1"/>
    <col min="12295" max="12295" width="3.8515625" style="0" bestFit="1" customWidth="1"/>
    <col min="12296" max="12296" width="14.8515625" style="0" bestFit="1" customWidth="1"/>
    <col min="12297" max="12297" width="61.8515625" style="0" customWidth="1"/>
    <col min="12298" max="12298" width="6.57421875" style="0" bestFit="1" customWidth="1"/>
    <col min="12299" max="12299" width="13.7109375" style="0" customWidth="1"/>
    <col min="12300" max="12300" width="6.8515625" style="0" customWidth="1"/>
    <col min="12301" max="12301" width="10.421875" style="0" bestFit="1" customWidth="1"/>
    <col min="12302" max="12302" width="13.28125" style="0" customWidth="1"/>
    <col min="12303" max="12303" width="12.140625" style="0" bestFit="1" customWidth="1"/>
    <col min="12545" max="12549" width="9.140625" style="0" hidden="1" customWidth="1"/>
    <col min="12550" max="12550" width="5.57421875" style="0" bestFit="1" customWidth="1"/>
    <col min="12551" max="12551" width="3.8515625" style="0" bestFit="1" customWidth="1"/>
    <col min="12552" max="12552" width="14.8515625" style="0" bestFit="1" customWidth="1"/>
    <col min="12553" max="12553" width="61.8515625" style="0" customWidth="1"/>
    <col min="12554" max="12554" width="6.57421875" style="0" bestFit="1" customWidth="1"/>
    <col min="12555" max="12555" width="13.7109375" style="0" customWidth="1"/>
    <col min="12556" max="12556" width="6.8515625" style="0" customWidth="1"/>
    <col min="12557" max="12557" width="10.421875" style="0" bestFit="1" customWidth="1"/>
    <col min="12558" max="12558" width="13.28125" style="0" customWidth="1"/>
    <col min="12559" max="12559" width="12.140625" style="0" bestFit="1" customWidth="1"/>
    <col min="12801" max="12805" width="9.140625" style="0" hidden="1" customWidth="1"/>
    <col min="12806" max="12806" width="5.57421875" style="0" bestFit="1" customWidth="1"/>
    <col min="12807" max="12807" width="3.8515625" style="0" bestFit="1" customWidth="1"/>
    <col min="12808" max="12808" width="14.8515625" style="0" bestFit="1" customWidth="1"/>
    <col min="12809" max="12809" width="61.8515625" style="0" customWidth="1"/>
    <col min="12810" max="12810" width="6.57421875" style="0" bestFit="1" customWidth="1"/>
    <col min="12811" max="12811" width="13.7109375" style="0" customWidth="1"/>
    <col min="12812" max="12812" width="6.8515625" style="0" customWidth="1"/>
    <col min="12813" max="12813" width="10.421875" style="0" bestFit="1" customWidth="1"/>
    <col min="12814" max="12814" width="13.28125" style="0" customWidth="1"/>
    <col min="12815" max="12815" width="12.140625" style="0" bestFit="1" customWidth="1"/>
    <col min="13057" max="13061" width="9.140625" style="0" hidden="1" customWidth="1"/>
    <col min="13062" max="13062" width="5.57421875" style="0" bestFit="1" customWidth="1"/>
    <col min="13063" max="13063" width="3.8515625" style="0" bestFit="1" customWidth="1"/>
    <col min="13064" max="13064" width="14.8515625" style="0" bestFit="1" customWidth="1"/>
    <col min="13065" max="13065" width="61.8515625" style="0" customWidth="1"/>
    <col min="13066" max="13066" width="6.57421875" style="0" bestFit="1" customWidth="1"/>
    <col min="13067" max="13067" width="13.7109375" style="0" customWidth="1"/>
    <col min="13068" max="13068" width="6.8515625" style="0" customWidth="1"/>
    <col min="13069" max="13069" width="10.421875" style="0" bestFit="1" customWidth="1"/>
    <col min="13070" max="13070" width="13.28125" style="0" customWidth="1"/>
    <col min="13071" max="13071" width="12.140625" style="0" bestFit="1" customWidth="1"/>
    <col min="13313" max="13317" width="9.140625" style="0" hidden="1" customWidth="1"/>
    <col min="13318" max="13318" width="5.57421875" style="0" bestFit="1" customWidth="1"/>
    <col min="13319" max="13319" width="3.8515625" style="0" bestFit="1" customWidth="1"/>
    <col min="13320" max="13320" width="14.8515625" style="0" bestFit="1" customWidth="1"/>
    <col min="13321" max="13321" width="61.8515625" style="0" customWidth="1"/>
    <col min="13322" max="13322" width="6.57421875" style="0" bestFit="1" customWidth="1"/>
    <col min="13323" max="13323" width="13.7109375" style="0" customWidth="1"/>
    <col min="13324" max="13324" width="6.8515625" style="0" customWidth="1"/>
    <col min="13325" max="13325" width="10.421875" style="0" bestFit="1" customWidth="1"/>
    <col min="13326" max="13326" width="13.28125" style="0" customWidth="1"/>
    <col min="13327" max="13327" width="12.140625" style="0" bestFit="1" customWidth="1"/>
    <col min="13569" max="13573" width="9.140625" style="0" hidden="1" customWidth="1"/>
    <col min="13574" max="13574" width="5.57421875" style="0" bestFit="1" customWidth="1"/>
    <col min="13575" max="13575" width="3.8515625" style="0" bestFit="1" customWidth="1"/>
    <col min="13576" max="13576" width="14.8515625" style="0" bestFit="1" customWidth="1"/>
    <col min="13577" max="13577" width="61.8515625" style="0" customWidth="1"/>
    <col min="13578" max="13578" width="6.57421875" style="0" bestFit="1" customWidth="1"/>
    <col min="13579" max="13579" width="13.7109375" style="0" customWidth="1"/>
    <col min="13580" max="13580" width="6.8515625" style="0" customWidth="1"/>
    <col min="13581" max="13581" width="10.421875" style="0" bestFit="1" customWidth="1"/>
    <col min="13582" max="13582" width="13.28125" style="0" customWidth="1"/>
    <col min="13583" max="13583" width="12.140625" style="0" bestFit="1" customWidth="1"/>
    <col min="13825" max="13829" width="9.140625" style="0" hidden="1" customWidth="1"/>
    <col min="13830" max="13830" width="5.57421875" style="0" bestFit="1" customWidth="1"/>
    <col min="13831" max="13831" width="3.8515625" style="0" bestFit="1" customWidth="1"/>
    <col min="13832" max="13832" width="14.8515625" style="0" bestFit="1" customWidth="1"/>
    <col min="13833" max="13833" width="61.8515625" style="0" customWidth="1"/>
    <col min="13834" max="13834" width="6.57421875" style="0" bestFit="1" customWidth="1"/>
    <col min="13835" max="13835" width="13.7109375" style="0" customWidth="1"/>
    <col min="13836" max="13836" width="6.8515625" style="0" customWidth="1"/>
    <col min="13837" max="13837" width="10.421875" style="0" bestFit="1" customWidth="1"/>
    <col min="13838" max="13838" width="13.28125" style="0" customWidth="1"/>
    <col min="13839" max="13839" width="12.140625" style="0" bestFit="1" customWidth="1"/>
    <col min="14081" max="14085" width="9.140625" style="0" hidden="1" customWidth="1"/>
    <col min="14086" max="14086" width="5.57421875" style="0" bestFit="1" customWidth="1"/>
    <col min="14087" max="14087" width="3.8515625" style="0" bestFit="1" customWidth="1"/>
    <col min="14088" max="14088" width="14.8515625" style="0" bestFit="1" customWidth="1"/>
    <col min="14089" max="14089" width="61.8515625" style="0" customWidth="1"/>
    <col min="14090" max="14090" width="6.57421875" style="0" bestFit="1" customWidth="1"/>
    <col min="14091" max="14091" width="13.7109375" style="0" customWidth="1"/>
    <col min="14092" max="14092" width="6.8515625" style="0" customWidth="1"/>
    <col min="14093" max="14093" width="10.421875" style="0" bestFit="1" customWidth="1"/>
    <col min="14094" max="14094" width="13.28125" style="0" customWidth="1"/>
    <col min="14095" max="14095" width="12.140625" style="0" bestFit="1" customWidth="1"/>
    <col min="14337" max="14341" width="9.140625" style="0" hidden="1" customWidth="1"/>
    <col min="14342" max="14342" width="5.57421875" style="0" bestFit="1" customWidth="1"/>
    <col min="14343" max="14343" width="3.8515625" style="0" bestFit="1" customWidth="1"/>
    <col min="14344" max="14344" width="14.8515625" style="0" bestFit="1" customWidth="1"/>
    <col min="14345" max="14345" width="61.8515625" style="0" customWidth="1"/>
    <col min="14346" max="14346" width="6.57421875" style="0" bestFit="1" customWidth="1"/>
    <col min="14347" max="14347" width="13.7109375" style="0" customWidth="1"/>
    <col min="14348" max="14348" width="6.8515625" style="0" customWidth="1"/>
    <col min="14349" max="14349" width="10.421875" style="0" bestFit="1" customWidth="1"/>
    <col min="14350" max="14350" width="13.28125" style="0" customWidth="1"/>
    <col min="14351" max="14351" width="12.140625" style="0" bestFit="1" customWidth="1"/>
    <col min="14593" max="14597" width="9.140625" style="0" hidden="1" customWidth="1"/>
    <col min="14598" max="14598" width="5.57421875" style="0" bestFit="1" customWidth="1"/>
    <col min="14599" max="14599" width="3.8515625" style="0" bestFit="1" customWidth="1"/>
    <col min="14600" max="14600" width="14.8515625" style="0" bestFit="1" customWidth="1"/>
    <col min="14601" max="14601" width="61.8515625" style="0" customWidth="1"/>
    <col min="14602" max="14602" width="6.57421875" style="0" bestFit="1" customWidth="1"/>
    <col min="14603" max="14603" width="13.7109375" style="0" customWidth="1"/>
    <col min="14604" max="14604" width="6.8515625" style="0" customWidth="1"/>
    <col min="14605" max="14605" width="10.421875" style="0" bestFit="1" customWidth="1"/>
    <col min="14606" max="14606" width="13.28125" style="0" customWidth="1"/>
    <col min="14607" max="14607" width="12.140625" style="0" bestFit="1" customWidth="1"/>
    <col min="14849" max="14853" width="9.140625" style="0" hidden="1" customWidth="1"/>
    <col min="14854" max="14854" width="5.57421875" style="0" bestFit="1" customWidth="1"/>
    <col min="14855" max="14855" width="3.8515625" style="0" bestFit="1" customWidth="1"/>
    <col min="14856" max="14856" width="14.8515625" style="0" bestFit="1" customWidth="1"/>
    <col min="14857" max="14857" width="61.8515625" style="0" customWidth="1"/>
    <col min="14858" max="14858" width="6.57421875" style="0" bestFit="1" customWidth="1"/>
    <col min="14859" max="14859" width="13.7109375" style="0" customWidth="1"/>
    <col min="14860" max="14860" width="6.8515625" style="0" customWidth="1"/>
    <col min="14861" max="14861" width="10.421875" style="0" bestFit="1" customWidth="1"/>
    <col min="14862" max="14862" width="13.28125" style="0" customWidth="1"/>
    <col min="14863" max="14863" width="12.140625" style="0" bestFit="1" customWidth="1"/>
    <col min="15105" max="15109" width="9.140625" style="0" hidden="1" customWidth="1"/>
    <col min="15110" max="15110" width="5.57421875" style="0" bestFit="1" customWidth="1"/>
    <col min="15111" max="15111" width="3.8515625" style="0" bestFit="1" customWidth="1"/>
    <col min="15112" max="15112" width="14.8515625" style="0" bestFit="1" customWidth="1"/>
    <col min="15113" max="15113" width="61.8515625" style="0" customWidth="1"/>
    <col min="15114" max="15114" width="6.57421875" style="0" bestFit="1" customWidth="1"/>
    <col min="15115" max="15115" width="13.7109375" style="0" customWidth="1"/>
    <col min="15116" max="15116" width="6.8515625" style="0" customWidth="1"/>
    <col min="15117" max="15117" width="10.421875" style="0" bestFit="1" customWidth="1"/>
    <col min="15118" max="15118" width="13.28125" style="0" customWidth="1"/>
    <col min="15119" max="15119" width="12.140625" style="0" bestFit="1" customWidth="1"/>
    <col min="15361" max="15365" width="9.140625" style="0" hidden="1" customWidth="1"/>
    <col min="15366" max="15366" width="5.57421875" style="0" bestFit="1" customWidth="1"/>
    <col min="15367" max="15367" width="3.8515625" style="0" bestFit="1" customWidth="1"/>
    <col min="15368" max="15368" width="14.8515625" style="0" bestFit="1" customWidth="1"/>
    <col min="15369" max="15369" width="61.8515625" style="0" customWidth="1"/>
    <col min="15370" max="15370" width="6.57421875" style="0" bestFit="1" customWidth="1"/>
    <col min="15371" max="15371" width="13.7109375" style="0" customWidth="1"/>
    <col min="15372" max="15372" width="6.8515625" style="0" customWidth="1"/>
    <col min="15373" max="15373" width="10.421875" style="0" bestFit="1" customWidth="1"/>
    <col min="15374" max="15374" width="13.28125" style="0" customWidth="1"/>
    <col min="15375" max="15375" width="12.140625" style="0" bestFit="1" customWidth="1"/>
    <col min="15617" max="15621" width="9.140625" style="0" hidden="1" customWidth="1"/>
    <col min="15622" max="15622" width="5.57421875" style="0" bestFit="1" customWidth="1"/>
    <col min="15623" max="15623" width="3.8515625" style="0" bestFit="1" customWidth="1"/>
    <col min="15624" max="15624" width="14.8515625" style="0" bestFit="1" customWidth="1"/>
    <col min="15625" max="15625" width="61.8515625" style="0" customWidth="1"/>
    <col min="15626" max="15626" width="6.57421875" style="0" bestFit="1" customWidth="1"/>
    <col min="15627" max="15627" width="13.7109375" style="0" customWidth="1"/>
    <col min="15628" max="15628" width="6.8515625" style="0" customWidth="1"/>
    <col min="15629" max="15629" width="10.421875" style="0" bestFit="1" customWidth="1"/>
    <col min="15630" max="15630" width="13.28125" style="0" customWidth="1"/>
    <col min="15631" max="15631" width="12.140625" style="0" bestFit="1" customWidth="1"/>
    <col min="15873" max="15877" width="9.140625" style="0" hidden="1" customWidth="1"/>
    <col min="15878" max="15878" width="5.57421875" style="0" bestFit="1" customWidth="1"/>
    <col min="15879" max="15879" width="3.8515625" style="0" bestFit="1" customWidth="1"/>
    <col min="15880" max="15880" width="14.8515625" style="0" bestFit="1" customWidth="1"/>
    <col min="15881" max="15881" width="61.8515625" style="0" customWidth="1"/>
    <col min="15882" max="15882" width="6.57421875" style="0" bestFit="1" customWidth="1"/>
    <col min="15883" max="15883" width="13.7109375" style="0" customWidth="1"/>
    <col min="15884" max="15884" width="6.8515625" style="0" customWidth="1"/>
    <col min="15885" max="15885" width="10.421875" style="0" bestFit="1" customWidth="1"/>
    <col min="15886" max="15886" width="13.28125" style="0" customWidth="1"/>
    <col min="15887" max="15887" width="12.140625" style="0" bestFit="1" customWidth="1"/>
    <col min="16129" max="16133" width="9.140625" style="0" hidden="1" customWidth="1"/>
    <col min="16134" max="16134" width="5.57421875" style="0" bestFit="1" customWidth="1"/>
    <col min="16135" max="16135" width="3.8515625" style="0" bestFit="1" customWidth="1"/>
    <col min="16136" max="16136" width="14.8515625" style="0" bestFit="1" customWidth="1"/>
    <col min="16137" max="16137" width="61.8515625" style="0" customWidth="1"/>
    <col min="16138" max="16138" width="6.57421875" style="0" bestFit="1" customWidth="1"/>
    <col min="16139" max="16139" width="13.7109375" style="0" customWidth="1"/>
    <col min="16140" max="16140" width="6.8515625" style="0" customWidth="1"/>
    <col min="16141" max="16141" width="10.421875" style="0" bestFit="1" customWidth="1"/>
    <col min="16142" max="16142" width="13.28125" style="0" customWidth="1"/>
    <col min="16143" max="16143" width="12.140625" style="0" bestFit="1" customWidth="1"/>
  </cols>
  <sheetData>
    <row r="1" spans="6:15" ht="21.6" customHeight="1">
      <c r="F1" s="38"/>
      <c r="G1" s="1"/>
      <c r="H1" s="1"/>
      <c r="I1" s="1" t="s">
        <v>0</v>
      </c>
      <c r="J1" s="1"/>
      <c r="K1" s="39"/>
      <c r="L1" s="40"/>
      <c r="M1" s="41"/>
      <c r="N1" s="40"/>
      <c r="O1" s="42"/>
    </row>
    <row r="2" spans="6:15" ht="21.6" customHeight="1">
      <c r="F2" s="43"/>
      <c r="G2" s="1"/>
      <c r="H2" s="1"/>
      <c r="I2" s="1"/>
      <c r="J2" s="1"/>
      <c r="K2" s="39"/>
      <c r="L2" s="40"/>
      <c r="M2" s="41"/>
      <c r="N2" s="40"/>
      <c r="O2" s="42"/>
    </row>
    <row r="3" spans="6:15" s="44" customFormat="1" ht="13.8" thickBot="1">
      <c r="F3" s="45" t="s">
        <v>27</v>
      </c>
      <c r="G3" s="46" t="s">
        <v>28</v>
      </c>
      <c r="H3" s="46" t="s">
        <v>29</v>
      </c>
      <c r="I3" s="47" t="s">
        <v>1</v>
      </c>
      <c r="J3" s="46" t="s">
        <v>30</v>
      </c>
      <c r="K3" s="48"/>
      <c r="L3" s="46" t="s">
        <v>31</v>
      </c>
      <c r="M3" s="46" t="s">
        <v>32</v>
      </c>
      <c r="N3" s="46" t="s">
        <v>33</v>
      </c>
      <c r="O3" s="46" t="s">
        <v>2</v>
      </c>
    </row>
    <row r="4" spans="6:15" ht="11.25" customHeight="1">
      <c r="F4" s="49"/>
      <c r="G4" s="50"/>
      <c r="H4" s="51"/>
      <c r="I4" s="52"/>
      <c r="J4" s="50"/>
      <c r="K4" s="53"/>
      <c r="L4" s="54"/>
      <c r="M4" s="54"/>
      <c r="N4" s="54"/>
      <c r="O4" s="54"/>
    </row>
    <row r="5" spans="6:15" s="55" customFormat="1" ht="17.25" customHeight="1">
      <c r="F5" s="56"/>
      <c r="G5" s="57"/>
      <c r="H5" s="58"/>
      <c r="I5" s="58" t="s">
        <v>1454</v>
      </c>
      <c r="J5" s="57"/>
      <c r="K5" s="59"/>
      <c r="L5" s="60"/>
      <c r="M5" s="61"/>
      <c r="N5" s="60"/>
      <c r="O5" s="6"/>
    </row>
    <row r="6" spans="6:15" s="62" customFormat="1" ht="12.75" customHeight="1" outlineLevel="2">
      <c r="F6" s="63"/>
      <c r="G6" s="64"/>
      <c r="H6" s="64"/>
      <c r="I6" s="65"/>
      <c r="J6" s="64"/>
      <c r="K6" s="66"/>
      <c r="L6" s="67"/>
      <c r="M6" s="68"/>
      <c r="N6" s="67"/>
      <c r="O6" s="69"/>
    </row>
    <row r="7" spans="6:15" s="70" customFormat="1" ht="16.5" customHeight="1" outlineLevel="1">
      <c r="F7" s="71"/>
      <c r="G7" s="50"/>
      <c r="H7" s="72"/>
      <c r="I7" s="72" t="s">
        <v>34</v>
      </c>
      <c r="J7" s="50"/>
      <c r="K7" s="73"/>
      <c r="L7" s="74"/>
      <c r="M7" s="75"/>
      <c r="N7" s="74"/>
      <c r="O7" s="8">
        <f>SUBTOTAL(9,O8:O25)</f>
        <v>0</v>
      </c>
    </row>
    <row r="8" spans="6:15" s="76" customFormat="1" ht="22.8" outlineLevel="2">
      <c r="F8" s="77">
        <v>1</v>
      </c>
      <c r="G8" s="78" t="s">
        <v>35</v>
      </c>
      <c r="H8" s="79" t="s">
        <v>36</v>
      </c>
      <c r="I8" s="80" t="s">
        <v>37</v>
      </c>
      <c r="J8" s="78" t="s">
        <v>38</v>
      </c>
      <c r="K8" s="81">
        <f>8*2.2*1+1.5*1.5*3</f>
        <v>24.35</v>
      </c>
      <c r="L8" s="82">
        <v>0</v>
      </c>
      <c r="M8" s="83">
        <f aca="true" t="shared" si="0" ref="M8:M25">K8*(1+L8/100)</f>
        <v>24.35</v>
      </c>
      <c r="N8" s="84"/>
      <c r="O8" s="85">
        <f aca="true" t="shared" si="1" ref="O8:O25">M8*N8</f>
        <v>0</v>
      </c>
    </row>
    <row r="9" spans="6:15" s="76" customFormat="1" ht="22.8" outlineLevel="2">
      <c r="F9" s="77">
        <v>2</v>
      </c>
      <c r="G9" s="78" t="s">
        <v>35</v>
      </c>
      <c r="H9" s="79" t="s">
        <v>39</v>
      </c>
      <c r="I9" s="80" t="s">
        <v>40</v>
      </c>
      <c r="J9" s="78" t="s">
        <v>38</v>
      </c>
      <c r="K9" s="81">
        <f>0.5*2+0.4*2+0.4*2+0.4*2+0.3*2+1</f>
        <v>5</v>
      </c>
      <c r="L9" s="82">
        <v>0</v>
      </c>
      <c r="M9" s="83">
        <f t="shared" si="0"/>
        <v>5</v>
      </c>
      <c r="N9" s="84"/>
      <c r="O9" s="85">
        <f t="shared" si="1"/>
        <v>0</v>
      </c>
    </row>
    <row r="10" spans="6:15" s="76" customFormat="1" ht="11.4" outlineLevel="2">
      <c r="F10" s="77">
        <v>3</v>
      </c>
      <c r="G10" s="78" t="s">
        <v>35</v>
      </c>
      <c r="H10" s="79" t="s">
        <v>41</v>
      </c>
      <c r="I10" s="80" t="s">
        <v>42</v>
      </c>
      <c r="J10" s="78" t="s">
        <v>43</v>
      </c>
      <c r="K10" s="81">
        <v>25</v>
      </c>
      <c r="L10" s="82">
        <v>0</v>
      </c>
      <c r="M10" s="83">
        <f t="shared" si="0"/>
        <v>25</v>
      </c>
      <c r="N10" s="84"/>
      <c r="O10" s="85">
        <f t="shared" si="1"/>
        <v>0</v>
      </c>
    </row>
    <row r="11" spans="6:15" s="76" customFormat="1" ht="11.4" outlineLevel="2">
      <c r="F11" s="77">
        <v>4</v>
      </c>
      <c r="G11" s="78" t="s">
        <v>35</v>
      </c>
      <c r="H11" s="79" t="s">
        <v>44</v>
      </c>
      <c r="I11" s="80" t="s">
        <v>45</v>
      </c>
      <c r="J11" s="78" t="s">
        <v>46</v>
      </c>
      <c r="K11" s="83">
        <f>0.8*2.1*0.5+0.6*0.6*2*0.5</f>
        <v>1.2000000000000002</v>
      </c>
      <c r="L11" s="84">
        <v>0</v>
      </c>
      <c r="M11" s="83">
        <f t="shared" si="0"/>
        <v>1.2000000000000002</v>
      </c>
      <c r="N11" s="84"/>
      <c r="O11" s="85">
        <f t="shared" si="1"/>
        <v>0</v>
      </c>
    </row>
    <row r="12" spans="6:15" s="76" customFormat="1" ht="22.8" outlineLevel="2">
      <c r="F12" s="77">
        <v>5</v>
      </c>
      <c r="G12" s="78" t="s">
        <v>35</v>
      </c>
      <c r="H12" s="79" t="s">
        <v>47</v>
      </c>
      <c r="I12" s="80" t="s">
        <v>48</v>
      </c>
      <c r="J12" s="78" t="s">
        <v>38</v>
      </c>
      <c r="K12" s="81">
        <f>(1.6+2.65+2.3+1.85+1+0.7+1.1+1.3+1.5+0.8+1+1+1.8*3+0.7+1.1+1.6)*3.5-0.7*2*7</f>
        <v>79.80000000000003</v>
      </c>
      <c r="L12" s="82">
        <v>0</v>
      </c>
      <c r="M12" s="83">
        <f>K12*(1+L12/100)</f>
        <v>79.80000000000003</v>
      </c>
      <c r="N12" s="84"/>
      <c r="O12" s="85">
        <f t="shared" si="1"/>
        <v>0</v>
      </c>
    </row>
    <row r="13" spans="6:15" s="76" customFormat="1" ht="22.8" outlineLevel="2">
      <c r="F13" s="77">
        <v>6</v>
      </c>
      <c r="G13" s="78" t="s">
        <v>35</v>
      </c>
      <c r="H13" s="79" t="s">
        <v>49</v>
      </c>
      <c r="I13" s="80" t="s">
        <v>50</v>
      </c>
      <c r="J13" s="78" t="s">
        <v>38</v>
      </c>
      <c r="K13" s="81">
        <f>(2.3+1+1.4+3.1+1.4+2+1.3+2.4+2.7+1.5)*3.5</f>
        <v>66.85000000000001</v>
      </c>
      <c r="L13" s="82">
        <v>0</v>
      </c>
      <c r="M13" s="83">
        <f t="shared" si="0"/>
        <v>66.85000000000001</v>
      </c>
      <c r="N13" s="84"/>
      <c r="O13" s="85">
        <f t="shared" si="1"/>
        <v>0</v>
      </c>
    </row>
    <row r="14" spans="6:15" s="76" customFormat="1" ht="22.8" outlineLevel="2">
      <c r="F14" s="77">
        <v>7</v>
      </c>
      <c r="G14" s="78" t="s">
        <v>35</v>
      </c>
      <c r="H14" s="79" t="s">
        <v>51</v>
      </c>
      <c r="I14" s="80" t="s">
        <v>52</v>
      </c>
      <c r="J14" s="78" t="s">
        <v>38</v>
      </c>
      <c r="K14" s="81">
        <f>(0.6+0.35)*3.5</f>
        <v>3.3249999999999997</v>
      </c>
      <c r="L14" s="82">
        <v>0</v>
      </c>
      <c r="M14" s="83">
        <f>K14*(1+L14/100)</f>
        <v>3.3249999999999997</v>
      </c>
      <c r="N14" s="84"/>
      <c r="O14" s="85">
        <f>M14*N14</f>
        <v>0</v>
      </c>
    </row>
    <row r="15" spans="6:15" s="76" customFormat="1" ht="11.4" outlineLevel="2">
      <c r="F15" s="77">
        <v>8</v>
      </c>
      <c r="G15" s="78" t="s">
        <v>35</v>
      </c>
      <c r="H15" s="79" t="s">
        <v>53</v>
      </c>
      <c r="I15" s="80" t="s">
        <v>54</v>
      </c>
      <c r="J15" s="78" t="s">
        <v>43</v>
      </c>
      <c r="K15" s="81">
        <v>8</v>
      </c>
      <c r="L15" s="82">
        <v>0</v>
      </c>
      <c r="M15" s="83">
        <f t="shared" si="0"/>
        <v>8</v>
      </c>
      <c r="N15" s="84"/>
      <c r="O15" s="85">
        <f aca="true" t="shared" si="2" ref="O15:O20">M15*N15</f>
        <v>0</v>
      </c>
    </row>
    <row r="16" spans="6:15" s="76" customFormat="1" ht="11.4" outlineLevel="2">
      <c r="F16" s="77">
        <v>9</v>
      </c>
      <c r="G16" s="78" t="s">
        <v>35</v>
      </c>
      <c r="H16" s="79" t="s">
        <v>55</v>
      </c>
      <c r="I16" s="80" t="s">
        <v>56</v>
      </c>
      <c r="J16" s="78" t="s">
        <v>43</v>
      </c>
      <c r="K16" s="81">
        <v>10</v>
      </c>
      <c r="L16" s="82">
        <v>0</v>
      </c>
      <c r="M16" s="83">
        <f t="shared" si="0"/>
        <v>10</v>
      </c>
      <c r="N16" s="84"/>
      <c r="O16" s="85">
        <f t="shared" si="2"/>
        <v>0</v>
      </c>
    </row>
    <row r="17" spans="6:15" s="76" customFormat="1" ht="11.4" outlineLevel="2">
      <c r="F17" s="77">
        <v>10</v>
      </c>
      <c r="G17" s="78" t="s">
        <v>35</v>
      </c>
      <c r="H17" s="79" t="s">
        <v>57</v>
      </c>
      <c r="I17" s="80" t="s">
        <v>58</v>
      </c>
      <c r="J17" s="78" t="s">
        <v>59</v>
      </c>
      <c r="K17" s="81">
        <v>0.12</v>
      </c>
      <c r="L17" s="82">
        <v>0</v>
      </c>
      <c r="M17" s="83">
        <f>K17*(1+L17/100)</f>
        <v>0.12</v>
      </c>
      <c r="N17" s="84"/>
      <c r="O17" s="85">
        <f t="shared" si="2"/>
        <v>0</v>
      </c>
    </row>
    <row r="18" spans="6:15" s="76" customFormat="1" ht="11.4" outlineLevel="2">
      <c r="F18" s="77">
        <v>11</v>
      </c>
      <c r="G18" s="78" t="s">
        <v>60</v>
      </c>
      <c r="H18" s="79" t="s">
        <v>61</v>
      </c>
      <c r="I18" s="80" t="s">
        <v>62</v>
      </c>
      <c r="J18" s="78" t="s">
        <v>59</v>
      </c>
      <c r="K18" s="81">
        <f>3.1*2*8.34/1000+2.2*3*8.34/1000</f>
        <v>0.106752</v>
      </c>
      <c r="L18" s="82">
        <v>5</v>
      </c>
      <c r="M18" s="83">
        <f>K18*(1+L18/100)</f>
        <v>0.1120896</v>
      </c>
      <c r="N18" s="84"/>
      <c r="O18" s="85">
        <f t="shared" si="2"/>
        <v>0</v>
      </c>
    </row>
    <row r="19" spans="6:15" s="76" customFormat="1" ht="11.4" outlineLevel="2">
      <c r="F19" s="77">
        <v>12</v>
      </c>
      <c r="G19" s="78" t="s">
        <v>60</v>
      </c>
      <c r="H19" s="79" t="s">
        <v>63</v>
      </c>
      <c r="I19" s="80" t="s">
        <v>64</v>
      </c>
      <c r="J19" s="78" t="s">
        <v>59</v>
      </c>
      <c r="K19" s="81">
        <f>1.2*2*5.42/1000</f>
        <v>0.013007999999999999</v>
      </c>
      <c r="L19" s="82">
        <v>5</v>
      </c>
      <c r="M19" s="83">
        <f>K19*(1+L19/100)</f>
        <v>0.0136584</v>
      </c>
      <c r="N19" s="84"/>
      <c r="O19" s="85">
        <f t="shared" si="2"/>
        <v>0</v>
      </c>
    </row>
    <row r="20" spans="6:15" s="76" customFormat="1" ht="11.4" outlineLevel="2">
      <c r="F20" s="77">
        <v>13</v>
      </c>
      <c r="G20" s="78" t="s">
        <v>35</v>
      </c>
      <c r="H20" s="79" t="s">
        <v>65</v>
      </c>
      <c r="I20" s="80" t="s">
        <v>66</v>
      </c>
      <c r="J20" s="78" t="s">
        <v>43</v>
      </c>
      <c r="K20" s="81">
        <v>2</v>
      </c>
      <c r="L20" s="82">
        <v>0</v>
      </c>
      <c r="M20" s="83">
        <f>K20*(1+L20/100)</f>
        <v>2</v>
      </c>
      <c r="N20" s="84"/>
      <c r="O20" s="85">
        <f t="shared" si="2"/>
        <v>0</v>
      </c>
    </row>
    <row r="21" spans="6:15" s="76" customFormat="1" ht="22.8" outlineLevel="2">
      <c r="F21" s="77">
        <v>14</v>
      </c>
      <c r="G21" s="78" t="s">
        <v>35</v>
      </c>
      <c r="H21" s="79" t="s">
        <v>67</v>
      </c>
      <c r="I21" s="80" t="s">
        <v>68</v>
      </c>
      <c r="J21" s="78" t="s">
        <v>69</v>
      </c>
      <c r="K21" s="81">
        <v>42</v>
      </c>
      <c r="L21" s="82">
        <v>0</v>
      </c>
      <c r="M21" s="83">
        <f>K21*(1+L21/100)</f>
        <v>42</v>
      </c>
      <c r="N21" s="84"/>
      <c r="O21" s="85">
        <f t="shared" si="1"/>
        <v>0</v>
      </c>
    </row>
    <row r="22" spans="6:15" s="76" customFormat="1" ht="22.8" outlineLevel="2">
      <c r="F22" s="77">
        <v>15</v>
      </c>
      <c r="G22" s="78" t="s">
        <v>35</v>
      </c>
      <c r="H22" s="79" t="s">
        <v>70</v>
      </c>
      <c r="I22" s="80" t="s">
        <v>71</v>
      </c>
      <c r="J22" s="78" t="s">
        <v>69</v>
      </c>
      <c r="K22" s="81">
        <f>6*3.5+8*2*2</f>
        <v>53</v>
      </c>
      <c r="L22" s="82">
        <v>0</v>
      </c>
      <c r="M22" s="83">
        <f>K21*(1+L22/100)</f>
        <v>42</v>
      </c>
      <c r="N22" s="84"/>
      <c r="O22" s="85">
        <f t="shared" si="1"/>
        <v>0</v>
      </c>
    </row>
    <row r="23" spans="6:15" s="76" customFormat="1" ht="22.8" outlineLevel="2">
      <c r="F23" s="77">
        <v>16</v>
      </c>
      <c r="G23" s="78" t="s">
        <v>35</v>
      </c>
      <c r="H23" s="79" t="s">
        <v>72</v>
      </c>
      <c r="I23" s="80" t="s">
        <v>73</v>
      </c>
      <c r="J23" s="78" t="s">
        <v>69</v>
      </c>
      <c r="K23" s="81">
        <v>17.5</v>
      </c>
      <c r="L23" s="82">
        <v>0</v>
      </c>
      <c r="M23" s="83">
        <f>K23*(1+L23/100)</f>
        <v>17.5</v>
      </c>
      <c r="N23" s="84"/>
      <c r="O23" s="85">
        <f>M23*N23</f>
        <v>0</v>
      </c>
    </row>
    <row r="24" spans="6:15" s="76" customFormat="1" ht="22.8" outlineLevel="2">
      <c r="F24" s="77">
        <v>17</v>
      </c>
      <c r="G24" s="78" t="s">
        <v>35</v>
      </c>
      <c r="H24" s="79" t="s">
        <v>74</v>
      </c>
      <c r="I24" s="80" t="s">
        <v>75</v>
      </c>
      <c r="J24" s="78" t="s">
        <v>69</v>
      </c>
      <c r="K24" s="81">
        <v>21</v>
      </c>
      <c r="L24" s="82">
        <v>0</v>
      </c>
      <c r="M24" s="83">
        <f t="shared" si="0"/>
        <v>21</v>
      </c>
      <c r="N24" s="84"/>
      <c r="O24" s="85">
        <f t="shared" si="1"/>
        <v>0</v>
      </c>
    </row>
    <row r="25" spans="6:15" s="76" customFormat="1" ht="22.8" outlineLevel="2">
      <c r="F25" s="77">
        <v>18</v>
      </c>
      <c r="G25" s="78" t="s">
        <v>35</v>
      </c>
      <c r="H25" s="79" t="s">
        <v>76</v>
      </c>
      <c r="I25" s="80" t="s">
        <v>77</v>
      </c>
      <c r="J25" s="78" t="s">
        <v>38</v>
      </c>
      <c r="K25" s="81">
        <f>(2+6+2+2+1+2+2+4+7)*0.1*(2+2+1)</f>
        <v>14.000000000000002</v>
      </c>
      <c r="L25" s="82">
        <v>0</v>
      </c>
      <c r="M25" s="83">
        <f t="shared" si="0"/>
        <v>14.000000000000002</v>
      </c>
      <c r="N25" s="84"/>
      <c r="O25" s="85">
        <f t="shared" si="1"/>
        <v>0</v>
      </c>
    </row>
    <row r="26" spans="6:15" s="62" customFormat="1" ht="12.75" customHeight="1" outlineLevel="2">
      <c r="F26" s="63"/>
      <c r="G26" s="64"/>
      <c r="H26" s="64"/>
      <c r="I26" s="65"/>
      <c r="J26" s="64"/>
      <c r="K26" s="66"/>
      <c r="L26" s="67"/>
      <c r="M26" s="68"/>
      <c r="N26" s="67"/>
      <c r="O26" s="69"/>
    </row>
    <row r="27" spans="6:15" s="70" customFormat="1" ht="16.5" customHeight="1" outlineLevel="1">
      <c r="F27" s="71"/>
      <c r="G27" s="50"/>
      <c r="H27" s="72"/>
      <c r="I27" s="72" t="s">
        <v>78</v>
      </c>
      <c r="J27" s="50"/>
      <c r="K27" s="73"/>
      <c r="L27" s="74"/>
      <c r="M27" s="75"/>
      <c r="N27" s="74"/>
      <c r="O27" s="8">
        <f>SUBTOTAL(9,O28:O40)</f>
        <v>0</v>
      </c>
    </row>
    <row r="28" spans="6:15" s="76" customFormat="1" ht="11.4" outlineLevel="2">
      <c r="F28" s="77">
        <v>19</v>
      </c>
      <c r="G28" s="78" t="s">
        <v>35</v>
      </c>
      <c r="H28" s="79" t="s">
        <v>79</v>
      </c>
      <c r="I28" s="80" t="s">
        <v>80</v>
      </c>
      <c r="J28" s="78" t="s">
        <v>46</v>
      </c>
      <c r="K28" s="81">
        <v>3.3</v>
      </c>
      <c r="L28" s="82">
        <v>0</v>
      </c>
      <c r="M28" s="83">
        <f aca="true" t="shared" si="3" ref="M28:M40">K28*(1+L28/100)</f>
        <v>3.3</v>
      </c>
      <c r="N28" s="84"/>
      <c r="O28" s="85">
        <f aca="true" t="shared" si="4" ref="O28:O40">M28*N28</f>
        <v>0</v>
      </c>
    </row>
    <row r="29" spans="6:15" s="76" customFormat="1" ht="11.4" outlineLevel="2">
      <c r="F29" s="77">
        <v>20</v>
      </c>
      <c r="G29" s="78" t="s">
        <v>35</v>
      </c>
      <c r="H29" s="79" t="s">
        <v>81</v>
      </c>
      <c r="I29" s="80" t="s">
        <v>82</v>
      </c>
      <c r="J29" s="78" t="s">
        <v>38</v>
      </c>
      <c r="K29" s="81">
        <v>754</v>
      </c>
      <c r="L29" s="82">
        <v>0</v>
      </c>
      <c r="M29" s="83">
        <f t="shared" si="3"/>
        <v>754</v>
      </c>
      <c r="N29" s="84"/>
      <c r="O29" s="85">
        <f t="shared" si="4"/>
        <v>0</v>
      </c>
    </row>
    <row r="30" spans="6:15" s="76" customFormat="1" ht="11.4" outlineLevel="2">
      <c r="F30" s="77">
        <v>21</v>
      </c>
      <c r="G30" s="78" t="s">
        <v>35</v>
      </c>
      <c r="H30" s="79" t="s">
        <v>83</v>
      </c>
      <c r="I30" s="80" t="s">
        <v>84</v>
      </c>
      <c r="J30" s="78" t="s">
        <v>38</v>
      </c>
      <c r="K30" s="81">
        <v>8</v>
      </c>
      <c r="L30" s="82">
        <v>0</v>
      </c>
      <c r="M30" s="83">
        <f t="shared" si="3"/>
        <v>8</v>
      </c>
      <c r="N30" s="84"/>
      <c r="O30" s="85">
        <f t="shared" si="4"/>
        <v>0</v>
      </c>
    </row>
    <row r="31" spans="6:15" s="76" customFormat="1" ht="11.4" outlineLevel="2">
      <c r="F31" s="77">
        <v>22</v>
      </c>
      <c r="G31" s="78" t="s">
        <v>35</v>
      </c>
      <c r="H31" s="79" t="s">
        <v>85</v>
      </c>
      <c r="I31" s="80" t="s">
        <v>86</v>
      </c>
      <c r="J31" s="78" t="s">
        <v>38</v>
      </c>
      <c r="K31" s="81">
        <v>19</v>
      </c>
      <c r="L31" s="82">
        <v>0</v>
      </c>
      <c r="M31" s="83">
        <f t="shared" si="3"/>
        <v>19</v>
      </c>
      <c r="N31" s="84"/>
      <c r="O31" s="85">
        <f t="shared" si="4"/>
        <v>0</v>
      </c>
    </row>
    <row r="32" spans="6:15" s="76" customFormat="1" ht="11.4" outlineLevel="2">
      <c r="F32" s="77">
        <v>23</v>
      </c>
      <c r="G32" s="78" t="s">
        <v>35</v>
      </c>
      <c r="H32" s="79" t="s">
        <v>87</v>
      </c>
      <c r="I32" s="80" t="s">
        <v>88</v>
      </c>
      <c r="J32" s="78" t="s">
        <v>38</v>
      </c>
      <c r="K32" s="81">
        <v>205</v>
      </c>
      <c r="L32" s="82"/>
      <c r="M32" s="83">
        <f t="shared" si="3"/>
        <v>205</v>
      </c>
      <c r="N32" s="84"/>
      <c r="O32" s="85">
        <f t="shared" si="4"/>
        <v>0</v>
      </c>
    </row>
    <row r="33" spans="6:15" s="76" customFormat="1" ht="11.4" outlineLevel="2">
      <c r="F33" s="77">
        <v>24</v>
      </c>
      <c r="G33" s="78" t="s">
        <v>35</v>
      </c>
      <c r="H33" s="79" t="s">
        <v>89</v>
      </c>
      <c r="I33" s="80" t="s">
        <v>90</v>
      </c>
      <c r="J33" s="78" t="s">
        <v>38</v>
      </c>
      <c r="K33" s="81">
        <v>609.3</v>
      </c>
      <c r="L33" s="82">
        <v>0</v>
      </c>
      <c r="M33" s="83">
        <f>K33*(1+L33/100)</f>
        <v>609.3</v>
      </c>
      <c r="N33" s="84"/>
      <c r="O33" s="85">
        <f t="shared" si="4"/>
        <v>0</v>
      </c>
    </row>
    <row r="34" spans="6:15" s="76" customFormat="1" ht="11.4" outlineLevel="2">
      <c r="F34" s="77">
        <v>25</v>
      </c>
      <c r="G34" s="78" t="s">
        <v>35</v>
      </c>
      <c r="H34" s="79" t="s">
        <v>91</v>
      </c>
      <c r="I34" s="80" t="s">
        <v>92</v>
      </c>
      <c r="J34" s="78" t="s">
        <v>38</v>
      </c>
      <c r="K34" s="81">
        <f>150*2+205+609.3</f>
        <v>1114.3</v>
      </c>
      <c r="L34" s="82">
        <v>5</v>
      </c>
      <c r="M34" s="83">
        <f t="shared" si="3"/>
        <v>1170.015</v>
      </c>
      <c r="N34" s="84"/>
      <c r="O34" s="85">
        <f t="shared" si="4"/>
        <v>0</v>
      </c>
    </row>
    <row r="35" spans="6:15" s="76" customFormat="1" ht="11.4" outlineLevel="2">
      <c r="F35" s="77">
        <v>26</v>
      </c>
      <c r="G35" s="78" t="s">
        <v>35</v>
      </c>
      <c r="H35" s="79" t="s">
        <v>93</v>
      </c>
      <c r="I35" s="80" t="s">
        <v>94</v>
      </c>
      <c r="J35" s="78" t="s">
        <v>43</v>
      </c>
      <c r="K35" s="81">
        <v>25</v>
      </c>
      <c r="L35" s="82">
        <v>0</v>
      </c>
      <c r="M35" s="83">
        <f t="shared" si="3"/>
        <v>25</v>
      </c>
      <c r="N35" s="84"/>
      <c r="O35" s="85">
        <f t="shared" si="4"/>
        <v>0</v>
      </c>
    </row>
    <row r="36" spans="6:15" s="76" customFormat="1" ht="11.4" outlineLevel="2">
      <c r="F36" s="77">
        <v>27</v>
      </c>
      <c r="G36" s="78" t="s">
        <v>35</v>
      </c>
      <c r="H36" s="79" t="s">
        <v>95</v>
      </c>
      <c r="I36" s="80" t="s">
        <v>96</v>
      </c>
      <c r="J36" s="78" t="s">
        <v>38</v>
      </c>
      <c r="K36" s="81">
        <v>195</v>
      </c>
      <c r="L36" s="82">
        <v>8</v>
      </c>
      <c r="M36" s="83">
        <f t="shared" si="3"/>
        <v>210.60000000000002</v>
      </c>
      <c r="N36" s="84"/>
      <c r="O36" s="85">
        <f t="shared" si="4"/>
        <v>0</v>
      </c>
    </row>
    <row r="37" spans="6:15" s="76" customFormat="1" ht="11.4" outlineLevel="2">
      <c r="F37" s="77">
        <v>28</v>
      </c>
      <c r="G37" s="78" t="s">
        <v>35</v>
      </c>
      <c r="H37" s="79" t="s">
        <v>97</v>
      </c>
      <c r="I37" s="80" t="s">
        <v>98</v>
      </c>
      <c r="J37" s="78" t="s">
        <v>38</v>
      </c>
      <c r="K37" s="81">
        <v>195</v>
      </c>
      <c r="L37" s="82">
        <v>8</v>
      </c>
      <c r="M37" s="83">
        <f t="shared" si="3"/>
        <v>210.60000000000002</v>
      </c>
      <c r="N37" s="84"/>
      <c r="O37" s="85">
        <f t="shared" si="4"/>
        <v>0</v>
      </c>
    </row>
    <row r="38" spans="6:15" s="76" customFormat="1" ht="22.8" outlineLevel="2">
      <c r="F38" s="77">
        <v>29</v>
      </c>
      <c r="G38" s="78" t="s">
        <v>35</v>
      </c>
      <c r="H38" s="79" t="s">
        <v>99</v>
      </c>
      <c r="I38" s="80" t="s">
        <v>100</v>
      </c>
      <c r="J38" s="78" t="s">
        <v>69</v>
      </c>
      <c r="K38" s="81">
        <v>62</v>
      </c>
      <c r="L38" s="82">
        <v>3</v>
      </c>
      <c r="M38" s="83">
        <f t="shared" si="3"/>
        <v>63.86</v>
      </c>
      <c r="N38" s="84"/>
      <c r="O38" s="85">
        <f t="shared" si="4"/>
        <v>0</v>
      </c>
    </row>
    <row r="39" spans="6:15" s="76" customFormat="1" ht="11.4" outlineLevel="2">
      <c r="F39" s="77">
        <v>30</v>
      </c>
      <c r="G39" s="78" t="s">
        <v>35</v>
      </c>
      <c r="H39" s="79" t="s">
        <v>101</v>
      </c>
      <c r="I39" s="80" t="s">
        <v>102</v>
      </c>
      <c r="J39" s="78" t="s">
        <v>38</v>
      </c>
      <c r="K39" s="81">
        <v>28</v>
      </c>
      <c r="L39" s="82">
        <v>8</v>
      </c>
      <c r="M39" s="83">
        <f t="shared" si="3"/>
        <v>30.240000000000002</v>
      </c>
      <c r="N39" s="84"/>
      <c r="O39" s="85">
        <f t="shared" si="4"/>
        <v>0</v>
      </c>
    </row>
    <row r="40" spans="6:15" s="76" customFormat="1" ht="11.4" outlineLevel="2">
      <c r="F40" s="77">
        <v>31</v>
      </c>
      <c r="G40" s="78" t="s">
        <v>35</v>
      </c>
      <c r="H40" s="79" t="s">
        <v>103</v>
      </c>
      <c r="I40" s="80" t="s">
        <v>104</v>
      </c>
      <c r="J40" s="78" t="s">
        <v>38</v>
      </c>
      <c r="K40" s="81">
        <v>220</v>
      </c>
      <c r="L40" s="82">
        <v>5</v>
      </c>
      <c r="M40" s="83">
        <f t="shared" si="3"/>
        <v>231</v>
      </c>
      <c r="N40" s="84"/>
      <c r="O40" s="85">
        <f t="shared" si="4"/>
        <v>0</v>
      </c>
    </row>
    <row r="41" spans="6:15" s="62" customFormat="1" ht="12.75" customHeight="1" outlineLevel="2">
      <c r="F41" s="63"/>
      <c r="G41" s="64"/>
      <c r="H41" s="64"/>
      <c r="I41" s="65"/>
      <c r="J41" s="64"/>
      <c r="K41" s="66"/>
      <c r="L41" s="67"/>
      <c r="M41" s="68"/>
      <c r="N41" s="67"/>
      <c r="O41" s="69"/>
    </row>
    <row r="42" spans="6:15" s="70" customFormat="1" ht="16.5" customHeight="1" outlineLevel="1">
      <c r="F42" s="71"/>
      <c r="G42" s="50"/>
      <c r="H42" s="72"/>
      <c r="I42" s="72" t="s">
        <v>105</v>
      </c>
      <c r="J42" s="50"/>
      <c r="K42" s="73"/>
      <c r="L42" s="74"/>
      <c r="M42" s="75"/>
      <c r="N42" s="74"/>
      <c r="O42" s="8">
        <f>SUBTOTAL(9,O43:O86)</f>
        <v>0</v>
      </c>
    </row>
    <row r="43" spans="6:15" s="70" customFormat="1" ht="22.8" outlineLevel="1">
      <c r="F43" s="77">
        <v>32</v>
      </c>
      <c r="G43" s="78" t="s">
        <v>35</v>
      </c>
      <c r="H43" s="79" t="s">
        <v>106</v>
      </c>
      <c r="I43" s="80" t="s">
        <v>107</v>
      </c>
      <c r="J43" s="78" t="s">
        <v>43</v>
      </c>
      <c r="K43" s="81">
        <v>4</v>
      </c>
      <c r="L43" s="82">
        <v>0</v>
      </c>
      <c r="M43" s="83">
        <f aca="true" t="shared" si="5" ref="M43:M86">K43*(1+L43/100)</f>
        <v>4</v>
      </c>
      <c r="N43" s="84"/>
      <c r="O43" s="85">
        <f aca="true" t="shared" si="6" ref="O43:O62">M43*N43</f>
        <v>0</v>
      </c>
    </row>
    <row r="44" spans="6:15" s="70" customFormat="1" ht="12" outlineLevel="1">
      <c r="F44" s="77">
        <v>33</v>
      </c>
      <c r="G44" s="78" t="s">
        <v>35</v>
      </c>
      <c r="H44" s="79" t="s">
        <v>108</v>
      </c>
      <c r="I44" s="80" t="s">
        <v>109</v>
      </c>
      <c r="J44" s="78" t="s">
        <v>110</v>
      </c>
      <c r="K44" s="81">
        <v>1</v>
      </c>
      <c r="L44" s="82">
        <v>0</v>
      </c>
      <c r="M44" s="83">
        <f t="shared" si="5"/>
        <v>1</v>
      </c>
      <c r="N44" s="84"/>
      <c r="O44" s="85">
        <f t="shared" si="6"/>
        <v>0</v>
      </c>
    </row>
    <row r="45" spans="6:15" s="70" customFormat="1" ht="12" outlineLevel="1">
      <c r="F45" s="77">
        <v>34</v>
      </c>
      <c r="G45" s="78" t="s">
        <v>35</v>
      </c>
      <c r="H45" s="79" t="s">
        <v>111</v>
      </c>
      <c r="I45" s="80" t="s">
        <v>112</v>
      </c>
      <c r="J45" s="78" t="s">
        <v>113</v>
      </c>
      <c r="K45" s="81">
        <v>1</v>
      </c>
      <c r="L45" s="82">
        <v>0</v>
      </c>
      <c r="M45" s="83">
        <f t="shared" si="5"/>
        <v>1</v>
      </c>
      <c r="N45" s="84"/>
      <c r="O45" s="85">
        <f t="shared" si="6"/>
        <v>0</v>
      </c>
    </row>
    <row r="46" spans="6:15" s="70" customFormat="1" ht="12" outlineLevel="1">
      <c r="F46" s="77">
        <v>35</v>
      </c>
      <c r="G46" s="78" t="s">
        <v>35</v>
      </c>
      <c r="H46" s="79" t="s">
        <v>114</v>
      </c>
      <c r="I46" s="80" t="s">
        <v>115</v>
      </c>
      <c r="J46" s="78" t="s">
        <v>43</v>
      </c>
      <c r="K46" s="81">
        <v>2</v>
      </c>
      <c r="L46" s="82">
        <v>0</v>
      </c>
      <c r="M46" s="83">
        <f t="shared" si="5"/>
        <v>2</v>
      </c>
      <c r="N46" s="84"/>
      <c r="O46" s="85">
        <f>M46*N46</f>
        <v>0</v>
      </c>
    </row>
    <row r="47" spans="6:15" s="70" customFormat="1" ht="22.8" outlineLevel="1">
      <c r="F47" s="77">
        <v>36</v>
      </c>
      <c r="G47" s="78" t="s">
        <v>35</v>
      </c>
      <c r="H47" s="79" t="s">
        <v>114</v>
      </c>
      <c r="I47" s="80" t="s">
        <v>116</v>
      </c>
      <c r="J47" s="78" t="s">
        <v>43</v>
      </c>
      <c r="K47" s="81">
        <v>1</v>
      </c>
      <c r="L47" s="82">
        <v>0</v>
      </c>
      <c r="M47" s="83">
        <f t="shared" si="5"/>
        <v>1</v>
      </c>
      <c r="N47" s="84"/>
      <c r="O47" s="85">
        <f>M47*N47</f>
        <v>0</v>
      </c>
    </row>
    <row r="48" spans="6:15" s="70" customFormat="1" ht="34.2" outlineLevel="1">
      <c r="F48" s="77" t="s">
        <v>117</v>
      </c>
      <c r="G48" s="78" t="s">
        <v>35</v>
      </c>
      <c r="H48" s="79" t="s">
        <v>114</v>
      </c>
      <c r="I48" s="80" t="s">
        <v>118</v>
      </c>
      <c r="J48" s="78" t="s">
        <v>110</v>
      </c>
      <c r="K48" s="81">
        <v>1</v>
      </c>
      <c r="L48" s="82">
        <v>0</v>
      </c>
      <c r="M48" s="83">
        <f>K48*(1+L48/100)</f>
        <v>1</v>
      </c>
      <c r="N48" s="84"/>
      <c r="O48" s="85">
        <f>M48*N48</f>
        <v>0</v>
      </c>
    </row>
    <row r="49" spans="6:15" s="70" customFormat="1" ht="12" outlineLevel="1">
      <c r="F49" s="77">
        <v>37</v>
      </c>
      <c r="G49" s="78" t="s">
        <v>35</v>
      </c>
      <c r="H49" s="79" t="s">
        <v>114</v>
      </c>
      <c r="I49" s="80" t="s">
        <v>119</v>
      </c>
      <c r="J49" s="78" t="s">
        <v>43</v>
      </c>
      <c r="K49" s="81">
        <v>1</v>
      </c>
      <c r="L49" s="82">
        <v>0</v>
      </c>
      <c r="M49" s="83">
        <f t="shared" si="5"/>
        <v>1</v>
      </c>
      <c r="N49" s="84"/>
      <c r="O49" s="85">
        <f>M49*N49</f>
        <v>0</v>
      </c>
    </row>
    <row r="50" spans="6:15" s="76" customFormat="1" ht="11.4" outlineLevel="2">
      <c r="F50" s="77">
        <v>38</v>
      </c>
      <c r="G50" s="78" t="s">
        <v>35</v>
      </c>
      <c r="H50" s="79" t="s">
        <v>120</v>
      </c>
      <c r="I50" s="80" t="s">
        <v>121</v>
      </c>
      <c r="J50" s="78" t="s">
        <v>38</v>
      </c>
      <c r="K50" s="81">
        <v>794</v>
      </c>
      <c r="L50" s="82">
        <v>0</v>
      </c>
      <c r="M50" s="83">
        <f t="shared" si="5"/>
        <v>794</v>
      </c>
      <c r="N50" s="84"/>
      <c r="O50" s="85">
        <f t="shared" si="6"/>
        <v>0</v>
      </c>
    </row>
    <row r="51" spans="6:15" s="76" customFormat="1" ht="22.8" outlineLevel="2">
      <c r="F51" s="77">
        <v>39</v>
      </c>
      <c r="G51" s="78" t="s">
        <v>35</v>
      </c>
      <c r="H51" s="79" t="s">
        <v>122</v>
      </c>
      <c r="I51" s="80" t="s">
        <v>123</v>
      </c>
      <c r="J51" s="78" t="s">
        <v>38</v>
      </c>
      <c r="K51" s="81">
        <v>794</v>
      </c>
      <c r="L51" s="82">
        <v>0</v>
      </c>
      <c r="M51" s="83">
        <f t="shared" si="5"/>
        <v>794</v>
      </c>
      <c r="N51" s="84"/>
      <c r="O51" s="85">
        <f t="shared" si="6"/>
        <v>0</v>
      </c>
    </row>
    <row r="52" spans="6:15" s="76" customFormat="1" ht="11.4" outlineLevel="2">
      <c r="F52" s="77">
        <v>40</v>
      </c>
      <c r="G52" s="78" t="s">
        <v>35</v>
      </c>
      <c r="H52" s="79" t="s">
        <v>124</v>
      </c>
      <c r="I52" s="80" t="s">
        <v>125</v>
      </c>
      <c r="J52" s="78" t="s">
        <v>38</v>
      </c>
      <c r="K52" s="81">
        <f>(3+1.4+1.4+0.5+0.25+3.1+3.15+1.2+2.75)*4.3+(2.3+1.75*3+2.6+1+1.5+1.2+4.7+1+1)*3.5</f>
        <v>143.95</v>
      </c>
      <c r="L52" s="82">
        <v>0</v>
      </c>
      <c r="M52" s="83">
        <f t="shared" si="5"/>
        <v>143.95</v>
      </c>
      <c r="N52" s="84"/>
      <c r="O52" s="85">
        <f t="shared" si="6"/>
        <v>0</v>
      </c>
    </row>
    <row r="53" spans="6:15" s="76" customFormat="1" ht="11.4" outlineLevel="2">
      <c r="F53" s="77">
        <v>41</v>
      </c>
      <c r="G53" s="78" t="s">
        <v>35</v>
      </c>
      <c r="H53" s="79" t="s">
        <v>126</v>
      </c>
      <c r="I53" s="80" t="s">
        <v>127</v>
      </c>
      <c r="J53" s="78" t="s">
        <v>38</v>
      </c>
      <c r="K53" s="81">
        <v>36</v>
      </c>
      <c r="L53" s="82">
        <v>0</v>
      </c>
      <c r="M53" s="83">
        <f t="shared" si="5"/>
        <v>36</v>
      </c>
      <c r="N53" s="84"/>
      <c r="O53" s="85">
        <f t="shared" si="6"/>
        <v>0</v>
      </c>
    </row>
    <row r="54" spans="6:15" s="76" customFormat="1" ht="11.4" outlineLevel="2">
      <c r="F54" s="77">
        <v>42</v>
      </c>
      <c r="G54" s="78" t="s">
        <v>35</v>
      </c>
      <c r="H54" s="79" t="s">
        <v>128</v>
      </c>
      <c r="I54" s="80" t="s">
        <v>129</v>
      </c>
      <c r="J54" s="78" t="s">
        <v>38</v>
      </c>
      <c r="K54" s="81">
        <f>13.73+20.59+12.61+42.84+7.21+10.21+10.24+4.55+30.42+1.72+1.72+7.3</f>
        <v>163.14</v>
      </c>
      <c r="L54" s="82">
        <v>0</v>
      </c>
      <c r="M54" s="83">
        <f t="shared" si="5"/>
        <v>163.14</v>
      </c>
      <c r="N54" s="84"/>
      <c r="O54" s="85">
        <f t="shared" si="6"/>
        <v>0</v>
      </c>
    </row>
    <row r="55" spans="6:15" s="76" customFormat="1" ht="11.4" outlineLevel="2">
      <c r="F55" s="77">
        <v>43</v>
      </c>
      <c r="G55" s="78" t="s">
        <v>35</v>
      </c>
      <c r="H55" s="79" t="s">
        <v>130</v>
      </c>
      <c r="I55" s="80" t="s">
        <v>131</v>
      </c>
      <c r="J55" s="78" t="s">
        <v>69</v>
      </c>
      <c r="K55" s="81">
        <v>25</v>
      </c>
      <c r="L55" s="82">
        <v>0</v>
      </c>
      <c r="M55" s="83">
        <f t="shared" si="5"/>
        <v>25</v>
      </c>
      <c r="N55" s="84"/>
      <c r="O55" s="85">
        <f t="shared" si="6"/>
        <v>0</v>
      </c>
    </row>
    <row r="56" spans="6:15" s="76" customFormat="1" ht="11.4" outlineLevel="2">
      <c r="F56" s="77">
        <v>44</v>
      </c>
      <c r="G56" s="78" t="s">
        <v>35</v>
      </c>
      <c r="H56" s="79" t="s">
        <v>132</v>
      </c>
      <c r="I56" s="80" t="s">
        <v>133</v>
      </c>
      <c r="J56" s="78" t="s">
        <v>69</v>
      </c>
      <c r="K56" s="81">
        <v>22</v>
      </c>
      <c r="L56" s="82">
        <v>0</v>
      </c>
      <c r="M56" s="83">
        <f t="shared" si="5"/>
        <v>22</v>
      </c>
      <c r="N56" s="84"/>
      <c r="O56" s="85">
        <f t="shared" si="6"/>
        <v>0</v>
      </c>
    </row>
    <row r="57" spans="6:15" s="76" customFormat="1" ht="11.4" outlineLevel="2">
      <c r="F57" s="77">
        <v>45</v>
      </c>
      <c r="G57" s="78" t="s">
        <v>35</v>
      </c>
      <c r="H57" s="79" t="s">
        <v>134</v>
      </c>
      <c r="I57" s="80" t="s">
        <v>135</v>
      </c>
      <c r="J57" s="78" t="s">
        <v>69</v>
      </c>
      <c r="K57" s="81">
        <f>1.5*10+1.25*8</f>
        <v>25</v>
      </c>
      <c r="L57" s="82">
        <v>0</v>
      </c>
      <c r="M57" s="83">
        <f t="shared" si="5"/>
        <v>25</v>
      </c>
      <c r="N57" s="84"/>
      <c r="O57" s="85">
        <f t="shared" si="6"/>
        <v>0</v>
      </c>
    </row>
    <row r="58" spans="6:15" s="76" customFormat="1" ht="11.4" outlineLevel="2">
      <c r="F58" s="77">
        <v>46</v>
      </c>
      <c r="G58" s="78" t="s">
        <v>35</v>
      </c>
      <c r="H58" s="79" t="s">
        <v>136</v>
      </c>
      <c r="I58" s="80" t="s">
        <v>137</v>
      </c>
      <c r="J58" s="78" t="s">
        <v>38</v>
      </c>
      <c r="K58" s="81">
        <v>6.7</v>
      </c>
      <c r="L58" s="82">
        <v>0</v>
      </c>
      <c r="M58" s="83">
        <f t="shared" si="5"/>
        <v>6.7</v>
      </c>
      <c r="N58" s="84"/>
      <c r="O58" s="85">
        <f t="shared" si="6"/>
        <v>0</v>
      </c>
    </row>
    <row r="59" spans="6:15" s="76" customFormat="1" ht="11.4" outlineLevel="2">
      <c r="F59" s="77">
        <v>47</v>
      </c>
      <c r="G59" s="78" t="s">
        <v>35</v>
      </c>
      <c r="H59" s="79" t="s">
        <v>138</v>
      </c>
      <c r="I59" s="80" t="s">
        <v>139</v>
      </c>
      <c r="J59" s="78" t="s">
        <v>38</v>
      </c>
      <c r="K59" s="81">
        <v>12.5</v>
      </c>
      <c r="L59" s="82">
        <v>0</v>
      </c>
      <c r="M59" s="83">
        <f t="shared" si="5"/>
        <v>12.5</v>
      </c>
      <c r="N59" s="84"/>
      <c r="O59" s="85">
        <f t="shared" si="6"/>
        <v>0</v>
      </c>
    </row>
    <row r="60" spans="6:15" s="76" customFormat="1" ht="11.4" outlineLevel="2">
      <c r="F60" s="77">
        <v>48</v>
      </c>
      <c r="G60" s="78" t="s">
        <v>35</v>
      </c>
      <c r="H60" s="79" t="s">
        <v>140</v>
      </c>
      <c r="I60" s="80" t="s">
        <v>141</v>
      </c>
      <c r="J60" s="78" t="s">
        <v>43</v>
      </c>
      <c r="K60" s="83">
        <v>5</v>
      </c>
      <c r="L60" s="82">
        <v>0</v>
      </c>
      <c r="M60" s="83">
        <f t="shared" si="5"/>
        <v>5</v>
      </c>
      <c r="N60" s="84"/>
      <c r="O60" s="85">
        <f t="shared" si="6"/>
        <v>0</v>
      </c>
    </row>
    <row r="61" spans="6:15" s="76" customFormat="1" ht="11.4" outlineLevel="2">
      <c r="F61" s="77">
        <v>49</v>
      </c>
      <c r="G61" s="78" t="s">
        <v>35</v>
      </c>
      <c r="H61" s="79" t="s">
        <v>142</v>
      </c>
      <c r="I61" s="80" t="s">
        <v>143</v>
      </c>
      <c r="J61" s="78" t="s">
        <v>43</v>
      </c>
      <c r="K61" s="83">
        <v>1</v>
      </c>
      <c r="L61" s="82">
        <v>0</v>
      </c>
      <c r="M61" s="83">
        <f t="shared" si="5"/>
        <v>1</v>
      </c>
      <c r="N61" s="84"/>
      <c r="O61" s="85">
        <f t="shared" si="6"/>
        <v>0</v>
      </c>
    </row>
    <row r="62" spans="6:15" s="76" customFormat="1" ht="11.4" outlineLevel="2">
      <c r="F62" s="77">
        <v>50</v>
      </c>
      <c r="G62" s="78" t="s">
        <v>35</v>
      </c>
      <c r="H62" s="79" t="s">
        <v>134</v>
      </c>
      <c r="I62" s="80" t="s">
        <v>144</v>
      </c>
      <c r="J62" s="78" t="s">
        <v>69</v>
      </c>
      <c r="K62" s="81">
        <f>3.1*2+2.2*3</f>
        <v>12.8</v>
      </c>
      <c r="L62" s="82">
        <v>0</v>
      </c>
      <c r="M62" s="83">
        <f t="shared" si="5"/>
        <v>12.8</v>
      </c>
      <c r="N62" s="84"/>
      <c r="O62" s="85">
        <f t="shared" si="6"/>
        <v>0</v>
      </c>
    </row>
    <row r="63" spans="6:15" s="76" customFormat="1" ht="11.4" outlineLevel="2">
      <c r="F63" s="77">
        <v>51</v>
      </c>
      <c r="G63" s="78" t="s">
        <v>35</v>
      </c>
      <c r="H63" s="79" t="s">
        <v>145</v>
      </c>
      <c r="I63" s="80" t="s">
        <v>146</v>
      </c>
      <c r="J63" s="78" t="s">
        <v>46</v>
      </c>
      <c r="K63" s="81">
        <f>0.55*0.45*3.4*4+1.05*0.45*1*2</f>
        <v>4.311</v>
      </c>
      <c r="L63" s="82">
        <v>0</v>
      </c>
      <c r="M63" s="83">
        <f t="shared" si="5"/>
        <v>4.311</v>
      </c>
      <c r="N63" s="84"/>
      <c r="O63" s="85">
        <f>M63*N63</f>
        <v>0</v>
      </c>
    </row>
    <row r="64" spans="6:15" s="76" customFormat="1" ht="11.4" outlineLevel="2">
      <c r="F64" s="77">
        <v>52</v>
      </c>
      <c r="G64" s="78" t="s">
        <v>35</v>
      </c>
      <c r="H64" s="79" t="s">
        <v>147</v>
      </c>
      <c r="I64" s="80" t="s">
        <v>148</v>
      </c>
      <c r="J64" s="78" t="s">
        <v>46</v>
      </c>
      <c r="K64" s="81">
        <f>(2.1+0.6)*0.45*0.35*2</f>
        <v>0.8505</v>
      </c>
      <c r="L64" s="82">
        <v>0</v>
      </c>
      <c r="M64" s="83">
        <f t="shared" si="5"/>
        <v>0.8505</v>
      </c>
      <c r="N64" s="84"/>
      <c r="O64" s="85">
        <f>M64*N64</f>
        <v>0</v>
      </c>
    </row>
    <row r="65" spans="6:15" s="76" customFormat="1" ht="11.4" outlineLevel="2">
      <c r="F65" s="77">
        <v>53</v>
      </c>
      <c r="G65" s="78" t="s">
        <v>35</v>
      </c>
      <c r="H65" s="79" t="s">
        <v>149</v>
      </c>
      <c r="I65" s="80" t="s">
        <v>150</v>
      </c>
      <c r="J65" s="78" t="s">
        <v>43</v>
      </c>
      <c r="K65" s="81">
        <v>15</v>
      </c>
      <c r="L65" s="82">
        <v>0</v>
      </c>
      <c r="M65" s="83">
        <f t="shared" si="5"/>
        <v>15</v>
      </c>
      <c r="N65" s="84"/>
      <c r="O65" s="85">
        <f>M65*N65</f>
        <v>0</v>
      </c>
    </row>
    <row r="66" spans="6:15" s="76" customFormat="1" ht="11.4" outlineLevel="2">
      <c r="F66" s="77">
        <v>54</v>
      </c>
      <c r="G66" s="78" t="s">
        <v>35</v>
      </c>
      <c r="H66" s="79" t="s">
        <v>151</v>
      </c>
      <c r="I66" s="80" t="s">
        <v>152</v>
      </c>
      <c r="J66" s="78" t="s">
        <v>46</v>
      </c>
      <c r="K66" s="81">
        <v>5.5</v>
      </c>
      <c r="L66" s="82">
        <v>0</v>
      </c>
      <c r="M66" s="83">
        <f t="shared" si="5"/>
        <v>5.5</v>
      </c>
      <c r="N66" s="84"/>
      <c r="O66" s="85">
        <f>M66*N66</f>
        <v>0</v>
      </c>
    </row>
    <row r="67" spans="6:15" s="76" customFormat="1" ht="22.8" outlineLevel="2">
      <c r="F67" s="77">
        <v>55</v>
      </c>
      <c r="G67" s="78" t="s">
        <v>35</v>
      </c>
      <c r="H67" s="79" t="s">
        <v>153</v>
      </c>
      <c r="I67" s="80" t="s">
        <v>154</v>
      </c>
      <c r="J67" s="78" t="s">
        <v>38</v>
      </c>
      <c r="K67" s="81">
        <v>444</v>
      </c>
      <c r="L67" s="82">
        <v>0</v>
      </c>
      <c r="M67" s="83">
        <f t="shared" si="5"/>
        <v>444</v>
      </c>
      <c r="N67" s="84"/>
      <c r="O67" s="85">
        <f aca="true" t="shared" si="7" ref="O67:O86">M67*N67</f>
        <v>0</v>
      </c>
    </row>
    <row r="68" spans="6:15" s="76" customFormat="1" ht="22.8" outlineLevel="2">
      <c r="F68" s="77">
        <v>56</v>
      </c>
      <c r="G68" s="78" t="s">
        <v>35</v>
      </c>
      <c r="H68" s="79" t="s">
        <v>155</v>
      </c>
      <c r="I68" s="80" t="s">
        <v>156</v>
      </c>
      <c r="J68" s="78" t="s">
        <v>38</v>
      </c>
      <c r="K68" s="81">
        <f>444*20</f>
        <v>8880</v>
      </c>
      <c r="L68" s="82">
        <v>0</v>
      </c>
      <c r="M68" s="83">
        <f t="shared" si="5"/>
        <v>8880</v>
      </c>
      <c r="N68" s="84"/>
      <c r="O68" s="85">
        <f t="shared" si="7"/>
        <v>0</v>
      </c>
    </row>
    <row r="69" spans="6:15" s="76" customFormat="1" ht="22.8" outlineLevel="2">
      <c r="F69" s="77">
        <v>57</v>
      </c>
      <c r="G69" s="78" t="s">
        <v>35</v>
      </c>
      <c r="H69" s="79" t="s">
        <v>157</v>
      </c>
      <c r="I69" s="80" t="s">
        <v>158</v>
      </c>
      <c r="J69" s="78" t="s">
        <v>38</v>
      </c>
      <c r="K69" s="81">
        <v>444</v>
      </c>
      <c r="L69" s="82">
        <v>0</v>
      </c>
      <c r="M69" s="83">
        <f t="shared" si="5"/>
        <v>444</v>
      </c>
      <c r="N69" s="84"/>
      <c r="O69" s="85">
        <f t="shared" si="7"/>
        <v>0</v>
      </c>
    </row>
    <row r="70" spans="6:15" s="76" customFormat="1" ht="11.4" outlineLevel="2">
      <c r="F70" s="77">
        <v>58</v>
      </c>
      <c r="G70" s="78" t="s">
        <v>35</v>
      </c>
      <c r="H70" s="79" t="s">
        <v>159</v>
      </c>
      <c r="I70" s="80" t="s">
        <v>160</v>
      </c>
      <c r="J70" s="78" t="s">
        <v>38</v>
      </c>
      <c r="K70" s="81">
        <v>444</v>
      </c>
      <c r="L70" s="82">
        <v>0</v>
      </c>
      <c r="M70" s="83">
        <f t="shared" si="5"/>
        <v>444</v>
      </c>
      <c r="N70" s="84"/>
      <c r="O70" s="85">
        <f t="shared" si="7"/>
        <v>0</v>
      </c>
    </row>
    <row r="71" spans="6:15" s="76" customFormat="1" ht="11.4" outlineLevel="2">
      <c r="F71" s="77">
        <v>59</v>
      </c>
      <c r="G71" s="78" t="s">
        <v>35</v>
      </c>
      <c r="H71" s="79" t="s">
        <v>161</v>
      </c>
      <c r="I71" s="80" t="s">
        <v>162</v>
      </c>
      <c r="J71" s="78" t="s">
        <v>38</v>
      </c>
      <c r="K71" s="81">
        <v>8880</v>
      </c>
      <c r="L71" s="82">
        <v>0</v>
      </c>
      <c r="M71" s="83">
        <f t="shared" si="5"/>
        <v>8880</v>
      </c>
      <c r="N71" s="84"/>
      <c r="O71" s="85">
        <f t="shared" si="7"/>
        <v>0</v>
      </c>
    </row>
    <row r="72" spans="6:15" s="76" customFormat="1" ht="11.4" outlineLevel="2">
      <c r="F72" s="77">
        <v>60</v>
      </c>
      <c r="G72" s="78" t="s">
        <v>35</v>
      </c>
      <c r="H72" s="79" t="s">
        <v>163</v>
      </c>
      <c r="I72" s="80" t="s">
        <v>164</v>
      </c>
      <c r="J72" s="78" t="s">
        <v>38</v>
      </c>
      <c r="K72" s="81">
        <v>444</v>
      </c>
      <c r="L72" s="82">
        <v>0</v>
      </c>
      <c r="M72" s="83">
        <f t="shared" si="5"/>
        <v>444</v>
      </c>
      <c r="N72" s="84"/>
      <c r="O72" s="85">
        <f t="shared" si="7"/>
        <v>0</v>
      </c>
    </row>
    <row r="73" spans="6:15" s="76" customFormat="1" ht="11.4" outlineLevel="2">
      <c r="F73" s="77">
        <v>61</v>
      </c>
      <c r="G73" s="78" t="s">
        <v>35</v>
      </c>
      <c r="H73" s="79" t="s">
        <v>165</v>
      </c>
      <c r="I73" s="80" t="s">
        <v>166</v>
      </c>
      <c r="J73" s="78" t="s">
        <v>113</v>
      </c>
      <c r="K73" s="81">
        <v>1</v>
      </c>
      <c r="L73" s="82">
        <v>0</v>
      </c>
      <c r="M73" s="83">
        <f t="shared" si="5"/>
        <v>1</v>
      </c>
      <c r="N73" s="84"/>
      <c r="O73" s="85">
        <f t="shared" si="7"/>
        <v>0</v>
      </c>
    </row>
    <row r="74" spans="6:15" s="76" customFormat="1" ht="11.4" outlineLevel="2">
      <c r="F74" s="77">
        <v>62</v>
      </c>
      <c r="G74" s="78" t="s">
        <v>35</v>
      </c>
      <c r="H74" s="79" t="s">
        <v>167</v>
      </c>
      <c r="I74" s="80" t="s">
        <v>168</v>
      </c>
      <c r="J74" s="78" t="s">
        <v>113</v>
      </c>
      <c r="K74" s="81">
        <v>1</v>
      </c>
      <c r="L74" s="82">
        <v>0</v>
      </c>
      <c r="M74" s="83">
        <f>K74*(1+L74/100)</f>
        <v>1</v>
      </c>
      <c r="N74" s="84"/>
      <c r="O74" s="85">
        <f t="shared" si="7"/>
        <v>0</v>
      </c>
    </row>
    <row r="75" spans="6:15" s="76" customFormat="1" ht="11.4" outlineLevel="2">
      <c r="F75" s="77">
        <v>63</v>
      </c>
      <c r="G75" s="78" t="s">
        <v>35</v>
      </c>
      <c r="H75" s="79" t="s">
        <v>169</v>
      </c>
      <c r="I75" s="80" t="s">
        <v>170</v>
      </c>
      <c r="J75" s="78" t="s">
        <v>113</v>
      </c>
      <c r="K75" s="81">
        <v>1</v>
      </c>
      <c r="L75" s="82">
        <v>0</v>
      </c>
      <c r="M75" s="83">
        <f>K75*(1+L75/100)</f>
        <v>1</v>
      </c>
      <c r="N75" s="84"/>
      <c r="O75" s="85">
        <f t="shared" si="7"/>
        <v>0</v>
      </c>
    </row>
    <row r="76" spans="6:15" s="76" customFormat="1" ht="11.4" outlineLevel="2">
      <c r="F76" s="77">
        <v>64</v>
      </c>
      <c r="G76" s="78" t="s">
        <v>35</v>
      </c>
      <c r="H76" s="79" t="s">
        <v>171</v>
      </c>
      <c r="I76" s="80" t="s">
        <v>172</v>
      </c>
      <c r="J76" s="78" t="s">
        <v>38</v>
      </c>
      <c r="K76" s="81">
        <v>400</v>
      </c>
      <c r="L76" s="82">
        <v>0</v>
      </c>
      <c r="M76" s="83">
        <f t="shared" si="5"/>
        <v>400</v>
      </c>
      <c r="N76" s="84"/>
      <c r="O76" s="85">
        <f t="shared" si="7"/>
        <v>0</v>
      </c>
    </row>
    <row r="77" spans="6:15" s="76" customFormat="1" ht="11.4" outlineLevel="2">
      <c r="F77" s="77">
        <v>65</v>
      </c>
      <c r="G77" s="78" t="s">
        <v>35</v>
      </c>
      <c r="H77" s="79" t="s">
        <v>173</v>
      </c>
      <c r="I77" s="80" t="s">
        <v>174</v>
      </c>
      <c r="J77" s="78" t="s">
        <v>38</v>
      </c>
      <c r="K77" s="81">
        <v>200</v>
      </c>
      <c r="L77" s="82">
        <v>0</v>
      </c>
      <c r="M77" s="83">
        <f t="shared" si="5"/>
        <v>200</v>
      </c>
      <c r="N77" s="84"/>
      <c r="O77" s="85">
        <f t="shared" si="7"/>
        <v>0</v>
      </c>
    </row>
    <row r="78" spans="6:15" s="76" customFormat="1" ht="11.4" outlineLevel="2">
      <c r="F78" s="77">
        <v>66</v>
      </c>
      <c r="G78" s="78" t="s">
        <v>35</v>
      </c>
      <c r="H78" s="79" t="s">
        <v>175</v>
      </c>
      <c r="I78" s="80" t="s">
        <v>176</v>
      </c>
      <c r="J78" s="78" t="s">
        <v>59</v>
      </c>
      <c r="K78" s="81">
        <v>49.5</v>
      </c>
      <c r="L78" s="82">
        <v>0</v>
      </c>
      <c r="M78" s="83">
        <f t="shared" si="5"/>
        <v>49.5</v>
      </c>
      <c r="N78" s="84"/>
      <c r="O78" s="85">
        <f t="shared" si="7"/>
        <v>0</v>
      </c>
    </row>
    <row r="79" spans="6:15" s="76" customFormat="1" ht="11.4" outlineLevel="2">
      <c r="F79" s="77">
        <v>67</v>
      </c>
      <c r="G79" s="78" t="s">
        <v>35</v>
      </c>
      <c r="H79" s="79" t="s">
        <v>177</v>
      </c>
      <c r="I79" s="80" t="s">
        <v>178</v>
      </c>
      <c r="J79" s="78" t="s">
        <v>59</v>
      </c>
      <c r="K79" s="81">
        <f>49.5*8</f>
        <v>396</v>
      </c>
      <c r="L79" s="82">
        <v>0</v>
      </c>
      <c r="M79" s="83">
        <f t="shared" si="5"/>
        <v>396</v>
      </c>
      <c r="N79" s="84"/>
      <c r="O79" s="85">
        <f t="shared" si="7"/>
        <v>0</v>
      </c>
    </row>
    <row r="80" spans="6:15" s="76" customFormat="1" ht="11.4" outlineLevel="2">
      <c r="F80" s="77">
        <v>68</v>
      </c>
      <c r="G80" s="78" t="s">
        <v>35</v>
      </c>
      <c r="H80" s="79" t="s">
        <v>179</v>
      </c>
      <c r="I80" s="80" t="s">
        <v>180</v>
      </c>
      <c r="J80" s="78" t="s">
        <v>59</v>
      </c>
      <c r="K80" s="81">
        <v>49.5</v>
      </c>
      <c r="L80" s="82">
        <v>0</v>
      </c>
      <c r="M80" s="83">
        <f t="shared" si="5"/>
        <v>49.5</v>
      </c>
      <c r="N80" s="84"/>
      <c r="O80" s="85">
        <f t="shared" si="7"/>
        <v>0</v>
      </c>
    </row>
    <row r="81" spans="6:15" s="76" customFormat="1" ht="11.4" outlineLevel="2">
      <c r="F81" s="77">
        <v>69</v>
      </c>
      <c r="G81" s="78" t="s">
        <v>35</v>
      </c>
      <c r="H81" s="79" t="s">
        <v>181</v>
      </c>
      <c r="I81" s="80" t="s">
        <v>182</v>
      </c>
      <c r="J81" s="78" t="s">
        <v>59</v>
      </c>
      <c r="K81" s="81">
        <f>49.5*8</f>
        <v>396</v>
      </c>
      <c r="L81" s="82">
        <v>0</v>
      </c>
      <c r="M81" s="83">
        <f t="shared" si="5"/>
        <v>396</v>
      </c>
      <c r="N81" s="84"/>
      <c r="O81" s="85">
        <f t="shared" si="7"/>
        <v>0</v>
      </c>
    </row>
    <row r="82" spans="6:15" s="76" customFormat="1" ht="22.8" outlineLevel="2">
      <c r="F82" s="77">
        <v>70</v>
      </c>
      <c r="G82" s="78" t="s">
        <v>35</v>
      </c>
      <c r="H82" s="79" t="s">
        <v>183</v>
      </c>
      <c r="I82" s="80" t="s">
        <v>184</v>
      </c>
      <c r="J82" s="78" t="s">
        <v>59</v>
      </c>
      <c r="K82" s="81">
        <v>396</v>
      </c>
      <c r="L82" s="82">
        <v>0</v>
      </c>
      <c r="M82" s="83">
        <f>K82*(1+L82/100)</f>
        <v>396</v>
      </c>
      <c r="N82" s="84"/>
      <c r="O82" s="85">
        <f t="shared" si="7"/>
        <v>0</v>
      </c>
    </row>
    <row r="83" spans="6:15" s="76" customFormat="1" ht="22.8" outlineLevel="2">
      <c r="F83" s="77">
        <v>71</v>
      </c>
      <c r="G83" s="78" t="s">
        <v>35</v>
      </c>
      <c r="H83" s="79" t="s">
        <v>183</v>
      </c>
      <c r="I83" s="80" t="s">
        <v>185</v>
      </c>
      <c r="J83" s="78" t="s">
        <v>59</v>
      </c>
      <c r="K83" s="81">
        <v>396</v>
      </c>
      <c r="L83" s="82">
        <v>0</v>
      </c>
      <c r="M83" s="83">
        <f>K83*(1+L83/100)</f>
        <v>396</v>
      </c>
      <c r="N83" s="84"/>
      <c r="O83" s="85">
        <f t="shared" si="7"/>
        <v>0</v>
      </c>
    </row>
    <row r="84" spans="6:15" s="76" customFormat="1" ht="11.4" outlineLevel="2">
      <c r="F84" s="77">
        <v>72</v>
      </c>
      <c r="G84" s="78" t="s">
        <v>35</v>
      </c>
      <c r="H84" s="79" t="s">
        <v>186</v>
      </c>
      <c r="I84" s="80" t="s">
        <v>187</v>
      </c>
      <c r="J84" s="78" t="s">
        <v>59</v>
      </c>
      <c r="K84" s="81">
        <v>49.5</v>
      </c>
      <c r="L84" s="82">
        <v>0</v>
      </c>
      <c r="M84" s="83">
        <f t="shared" si="5"/>
        <v>49.5</v>
      </c>
      <c r="N84" s="84"/>
      <c r="O84" s="85">
        <f t="shared" si="7"/>
        <v>0</v>
      </c>
    </row>
    <row r="85" spans="6:15" s="76" customFormat="1" ht="11.4" outlineLevel="2">
      <c r="F85" s="77">
        <v>73</v>
      </c>
      <c r="G85" s="78" t="s">
        <v>35</v>
      </c>
      <c r="H85" s="79" t="s">
        <v>188</v>
      </c>
      <c r="I85" s="80" t="s">
        <v>189</v>
      </c>
      <c r="J85" s="78" t="s">
        <v>59</v>
      </c>
      <c r="K85" s="81">
        <f>49.5*20</f>
        <v>990</v>
      </c>
      <c r="L85" s="82">
        <v>0</v>
      </c>
      <c r="M85" s="83">
        <f t="shared" si="5"/>
        <v>990</v>
      </c>
      <c r="N85" s="84"/>
      <c r="O85" s="85">
        <f t="shared" si="7"/>
        <v>0</v>
      </c>
    </row>
    <row r="86" spans="6:15" s="76" customFormat="1" ht="22.8" outlineLevel="2">
      <c r="F86" s="77">
        <v>74</v>
      </c>
      <c r="G86" s="78" t="s">
        <v>35</v>
      </c>
      <c r="H86" s="79" t="s">
        <v>190</v>
      </c>
      <c r="I86" s="80" t="s">
        <v>191</v>
      </c>
      <c r="J86" s="78" t="s">
        <v>59</v>
      </c>
      <c r="K86" s="81">
        <v>49.5</v>
      </c>
      <c r="L86" s="82">
        <v>0</v>
      </c>
      <c r="M86" s="83">
        <f t="shared" si="5"/>
        <v>49.5</v>
      </c>
      <c r="N86" s="84"/>
      <c r="O86" s="85">
        <f t="shared" si="7"/>
        <v>0</v>
      </c>
    </row>
    <row r="87" spans="6:15" s="62" customFormat="1" ht="12.75" customHeight="1" outlineLevel="2">
      <c r="F87" s="63"/>
      <c r="G87" s="64"/>
      <c r="H87" s="64"/>
      <c r="I87" s="65"/>
      <c r="J87" s="64"/>
      <c r="K87" s="66"/>
      <c r="L87" s="86"/>
      <c r="M87" s="87"/>
      <c r="N87" s="67"/>
      <c r="O87" s="69"/>
    </row>
    <row r="88" spans="6:15" s="62" customFormat="1" ht="12.75" customHeight="1" outlineLevel="2">
      <c r="F88" s="71"/>
      <c r="G88" s="50"/>
      <c r="H88" s="72"/>
      <c r="I88" s="72" t="s">
        <v>3</v>
      </c>
      <c r="J88" s="50"/>
      <c r="K88" s="73"/>
      <c r="L88" s="88"/>
      <c r="M88" s="89"/>
      <c r="N88" s="74"/>
      <c r="O88" s="8">
        <f>SUM(O89:O107)</f>
        <v>0</v>
      </c>
    </row>
    <row r="89" spans="6:15" s="62" customFormat="1" ht="57" outlineLevel="2">
      <c r="F89" s="77">
        <v>75</v>
      </c>
      <c r="G89" s="78" t="s">
        <v>192</v>
      </c>
      <c r="H89" s="79"/>
      <c r="I89" s="80" t="s">
        <v>193</v>
      </c>
      <c r="J89" s="78" t="s">
        <v>38</v>
      </c>
      <c r="K89" s="81">
        <v>361</v>
      </c>
      <c r="L89" s="82">
        <v>0</v>
      </c>
      <c r="M89" s="83">
        <f>K89*(1+L89/100)</f>
        <v>361</v>
      </c>
      <c r="N89" s="84"/>
      <c r="O89" s="85">
        <f>M89*N89</f>
        <v>0</v>
      </c>
    </row>
    <row r="90" spans="6:15" s="62" customFormat="1" ht="22.8" outlineLevel="2">
      <c r="F90" s="77">
        <v>76</v>
      </c>
      <c r="G90" s="78" t="s">
        <v>192</v>
      </c>
      <c r="H90" s="79"/>
      <c r="I90" s="80" t="s">
        <v>194</v>
      </c>
      <c r="J90" s="78" t="s">
        <v>69</v>
      </c>
      <c r="K90" s="81">
        <v>120</v>
      </c>
      <c r="L90" s="82">
        <v>0</v>
      </c>
      <c r="M90" s="83">
        <f aca="true" t="shared" si="8" ref="M90:M105">K90*(1+L90/100)</f>
        <v>120</v>
      </c>
      <c r="N90" s="84"/>
      <c r="O90" s="85">
        <f aca="true" t="shared" si="9" ref="O90:O105">M90*N90</f>
        <v>0</v>
      </c>
    </row>
    <row r="91" spans="6:15" s="62" customFormat="1" ht="45.6" outlineLevel="2">
      <c r="F91" s="77">
        <v>77</v>
      </c>
      <c r="G91" s="78" t="s">
        <v>192</v>
      </c>
      <c r="H91" s="79"/>
      <c r="I91" s="80" t="s">
        <v>195</v>
      </c>
      <c r="J91" s="78" t="s">
        <v>38</v>
      </c>
      <c r="K91" s="81">
        <v>165</v>
      </c>
      <c r="L91" s="82">
        <v>0</v>
      </c>
      <c r="M91" s="83">
        <f t="shared" si="8"/>
        <v>165</v>
      </c>
      <c r="N91" s="84"/>
      <c r="O91" s="85">
        <f t="shared" si="9"/>
        <v>0</v>
      </c>
    </row>
    <row r="92" spans="6:15" s="62" customFormat="1" ht="22.8" outlineLevel="2">
      <c r="F92" s="77">
        <v>78</v>
      </c>
      <c r="G92" s="78" t="s">
        <v>192</v>
      </c>
      <c r="H92" s="79"/>
      <c r="I92" s="80" t="s">
        <v>196</v>
      </c>
      <c r="J92" s="78" t="s">
        <v>43</v>
      </c>
      <c r="K92" s="81">
        <v>5</v>
      </c>
      <c r="L92" s="82">
        <v>0</v>
      </c>
      <c r="M92" s="83">
        <f t="shared" si="8"/>
        <v>5</v>
      </c>
      <c r="N92" s="84"/>
      <c r="O92" s="85">
        <f t="shared" si="9"/>
        <v>0</v>
      </c>
    </row>
    <row r="93" spans="6:15" s="62" customFormat="1" ht="22.8" outlineLevel="2">
      <c r="F93" s="77">
        <v>79</v>
      </c>
      <c r="G93" s="78" t="s">
        <v>192</v>
      </c>
      <c r="H93" s="79"/>
      <c r="I93" s="80" t="s">
        <v>197</v>
      </c>
      <c r="J93" s="78" t="s">
        <v>69</v>
      </c>
      <c r="K93" s="81">
        <v>133</v>
      </c>
      <c r="L93" s="82">
        <v>0</v>
      </c>
      <c r="M93" s="83">
        <f t="shared" si="8"/>
        <v>133</v>
      </c>
      <c r="N93" s="84"/>
      <c r="O93" s="85">
        <f t="shared" si="9"/>
        <v>0</v>
      </c>
    </row>
    <row r="94" spans="6:15" s="62" customFormat="1" ht="22.8" outlineLevel="2">
      <c r="F94" s="77">
        <v>80</v>
      </c>
      <c r="G94" s="78" t="s">
        <v>192</v>
      </c>
      <c r="H94" s="79"/>
      <c r="I94" s="80" t="s">
        <v>198</v>
      </c>
      <c r="J94" s="78" t="s">
        <v>69</v>
      </c>
      <c r="K94" s="81">
        <v>23</v>
      </c>
      <c r="L94" s="82">
        <v>0</v>
      </c>
      <c r="M94" s="83">
        <f t="shared" si="8"/>
        <v>23</v>
      </c>
      <c r="N94" s="84"/>
      <c r="O94" s="85">
        <f t="shared" si="9"/>
        <v>0</v>
      </c>
    </row>
    <row r="95" spans="6:15" s="62" customFormat="1" ht="68.4" outlineLevel="2">
      <c r="F95" s="77">
        <v>81</v>
      </c>
      <c r="G95" s="78" t="s">
        <v>192</v>
      </c>
      <c r="H95" s="79"/>
      <c r="I95" s="80" t="s">
        <v>199</v>
      </c>
      <c r="J95" s="78" t="s">
        <v>43</v>
      </c>
      <c r="K95" s="81">
        <v>3</v>
      </c>
      <c r="L95" s="82">
        <v>0</v>
      </c>
      <c r="M95" s="83">
        <f t="shared" si="8"/>
        <v>3</v>
      </c>
      <c r="N95" s="84"/>
      <c r="O95" s="85">
        <f t="shared" si="9"/>
        <v>0</v>
      </c>
    </row>
    <row r="96" spans="6:15" s="62" customFormat="1" ht="57" outlineLevel="2">
      <c r="F96" s="77">
        <v>82</v>
      </c>
      <c r="G96" s="78" t="s">
        <v>192</v>
      </c>
      <c r="H96" s="79"/>
      <c r="I96" s="80" t="s">
        <v>200</v>
      </c>
      <c r="J96" s="78" t="s">
        <v>43</v>
      </c>
      <c r="K96" s="81">
        <v>2</v>
      </c>
      <c r="L96" s="82">
        <v>0</v>
      </c>
      <c r="M96" s="83">
        <f t="shared" si="8"/>
        <v>2</v>
      </c>
      <c r="N96" s="84"/>
      <c r="O96" s="85">
        <f t="shared" si="9"/>
        <v>0</v>
      </c>
    </row>
    <row r="97" spans="6:15" s="62" customFormat="1" ht="57" outlineLevel="2">
      <c r="F97" s="77">
        <v>83</v>
      </c>
      <c r="G97" s="78" t="s">
        <v>192</v>
      </c>
      <c r="H97" s="79"/>
      <c r="I97" s="80" t="s">
        <v>201</v>
      </c>
      <c r="J97" s="78" t="s">
        <v>43</v>
      </c>
      <c r="K97" s="81">
        <v>2</v>
      </c>
      <c r="L97" s="82">
        <v>0</v>
      </c>
      <c r="M97" s="83">
        <f t="shared" si="8"/>
        <v>2</v>
      </c>
      <c r="N97" s="84"/>
      <c r="O97" s="85">
        <f t="shared" si="9"/>
        <v>0</v>
      </c>
    </row>
    <row r="98" spans="6:15" s="62" customFormat="1" ht="57" outlineLevel="2">
      <c r="F98" s="77">
        <v>84</v>
      </c>
      <c r="G98" s="78" t="s">
        <v>192</v>
      </c>
      <c r="H98" s="79"/>
      <c r="I98" s="80" t="s">
        <v>202</v>
      </c>
      <c r="J98" s="78" t="s">
        <v>43</v>
      </c>
      <c r="K98" s="81">
        <v>7</v>
      </c>
      <c r="L98" s="82">
        <v>0</v>
      </c>
      <c r="M98" s="83">
        <f t="shared" si="8"/>
        <v>7</v>
      </c>
      <c r="N98" s="84"/>
      <c r="O98" s="85">
        <f t="shared" si="9"/>
        <v>0</v>
      </c>
    </row>
    <row r="99" spans="6:15" s="62" customFormat="1" ht="57" outlineLevel="2">
      <c r="F99" s="77">
        <v>85</v>
      </c>
      <c r="G99" s="78" t="s">
        <v>192</v>
      </c>
      <c r="H99" s="79"/>
      <c r="I99" s="80" t="s">
        <v>203</v>
      </c>
      <c r="J99" s="78" t="s">
        <v>43</v>
      </c>
      <c r="K99" s="81">
        <v>2</v>
      </c>
      <c r="L99" s="82">
        <v>0</v>
      </c>
      <c r="M99" s="83">
        <f t="shared" si="8"/>
        <v>2</v>
      </c>
      <c r="N99" s="84"/>
      <c r="O99" s="85">
        <f t="shared" si="9"/>
        <v>0</v>
      </c>
    </row>
    <row r="100" spans="6:15" s="62" customFormat="1" ht="22.8" outlineLevel="2">
      <c r="F100" s="77">
        <v>86</v>
      </c>
      <c r="G100" s="78" t="s">
        <v>192</v>
      </c>
      <c r="H100" s="79"/>
      <c r="I100" s="80" t="s">
        <v>204</v>
      </c>
      <c r="J100" s="78" t="s">
        <v>43</v>
      </c>
      <c r="K100" s="81">
        <v>19</v>
      </c>
      <c r="L100" s="82">
        <v>0</v>
      </c>
      <c r="M100" s="83">
        <f t="shared" si="8"/>
        <v>19</v>
      </c>
      <c r="N100" s="84"/>
      <c r="O100" s="85">
        <f t="shared" si="9"/>
        <v>0</v>
      </c>
    </row>
    <row r="101" spans="6:15" s="62" customFormat="1" ht="22.8" outlineLevel="2">
      <c r="F101" s="77">
        <v>87</v>
      </c>
      <c r="G101" s="78" t="s">
        <v>192</v>
      </c>
      <c r="H101" s="79"/>
      <c r="I101" s="80" t="s">
        <v>205</v>
      </c>
      <c r="J101" s="78" t="s">
        <v>43</v>
      </c>
      <c r="K101" s="81">
        <v>17</v>
      </c>
      <c r="L101" s="82">
        <v>0</v>
      </c>
      <c r="M101" s="83">
        <f t="shared" si="8"/>
        <v>17</v>
      </c>
      <c r="N101" s="84"/>
      <c r="O101" s="85">
        <f t="shared" si="9"/>
        <v>0</v>
      </c>
    </row>
    <row r="102" spans="6:15" s="62" customFormat="1" ht="22.8" outlineLevel="2">
      <c r="F102" s="77">
        <v>88</v>
      </c>
      <c r="G102" s="78" t="s">
        <v>192</v>
      </c>
      <c r="H102" s="79"/>
      <c r="I102" s="80" t="s">
        <v>206</v>
      </c>
      <c r="J102" s="78" t="s">
        <v>43</v>
      </c>
      <c r="K102" s="81">
        <v>15</v>
      </c>
      <c r="L102" s="82">
        <v>0</v>
      </c>
      <c r="M102" s="83">
        <f t="shared" si="8"/>
        <v>15</v>
      </c>
      <c r="N102" s="84"/>
      <c r="O102" s="85">
        <f t="shared" si="9"/>
        <v>0</v>
      </c>
    </row>
    <row r="103" spans="6:15" s="62" customFormat="1" ht="22.8" outlineLevel="2">
      <c r="F103" s="77">
        <v>89</v>
      </c>
      <c r="G103" s="78" t="s">
        <v>192</v>
      </c>
      <c r="H103" s="79"/>
      <c r="I103" s="80" t="s">
        <v>207</v>
      </c>
      <c r="J103" s="78" t="s">
        <v>43</v>
      </c>
      <c r="K103" s="81">
        <v>9</v>
      </c>
      <c r="L103" s="82">
        <v>0</v>
      </c>
      <c r="M103" s="83">
        <f t="shared" si="8"/>
        <v>9</v>
      </c>
      <c r="N103" s="84"/>
      <c r="O103" s="85">
        <f t="shared" si="9"/>
        <v>0</v>
      </c>
    </row>
    <row r="104" spans="6:15" s="62" customFormat="1" ht="22.8" outlineLevel="2">
      <c r="F104" s="77">
        <v>90</v>
      </c>
      <c r="G104" s="78" t="s">
        <v>192</v>
      </c>
      <c r="H104" s="79"/>
      <c r="I104" s="80" t="s">
        <v>208</v>
      </c>
      <c r="J104" s="78" t="s">
        <v>113</v>
      </c>
      <c r="K104" s="81">
        <v>1</v>
      </c>
      <c r="L104" s="82">
        <v>0</v>
      </c>
      <c r="M104" s="83">
        <f t="shared" si="8"/>
        <v>1</v>
      </c>
      <c r="N104" s="84"/>
      <c r="O104" s="85">
        <f t="shared" si="9"/>
        <v>0</v>
      </c>
    </row>
    <row r="105" spans="6:15" s="62" customFormat="1" ht="11.4" outlineLevel="2">
      <c r="F105" s="77">
        <v>91</v>
      </c>
      <c r="G105" s="78" t="s">
        <v>192</v>
      </c>
      <c r="H105" s="79"/>
      <c r="I105" s="80" t="s">
        <v>209</v>
      </c>
      <c r="J105" s="78" t="s">
        <v>113</v>
      </c>
      <c r="K105" s="81">
        <v>1</v>
      </c>
      <c r="L105" s="82">
        <v>0</v>
      </c>
      <c r="M105" s="83">
        <f t="shared" si="8"/>
        <v>1</v>
      </c>
      <c r="N105" s="84"/>
      <c r="O105" s="85">
        <f t="shared" si="9"/>
        <v>0</v>
      </c>
    </row>
    <row r="106" spans="6:15" s="62" customFormat="1" ht="409.6" outlineLevel="2">
      <c r="F106" s="77">
        <v>92</v>
      </c>
      <c r="G106" s="78" t="s">
        <v>192</v>
      </c>
      <c r="H106" s="79" t="s">
        <v>210</v>
      </c>
      <c r="I106" s="80" t="s">
        <v>211</v>
      </c>
      <c r="J106" s="78" t="s">
        <v>43</v>
      </c>
      <c r="K106" s="81">
        <v>2</v>
      </c>
      <c r="L106" s="82">
        <v>0</v>
      </c>
      <c r="M106" s="83">
        <f>K106*(1+L106/100)</f>
        <v>2</v>
      </c>
      <c r="N106" s="84"/>
      <c r="O106" s="85">
        <f>M106*N106</f>
        <v>0</v>
      </c>
    </row>
    <row r="107" spans="6:15" s="62" customFormat="1" ht="409.6" outlineLevel="2">
      <c r="F107" s="77">
        <v>93</v>
      </c>
      <c r="G107" s="78" t="s">
        <v>192</v>
      </c>
      <c r="H107" s="79" t="s">
        <v>212</v>
      </c>
      <c r="I107" s="80" t="s">
        <v>213</v>
      </c>
      <c r="J107" s="78" t="s">
        <v>43</v>
      </c>
      <c r="K107" s="81">
        <v>2</v>
      </c>
      <c r="L107" s="82">
        <v>0</v>
      </c>
      <c r="M107" s="83">
        <f>K107*(1+L107/100)</f>
        <v>2</v>
      </c>
      <c r="N107" s="84"/>
      <c r="O107" s="85">
        <f>M107*N107</f>
        <v>0</v>
      </c>
    </row>
    <row r="108" spans="6:15" s="62" customFormat="1" ht="12.75" customHeight="1" outlineLevel="2">
      <c r="F108" s="63"/>
      <c r="G108" s="64"/>
      <c r="H108" s="64"/>
      <c r="I108" s="65"/>
      <c r="J108" s="64"/>
      <c r="K108" s="66"/>
      <c r="L108" s="90"/>
      <c r="M108" s="91"/>
      <c r="N108" s="67"/>
      <c r="O108" s="69"/>
    </row>
    <row r="109" spans="6:15" s="70" customFormat="1" ht="16.5" customHeight="1" outlineLevel="1">
      <c r="F109" s="71"/>
      <c r="G109" s="50"/>
      <c r="H109" s="72"/>
      <c r="I109" s="72" t="s">
        <v>214</v>
      </c>
      <c r="J109" s="50"/>
      <c r="K109" s="73"/>
      <c r="L109" s="90"/>
      <c r="M109" s="91"/>
      <c r="N109" s="74"/>
      <c r="O109" s="8">
        <f>SUM(O111:O230)</f>
        <v>0</v>
      </c>
    </row>
    <row r="110" spans="8:15" s="76" customFormat="1" ht="13.2" outlineLevel="2">
      <c r="H110" s="92"/>
      <c r="I110" s="93" t="s">
        <v>215</v>
      </c>
      <c r="J110" s="94"/>
      <c r="K110" s="95"/>
      <c r="L110" s="90"/>
      <c r="M110" s="91"/>
      <c r="N110" s="96"/>
      <c r="O110" s="96"/>
    </row>
    <row r="111" spans="6:15" s="76" customFormat="1" ht="13.2" outlineLevel="2">
      <c r="F111" s="77">
        <v>94</v>
      </c>
      <c r="G111" s="78" t="s">
        <v>192</v>
      </c>
      <c r="H111" s="79"/>
      <c r="I111" s="97" t="s">
        <v>216</v>
      </c>
      <c r="J111" s="78" t="s">
        <v>217</v>
      </c>
      <c r="K111" s="81">
        <v>1</v>
      </c>
      <c r="L111" s="82">
        <v>0</v>
      </c>
      <c r="M111" s="83">
        <f>K111*(1+L111/100)</f>
        <v>1</v>
      </c>
      <c r="N111" s="84"/>
      <c r="O111" s="85">
        <f>M111*N111</f>
        <v>0</v>
      </c>
    </row>
    <row r="112" spans="6:15" s="76" customFormat="1" ht="13.2" outlineLevel="2">
      <c r="F112" s="98"/>
      <c r="G112" s="99"/>
      <c r="H112" s="92"/>
      <c r="I112" s="100" t="s">
        <v>218</v>
      </c>
      <c r="J112" s="101"/>
      <c r="K112" s="95"/>
      <c r="L112" s="90"/>
      <c r="M112" s="91"/>
      <c r="N112" s="96"/>
      <c r="O112" s="96"/>
    </row>
    <row r="113" spans="6:15" s="76" customFormat="1" ht="13.2" outlineLevel="2">
      <c r="F113" s="98"/>
      <c r="G113" s="99"/>
      <c r="H113" s="92"/>
      <c r="I113" s="100" t="s">
        <v>219</v>
      </c>
      <c r="J113" s="101"/>
      <c r="K113" s="95"/>
      <c r="L113" s="90"/>
      <c r="M113" s="91"/>
      <c r="N113" s="96"/>
      <c r="O113" s="96"/>
    </row>
    <row r="114" spans="6:15" s="76" customFormat="1" ht="13.2" outlineLevel="2">
      <c r="F114" s="98"/>
      <c r="G114" s="99"/>
      <c r="H114" s="92"/>
      <c r="I114" s="100" t="s">
        <v>220</v>
      </c>
      <c r="J114" s="101"/>
      <c r="K114" s="95"/>
      <c r="L114" s="90"/>
      <c r="M114" s="91"/>
      <c r="N114" s="96"/>
      <c r="O114" s="96"/>
    </row>
    <row r="115" spans="6:15" s="76" customFormat="1" ht="13.2" outlineLevel="2">
      <c r="F115" s="98"/>
      <c r="G115" s="99"/>
      <c r="H115" s="92"/>
      <c r="I115" s="100" t="s">
        <v>221</v>
      </c>
      <c r="J115" s="101"/>
      <c r="K115" s="95"/>
      <c r="L115" s="90"/>
      <c r="M115" s="91"/>
      <c r="N115" s="96"/>
      <c r="O115" s="102"/>
    </row>
    <row r="116" spans="6:15" s="76" customFormat="1" ht="13.2" outlineLevel="2">
      <c r="F116" s="98"/>
      <c r="G116" s="99"/>
      <c r="H116" s="92"/>
      <c r="I116" s="100" t="s">
        <v>222</v>
      </c>
      <c r="J116" s="101"/>
      <c r="K116" s="95"/>
      <c r="L116" s="90"/>
      <c r="M116" s="91"/>
      <c r="N116" s="96"/>
      <c r="O116" s="96"/>
    </row>
    <row r="117" spans="6:15" s="76" customFormat="1" ht="13.2" outlineLevel="2">
      <c r="F117" s="77">
        <v>95</v>
      </c>
      <c r="G117" s="78" t="s">
        <v>192</v>
      </c>
      <c r="H117" s="79"/>
      <c r="I117" s="97" t="s">
        <v>223</v>
      </c>
      <c r="J117" s="78" t="s">
        <v>217</v>
      </c>
      <c r="K117" s="81">
        <v>1</v>
      </c>
      <c r="L117" s="82">
        <v>0</v>
      </c>
      <c r="M117" s="83">
        <f>K117*(1+L117/100)</f>
        <v>1</v>
      </c>
      <c r="N117" s="84"/>
      <c r="O117" s="85">
        <f>M117*N117</f>
        <v>0</v>
      </c>
    </row>
    <row r="118" spans="6:15" s="76" customFormat="1" ht="13.2" outlineLevel="2">
      <c r="F118" s="98"/>
      <c r="G118" s="99"/>
      <c r="H118" s="92"/>
      <c r="I118" s="100" t="s">
        <v>218</v>
      </c>
      <c r="J118" s="101"/>
      <c r="K118" s="95"/>
      <c r="L118" s="90"/>
      <c r="M118" s="91"/>
      <c r="N118" s="96"/>
      <c r="O118" s="96"/>
    </row>
    <row r="119" spans="6:15" s="76" customFormat="1" ht="13.2" outlineLevel="2">
      <c r="F119" s="98"/>
      <c r="G119" s="99"/>
      <c r="H119" s="92"/>
      <c r="I119" s="100" t="s">
        <v>219</v>
      </c>
      <c r="J119" s="101"/>
      <c r="K119" s="95"/>
      <c r="L119" s="90"/>
      <c r="M119" s="91"/>
      <c r="N119" s="96"/>
      <c r="O119" s="96"/>
    </row>
    <row r="120" spans="6:15" s="76" customFormat="1" ht="13.2" outlineLevel="2">
      <c r="F120" s="98"/>
      <c r="G120" s="99"/>
      <c r="H120" s="92"/>
      <c r="I120" s="100" t="s">
        <v>220</v>
      </c>
      <c r="J120" s="101"/>
      <c r="K120" s="95"/>
      <c r="L120" s="90"/>
      <c r="M120" s="91"/>
      <c r="N120" s="96"/>
      <c r="O120" s="96"/>
    </row>
    <row r="121" spans="6:15" s="76" customFormat="1" ht="13.2" outlineLevel="2">
      <c r="F121" s="98"/>
      <c r="G121" s="99"/>
      <c r="H121" s="92"/>
      <c r="I121" s="100" t="s">
        <v>221</v>
      </c>
      <c r="J121" s="101"/>
      <c r="K121" s="95"/>
      <c r="L121" s="90"/>
      <c r="M121" s="91"/>
      <c r="N121" s="96"/>
      <c r="O121" s="102"/>
    </row>
    <row r="122" spans="6:15" s="76" customFormat="1" ht="13.2" outlineLevel="2">
      <c r="F122" s="98"/>
      <c r="G122" s="99"/>
      <c r="H122" s="92"/>
      <c r="I122" s="100" t="s">
        <v>224</v>
      </c>
      <c r="J122" s="101"/>
      <c r="K122" s="95"/>
      <c r="L122" s="90"/>
      <c r="M122" s="91"/>
      <c r="N122" s="96"/>
      <c r="O122" s="96"/>
    </row>
    <row r="123" spans="6:15" s="76" customFormat="1" ht="13.2" outlineLevel="2">
      <c r="F123" s="77">
        <v>96</v>
      </c>
      <c r="G123" s="78" t="s">
        <v>192</v>
      </c>
      <c r="H123" s="79"/>
      <c r="I123" s="97" t="s">
        <v>225</v>
      </c>
      <c r="J123" s="78" t="s">
        <v>217</v>
      </c>
      <c r="K123" s="81">
        <v>1</v>
      </c>
      <c r="L123" s="82">
        <v>0</v>
      </c>
      <c r="M123" s="83">
        <f>K123*(1+L123/100)</f>
        <v>1</v>
      </c>
      <c r="N123" s="84"/>
      <c r="O123" s="85">
        <f>M123*N123</f>
        <v>0</v>
      </c>
    </row>
    <row r="124" spans="6:15" s="76" customFormat="1" ht="13.2" outlineLevel="2">
      <c r="F124" s="98"/>
      <c r="G124" s="99"/>
      <c r="H124" s="92"/>
      <c r="I124" s="100" t="s">
        <v>218</v>
      </c>
      <c r="J124" s="101"/>
      <c r="K124" s="95"/>
      <c r="L124" s="90"/>
      <c r="M124" s="91"/>
      <c r="N124" s="96"/>
      <c r="O124" s="96"/>
    </row>
    <row r="125" spans="6:15" s="76" customFormat="1" ht="13.2" outlineLevel="2">
      <c r="F125" s="98"/>
      <c r="G125" s="99"/>
      <c r="H125" s="92"/>
      <c r="I125" s="100" t="s">
        <v>219</v>
      </c>
      <c r="J125" s="101"/>
      <c r="K125" s="95"/>
      <c r="L125" s="90"/>
      <c r="M125" s="91"/>
      <c r="N125" s="96"/>
      <c r="O125" s="96"/>
    </row>
    <row r="126" spans="6:15" s="76" customFormat="1" ht="13.2" outlineLevel="2">
      <c r="F126" s="98"/>
      <c r="G126" s="99"/>
      <c r="H126" s="92"/>
      <c r="I126" s="100" t="s">
        <v>220</v>
      </c>
      <c r="J126" s="101"/>
      <c r="K126" s="95"/>
      <c r="L126" s="90"/>
      <c r="M126" s="91"/>
      <c r="N126" s="96"/>
      <c r="O126" s="96"/>
    </row>
    <row r="127" spans="6:15" s="76" customFormat="1" ht="13.2" outlineLevel="2">
      <c r="F127" s="98"/>
      <c r="G127" s="99"/>
      <c r="H127" s="92"/>
      <c r="I127" s="100" t="s">
        <v>221</v>
      </c>
      <c r="J127" s="101"/>
      <c r="K127" s="95"/>
      <c r="L127" s="90"/>
      <c r="M127" s="91"/>
      <c r="N127" s="96"/>
      <c r="O127" s="102"/>
    </row>
    <row r="128" spans="6:15" s="76" customFormat="1" ht="13.2" outlineLevel="2">
      <c r="F128" s="98"/>
      <c r="G128" s="99"/>
      <c r="H128" s="92"/>
      <c r="I128" s="100" t="s">
        <v>226</v>
      </c>
      <c r="J128" s="101"/>
      <c r="K128" s="95"/>
      <c r="L128" s="90"/>
      <c r="M128" s="91"/>
      <c r="N128" s="96"/>
      <c r="O128" s="96"/>
    </row>
    <row r="129" spans="6:15" s="76" customFormat="1" ht="13.2" outlineLevel="2">
      <c r="F129" s="77">
        <v>97</v>
      </c>
      <c r="G129" s="78" t="s">
        <v>192</v>
      </c>
      <c r="H129" s="79"/>
      <c r="I129" s="97" t="s">
        <v>227</v>
      </c>
      <c r="J129" s="78" t="s">
        <v>217</v>
      </c>
      <c r="K129" s="81">
        <v>1</v>
      </c>
      <c r="L129" s="82">
        <v>0</v>
      </c>
      <c r="M129" s="83">
        <f>K129*(1+L129/100)</f>
        <v>1</v>
      </c>
      <c r="N129" s="84"/>
      <c r="O129" s="85">
        <f>M129*N129</f>
        <v>0</v>
      </c>
    </row>
    <row r="130" spans="6:15" s="76" customFormat="1" ht="13.2" outlineLevel="2">
      <c r="F130" s="98"/>
      <c r="G130" s="99"/>
      <c r="H130" s="92"/>
      <c r="I130" s="100" t="s">
        <v>218</v>
      </c>
      <c r="J130" s="101"/>
      <c r="K130" s="95"/>
      <c r="L130" s="90"/>
      <c r="M130" s="91"/>
      <c r="N130" s="96"/>
      <c r="O130" s="96"/>
    </row>
    <row r="131" spans="6:15" s="76" customFormat="1" ht="13.2" outlineLevel="2">
      <c r="F131" s="98"/>
      <c r="G131" s="99"/>
      <c r="H131" s="92"/>
      <c r="I131" s="100" t="s">
        <v>219</v>
      </c>
      <c r="J131" s="101"/>
      <c r="K131" s="95"/>
      <c r="L131" s="90"/>
      <c r="M131" s="91"/>
      <c r="N131" s="96"/>
      <c r="O131" s="96"/>
    </row>
    <row r="132" spans="6:15" s="76" customFormat="1" ht="13.2" outlineLevel="2">
      <c r="F132" s="98"/>
      <c r="G132" s="99"/>
      <c r="H132" s="92"/>
      <c r="I132" s="100" t="s">
        <v>220</v>
      </c>
      <c r="J132" s="101"/>
      <c r="K132" s="95"/>
      <c r="L132" s="90"/>
      <c r="M132" s="91"/>
      <c r="N132" s="96"/>
      <c r="O132" s="96"/>
    </row>
    <row r="133" spans="6:15" s="76" customFormat="1" ht="13.2" outlineLevel="2">
      <c r="F133" s="98"/>
      <c r="G133" s="99"/>
      <c r="H133" s="92"/>
      <c r="I133" s="100" t="s">
        <v>221</v>
      </c>
      <c r="J133" s="101"/>
      <c r="K133" s="95"/>
      <c r="L133" s="90"/>
      <c r="M133" s="91"/>
      <c r="N133" s="96"/>
      <c r="O133" s="102"/>
    </row>
    <row r="134" spans="6:15" s="76" customFormat="1" ht="13.2" outlineLevel="2">
      <c r="F134" s="98"/>
      <c r="G134" s="99"/>
      <c r="H134" s="92"/>
      <c r="I134" s="100" t="s">
        <v>228</v>
      </c>
      <c r="J134" s="101"/>
      <c r="K134" s="95"/>
      <c r="L134" s="90"/>
      <c r="M134" s="91"/>
      <c r="N134" s="96"/>
      <c r="O134" s="96"/>
    </row>
    <row r="135" spans="6:15" s="76" customFormat="1" ht="13.2" outlineLevel="2">
      <c r="F135" s="77">
        <v>98</v>
      </c>
      <c r="G135" s="78" t="s">
        <v>192</v>
      </c>
      <c r="H135" s="79"/>
      <c r="I135" s="97" t="s">
        <v>229</v>
      </c>
      <c r="J135" s="78" t="s">
        <v>217</v>
      </c>
      <c r="K135" s="81">
        <v>1</v>
      </c>
      <c r="L135" s="82">
        <v>0</v>
      </c>
      <c r="M135" s="83">
        <f>K135*(1+L135/100)</f>
        <v>1</v>
      </c>
      <c r="N135" s="84"/>
      <c r="O135" s="85">
        <f>M135*N135</f>
        <v>0</v>
      </c>
    </row>
    <row r="136" spans="6:15" s="76" customFormat="1" ht="13.2" outlineLevel="2">
      <c r="F136" s="98"/>
      <c r="G136" s="99"/>
      <c r="H136" s="92"/>
      <c r="I136" s="100" t="s">
        <v>230</v>
      </c>
      <c r="J136" s="101"/>
      <c r="K136" s="95"/>
      <c r="L136" s="90"/>
      <c r="M136" s="91"/>
      <c r="N136" s="96"/>
      <c r="O136" s="96"/>
    </row>
    <row r="137" spans="6:15" s="76" customFormat="1" ht="13.2" outlineLevel="2">
      <c r="F137" s="98"/>
      <c r="G137" s="99"/>
      <c r="H137" s="92"/>
      <c r="I137" s="100" t="s">
        <v>231</v>
      </c>
      <c r="J137" s="101"/>
      <c r="K137" s="95"/>
      <c r="L137" s="90"/>
      <c r="M137" s="91"/>
      <c r="N137" s="96"/>
      <c r="O137" s="96"/>
    </row>
    <row r="138" spans="6:15" s="76" customFormat="1" ht="13.2" outlineLevel="2">
      <c r="F138" s="98"/>
      <c r="G138" s="99"/>
      <c r="H138" s="92"/>
      <c r="I138" s="100" t="s">
        <v>232</v>
      </c>
      <c r="J138" s="101"/>
      <c r="K138" s="95"/>
      <c r="L138" s="90"/>
      <c r="M138" s="91"/>
      <c r="N138" s="96"/>
      <c r="O138" s="102"/>
    </row>
    <row r="139" spans="6:15" s="76" customFormat="1" ht="13.2" outlineLevel="2">
      <c r="F139" s="98"/>
      <c r="G139" s="99"/>
      <c r="H139" s="92"/>
      <c r="I139" s="100" t="s">
        <v>233</v>
      </c>
      <c r="J139" s="101"/>
      <c r="K139" s="95"/>
      <c r="L139" s="90"/>
      <c r="M139" s="91"/>
      <c r="N139" s="96"/>
      <c r="O139" s="96"/>
    </row>
    <row r="140" spans="6:15" s="76" customFormat="1" ht="13.2" outlineLevel="2">
      <c r="F140" s="77">
        <v>99</v>
      </c>
      <c r="G140" s="78" t="s">
        <v>192</v>
      </c>
      <c r="H140" s="79"/>
      <c r="I140" s="97" t="s">
        <v>234</v>
      </c>
      <c r="J140" s="78" t="s">
        <v>217</v>
      </c>
      <c r="K140" s="81">
        <v>1</v>
      </c>
      <c r="L140" s="82">
        <v>0</v>
      </c>
      <c r="M140" s="83">
        <f>K140*(1+L140/100)</f>
        <v>1</v>
      </c>
      <c r="N140" s="84"/>
      <c r="O140" s="85">
        <f>M140*N140</f>
        <v>0</v>
      </c>
    </row>
    <row r="141" spans="6:15" s="76" customFormat="1" ht="13.2" outlineLevel="2">
      <c r="F141" s="98"/>
      <c r="G141" s="99"/>
      <c r="H141" s="92"/>
      <c r="I141" s="100" t="s">
        <v>235</v>
      </c>
      <c r="J141" s="101"/>
      <c r="K141" s="95"/>
      <c r="L141" s="90"/>
      <c r="M141" s="91"/>
      <c r="N141" s="96"/>
      <c r="O141" s="96"/>
    </row>
    <row r="142" spans="6:15" s="76" customFormat="1" ht="13.2" outlineLevel="2">
      <c r="F142" s="98"/>
      <c r="G142" s="99"/>
      <c r="H142" s="92"/>
      <c r="I142" s="100" t="s">
        <v>236</v>
      </c>
      <c r="J142" s="101"/>
      <c r="K142" s="95"/>
      <c r="L142" s="90"/>
      <c r="M142" s="91"/>
      <c r="N142" s="96"/>
      <c r="O142" s="96"/>
    </row>
    <row r="143" spans="6:15" s="76" customFormat="1" ht="13.2" outlineLevel="2">
      <c r="F143" s="98"/>
      <c r="G143" s="99"/>
      <c r="H143" s="92"/>
      <c r="I143" s="100" t="s">
        <v>233</v>
      </c>
      <c r="J143" s="101"/>
      <c r="K143" s="95"/>
      <c r="L143" s="90"/>
      <c r="M143" s="91"/>
      <c r="N143" s="96"/>
      <c r="O143" s="102"/>
    </row>
    <row r="144" spans="6:15" s="76" customFormat="1" ht="13.2" outlineLevel="2">
      <c r="F144" s="103"/>
      <c r="G144" s="104"/>
      <c r="H144" s="92"/>
      <c r="I144" s="105" t="s">
        <v>237</v>
      </c>
      <c r="J144" s="106"/>
      <c r="K144" s="106"/>
      <c r="L144" s="90"/>
      <c r="M144" s="91"/>
      <c r="N144" s="96"/>
      <c r="O144" s="102"/>
    </row>
    <row r="145" spans="6:15" s="76" customFormat="1" ht="22.8" outlineLevel="2">
      <c r="F145" s="77">
        <v>100</v>
      </c>
      <c r="G145" s="78" t="s">
        <v>192</v>
      </c>
      <c r="H145" s="78"/>
      <c r="I145" s="80" t="s">
        <v>238</v>
      </c>
      <c r="J145" s="78" t="s">
        <v>217</v>
      </c>
      <c r="K145" s="81">
        <v>6</v>
      </c>
      <c r="L145" s="82">
        <v>0</v>
      </c>
      <c r="M145" s="83">
        <f aca="true" t="shared" si="10" ref="M145:M162">K145*(1+L145/100)</f>
        <v>6</v>
      </c>
      <c r="N145" s="84"/>
      <c r="O145" s="85">
        <f>M145*N145</f>
        <v>0</v>
      </c>
    </row>
    <row r="146" spans="6:15" s="76" customFormat="1" ht="22.8" outlineLevel="2">
      <c r="F146" s="77">
        <v>101</v>
      </c>
      <c r="G146" s="78" t="s">
        <v>192</v>
      </c>
      <c r="H146" s="78"/>
      <c r="I146" s="80" t="s">
        <v>239</v>
      </c>
      <c r="J146" s="78" t="s">
        <v>217</v>
      </c>
      <c r="K146" s="81">
        <v>6</v>
      </c>
      <c r="L146" s="82">
        <v>0</v>
      </c>
      <c r="M146" s="83">
        <f t="shared" si="10"/>
        <v>6</v>
      </c>
      <c r="N146" s="84"/>
      <c r="O146" s="85">
        <f aca="true" t="shared" si="11" ref="O146:O212">M146*N146</f>
        <v>0</v>
      </c>
    </row>
    <row r="147" spans="6:15" s="76" customFormat="1" ht="22.8" outlineLevel="2">
      <c r="F147" s="77">
        <v>102</v>
      </c>
      <c r="G147" s="78" t="s">
        <v>192</v>
      </c>
      <c r="H147" s="78"/>
      <c r="I147" s="80" t="s">
        <v>240</v>
      </c>
      <c r="J147" s="78" t="s">
        <v>217</v>
      </c>
      <c r="K147" s="81">
        <v>4</v>
      </c>
      <c r="L147" s="82">
        <v>0</v>
      </c>
      <c r="M147" s="83">
        <f t="shared" si="10"/>
        <v>4</v>
      </c>
      <c r="N147" s="84"/>
      <c r="O147" s="85">
        <f t="shared" si="11"/>
        <v>0</v>
      </c>
    </row>
    <row r="148" spans="6:15" s="76" customFormat="1" ht="34.2" outlineLevel="2">
      <c r="F148" s="77">
        <v>103</v>
      </c>
      <c r="G148" s="78" t="s">
        <v>192</v>
      </c>
      <c r="H148" s="78"/>
      <c r="I148" s="80" t="s">
        <v>241</v>
      </c>
      <c r="J148" s="78" t="s">
        <v>217</v>
      </c>
      <c r="K148" s="81">
        <v>38</v>
      </c>
      <c r="L148" s="82">
        <v>0</v>
      </c>
      <c r="M148" s="83">
        <f t="shared" si="10"/>
        <v>38</v>
      </c>
      <c r="N148" s="84"/>
      <c r="O148" s="85">
        <f t="shared" si="11"/>
        <v>0</v>
      </c>
    </row>
    <row r="149" spans="6:15" s="76" customFormat="1" ht="34.2" outlineLevel="2">
      <c r="F149" s="77">
        <v>104</v>
      </c>
      <c r="G149" s="78" t="s">
        <v>192</v>
      </c>
      <c r="H149" s="78"/>
      <c r="I149" s="80" t="s">
        <v>242</v>
      </c>
      <c r="J149" s="78" t="s">
        <v>217</v>
      </c>
      <c r="K149" s="81">
        <v>6</v>
      </c>
      <c r="L149" s="82">
        <v>0</v>
      </c>
      <c r="M149" s="83">
        <f t="shared" si="10"/>
        <v>6</v>
      </c>
      <c r="N149" s="84"/>
      <c r="O149" s="85">
        <f t="shared" si="11"/>
        <v>0</v>
      </c>
    </row>
    <row r="150" spans="6:15" s="76" customFormat="1" ht="34.2" outlineLevel="2">
      <c r="F150" s="77">
        <v>105</v>
      </c>
      <c r="G150" s="78" t="s">
        <v>192</v>
      </c>
      <c r="H150" s="78"/>
      <c r="I150" s="80" t="s">
        <v>243</v>
      </c>
      <c r="J150" s="78" t="s">
        <v>217</v>
      </c>
      <c r="K150" s="81">
        <v>12</v>
      </c>
      <c r="L150" s="82">
        <v>0</v>
      </c>
      <c r="M150" s="83">
        <f t="shared" si="10"/>
        <v>12</v>
      </c>
      <c r="N150" s="84"/>
      <c r="O150" s="85">
        <f t="shared" si="11"/>
        <v>0</v>
      </c>
    </row>
    <row r="151" spans="6:15" s="76" customFormat="1" ht="22.8" outlineLevel="2">
      <c r="F151" s="77">
        <v>106</v>
      </c>
      <c r="G151" s="78" t="s">
        <v>192</v>
      </c>
      <c r="H151" s="78"/>
      <c r="I151" s="80" t="s">
        <v>244</v>
      </c>
      <c r="J151" s="78" t="s">
        <v>217</v>
      </c>
      <c r="K151" s="81">
        <v>5</v>
      </c>
      <c r="L151" s="82">
        <v>0</v>
      </c>
      <c r="M151" s="83">
        <f t="shared" si="10"/>
        <v>5</v>
      </c>
      <c r="N151" s="84"/>
      <c r="O151" s="85">
        <f t="shared" si="11"/>
        <v>0</v>
      </c>
    </row>
    <row r="152" spans="6:15" s="76" customFormat="1" ht="22.8" outlineLevel="2">
      <c r="F152" s="77">
        <v>107</v>
      </c>
      <c r="G152" s="78" t="s">
        <v>192</v>
      </c>
      <c r="H152" s="78"/>
      <c r="I152" s="80" t="s">
        <v>245</v>
      </c>
      <c r="J152" s="78" t="s">
        <v>217</v>
      </c>
      <c r="K152" s="81">
        <v>15</v>
      </c>
      <c r="L152" s="82">
        <v>0</v>
      </c>
      <c r="M152" s="83">
        <f t="shared" si="10"/>
        <v>15</v>
      </c>
      <c r="N152" s="84"/>
      <c r="O152" s="85">
        <f t="shared" si="11"/>
        <v>0</v>
      </c>
    </row>
    <row r="153" spans="6:15" s="76" customFormat="1" ht="22.8" outlineLevel="2">
      <c r="F153" s="77">
        <v>108</v>
      </c>
      <c r="G153" s="78" t="s">
        <v>192</v>
      </c>
      <c r="H153" s="78"/>
      <c r="I153" s="80" t="s">
        <v>246</v>
      </c>
      <c r="J153" s="78" t="s">
        <v>217</v>
      </c>
      <c r="K153" s="81">
        <v>9</v>
      </c>
      <c r="L153" s="82">
        <v>0</v>
      </c>
      <c r="M153" s="83">
        <f t="shared" si="10"/>
        <v>9</v>
      </c>
      <c r="N153" s="84"/>
      <c r="O153" s="85">
        <f t="shared" si="11"/>
        <v>0</v>
      </c>
    </row>
    <row r="154" spans="6:15" s="76" customFormat="1" ht="22.8" outlineLevel="2">
      <c r="F154" s="77">
        <v>109</v>
      </c>
      <c r="G154" s="78" t="s">
        <v>192</v>
      </c>
      <c r="H154" s="78"/>
      <c r="I154" s="80" t="s">
        <v>247</v>
      </c>
      <c r="J154" s="78" t="s">
        <v>217</v>
      </c>
      <c r="K154" s="81">
        <v>24</v>
      </c>
      <c r="L154" s="82">
        <v>0</v>
      </c>
      <c r="M154" s="83">
        <f t="shared" si="10"/>
        <v>24</v>
      </c>
      <c r="N154" s="84"/>
      <c r="O154" s="85">
        <f t="shared" si="11"/>
        <v>0</v>
      </c>
    </row>
    <row r="155" spans="6:15" s="76" customFormat="1" ht="22.8" outlineLevel="2">
      <c r="F155" s="77">
        <v>110</v>
      </c>
      <c r="G155" s="78" t="s">
        <v>192</v>
      </c>
      <c r="H155" s="78"/>
      <c r="I155" s="80" t="s">
        <v>248</v>
      </c>
      <c r="J155" s="78" t="s">
        <v>217</v>
      </c>
      <c r="K155" s="81">
        <v>10</v>
      </c>
      <c r="L155" s="82">
        <v>0</v>
      </c>
      <c r="M155" s="83">
        <f t="shared" si="10"/>
        <v>10</v>
      </c>
      <c r="N155" s="84"/>
      <c r="O155" s="85">
        <f t="shared" si="11"/>
        <v>0</v>
      </c>
    </row>
    <row r="156" spans="6:15" s="76" customFormat="1" ht="22.8" outlineLevel="2">
      <c r="F156" s="77">
        <v>111</v>
      </c>
      <c r="G156" s="78" t="s">
        <v>192</v>
      </c>
      <c r="H156" s="78"/>
      <c r="I156" s="80" t="s">
        <v>249</v>
      </c>
      <c r="J156" s="78" t="s">
        <v>217</v>
      </c>
      <c r="K156" s="81">
        <v>24</v>
      </c>
      <c r="L156" s="82">
        <v>0</v>
      </c>
      <c r="M156" s="83">
        <f t="shared" si="10"/>
        <v>24</v>
      </c>
      <c r="N156" s="84"/>
      <c r="O156" s="85">
        <f t="shared" si="11"/>
        <v>0</v>
      </c>
    </row>
    <row r="157" spans="6:15" s="76" customFormat="1" ht="22.8" outlineLevel="2">
      <c r="F157" s="77">
        <v>112</v>
      </c>
      <c r="G157" s="78" t="s">
        <v>192</v>
      </c>
      <c r="H157" s="78"/>
      <c r="I157" s="80" t="s">
        <v>250</v>
      </c>
      <c r="J157" s="78" t="s">
        <v>217</v>
      </c>
      <c r="K157" s="81">
        <v>4</v>
      </c>
      <c r="L157" s="82">
        <v>0</v>
      </c>
      <c r="M157" s="83">
        <f t="shared" si="10"/>
        <v>4</v>
      </c>
      <c r="N157" s="84"/>
      <c r="O157" s="85">
        <f t="shared" si="11"/>
        <v>0</v>
      </c>
    </row>
    <row r="158" spans="6:15" s="76" customFormat="1" ht="34.2" outlineLevel="2">
      <c r="F158" s="77">
        <v>113</v>
      </c>
      <c r="G158" s="78" t="s">
        <v>192</v>
      </c>
      <c r="H158" s="78"/>
      <c r="I158" s="80" t="s">
        <v>251</v>
      </c>
      <c r="J158" s="78" t="s">
        <v>217</v>
      </c>
      <c r="K158" s="81">
        <v>34</v>
      </c>
      <c r="L158" s="82">
        <v>0</v>
      </c>
      <c r="M158" s="83">
        <f t="shared" si="10"/>
        <v>34</v>
      </c>
      <c r="N158" s="84"/>
      <c r="O158" s="85">
        <f t="shared" si="11"/>
        <v>0</v>
      </c>
    </row>
    <row r="159" spans="6:15" s="76" customFormat="1" ht="34.2" outlineLevel="2">
      <c r="F159" s="77">
        <v>114</v>
      </c>
      <c r="G159" s="78" t="s">
        <v>192</v>
      </c>
      <c r="H159" s="78"/>
      <c r="I159" s="80" t="s">
        <v>252</v>
      </c>
      <c r="J159" s="78" t="s">
        <v>217</v>
      </c>
      <c r="K159" s="81">
        <v>26</v>
      </c>
      <c r="L159" s="82">
        <v>0</v>
      </c>
      <c r="M159" s="83">
        <f t="shared" si="10"/>
        <v>26</v>
      </c>
      <c r="N159" s="84"/>
      <c r="O159" s="85">
        <f t="shared" si="11"/>
        <v>0</v>
      </c>
    </row>
    <row r="160" spans="6:15" s="76" customFormat="1" ht="22.8" outlineLevel="2">
      <c r="F160" s="77">
        <v>115</v>
      </c>
      <c r="G160" s="78" t="s">
        <v>192</v>
      </c>
      <c r="H160" s="78"/>
      <c r="I160" s="80" t="s">
        <v>253</v>
      </c>
      <c r="J160" s="78" t="s">
        <v>217</v>
      </c>
      <c r="K160" s="81">
        <v>7</v>
      </c>
      <c r="L160" s="82">
        <v>0</v>
      </c>
      <c r="M160" s="83">
        <f t="shared" si="10"/>
        <v>7</v>
      </c>
      <c r="N160" s="84"/>
      <c r="O160" s="85">
        <f>M160*N160</f>
        <v>0</v>
      </c>
    </row>
    <row r="161" spans="6:15" s="76" customFormat="1" ht="22.8" outlineLevel="2">
      <c r="F161" s="77">
        <v>116</v>
      </c>
      <c r="G161" s="78" t="s">
        <v>192</v>
      </c>
      <c r="H161" s="78"/>
      <c r="I161" s="80" t="s">
        <v>254</v>
      </c>
      <c r="J161" s="78" t="s">
        <v>217</v>
      </c>
      <c r="K161" s="81">
        <v>4</v>
      </c>
      <c r="L161" s="82">
        <v>0</v>
      </c>
      <c r="M161" s="83">
        <f t="shared" si="10"/>
        <v>4</v>
      </c>
      <c r="N161" s="84"/>
      <c r="O161" s="85">
        <f t="shared" si="11"/>
        <v>0</v>
      </c>
    </row>
    <row r="162" spans="6:15" s="76" customFormat="1" ht="22.8" outlineLevel="2">
      <c r="F162" s="77">
        <v>117</v>
      </c>
      <c r="G162" s="78" t="s">
        <v>192</v>
      </c>
      <c r="H162" s="78"/>
      <c r="I162" s="80" t="s">
        <v>255</v>
      </c>
      <c r="J162" s="78" t="s">
        <v>217</v>
      </c>
      <c r="K162" s="81">
        <v>23</v>
      </c>
      <c r="L162" s="82">
        <v>0</v>
      </c>
      <c r="M162" s="83">
        <f t="shared" si="10"/>
        <v>23</v>
      </c>
      <c r="N162" s="84"/>
      <c r="O162" s="85">
        <f t="shared" si="11"/>
        <v>0</v>
      </c>
    </row>
    <row r="163" spans="6:15" s="76" customFormat="1" ht="13.2" outlineLevel="2">
      <c r="F163" s="77">
        <v>118</v>
      </c>
      <c r="G163" s="107"/>
      <c r="H163" s="92"/>
      <c r="I163" s="105" t="s">
        <v>256</v>
      </c>
      <c r="J163" s="94"/>
      <c r="K163" s="94"/>
      <c r="L163" s="90"/>
      <c r="M163" s="91"/>
      <c r="N163" s="96"/>
      <c r="O163" s="102"/>
    </row>
    <row r="164" spans="6:15" s="76" customFormat="1" ht="11.4" outlineLevel="2">
      <c r="F164" s="77">
        <v>119</v>
      </c>
      <c r="G164" s="78" t="s">
        <v>192</v>
      </c>
      <c r="H164" s="78"/>
      <c r="I164" s="80" t="s">
        <v>257</v>
      </c>
      <c r="J164" s="78" t="s">
        <v>217</v>
      </c>
      <c r="K164" s="81">
        <v>37</v>
      </c>
      <c r="L164" s="82">
        <v>0</v>
      </c>
      <c r="M164" s="83">
        <f>K164*(1+L164/100)</f>
        <v>37</v>
      </c>
      <c r="N164" s="84"/>
      <c r="O164" s="85">
        <f t="shared" si="11"/>
        <v>0</v>
      </c>
    </row>
    <row r="165" spans="6:15" s="76" customFormat="1" ht="11.4" outlineLevel="2">
      <c r="F165" s="77">
        <v>120</v>
      </c>
      <c r="G165" s="78" t="s">
        <v>192</v>
      </c>
      <c r="H165" s="78"/>
      <c r="I165" s="80" t="s">
        <v>258</v>
      </c>
      <c r="J165" s="78" t="s">
        <v>217</v>
      </c>
      <c r="K165" s="81">
        <v>7</v>
      </c>
      <c r="L165" s="82">
        <v>0</v>
      </c>
      <c r="M165" s="83">
        <f aca="true" t="shared" si="12" ref="M165:M179">K165*(1+L165/100)</f>
        <v>7</v>
      </c>
      <c r="N165" s="84"/>
      <c r="O165" s="85">
        <f t="shared" si="11"/>
        <v>0</v>
      </c>
    </row>
    <row r="166" spans="6:15" s="76" customFormat="1" ht="11.4" outlineLevel="2">
      <c r="F166" s="77">
        <v>121</v>
      </c>
      <c r="G166" s="78" t="s">
        <v>192</v>
      </c>
      <c r="H166" s="78"/>
      <c r="I166" s="80" t="s">
        <v>259</v>
      </c>
      <c r="J166" s="78" t="s">
        <v>217</v>
      </c>
      <c r="K166" s="81">
        <v>26</v>
      </c>
      <c r="L166" s="82">
        <v>0</v>
      </c>
      <c r="M166" s="83">
        <f t="shared" si="12"/>
        <v>26</v>
      </c>
      <c r="N166" s="84"/>
      <c r="O166" s="85">
        <f t="shared" si="11"/>
        <v>0</v>
      </c>
    </row>
    <row r="167" spans="6:15" s="76" customFormat="1" ht="11.4" outlineLevel="2">
      <c r="F167" s="77">
        <v>122</v>
      </c>
      <c r="G167" s="78" t="s">
        <v>192</v>
      </c>
      <c r="H167" s="78"/>
      <c r="I167" s="80" t="s">
        <v>260</v>
      </c>
      <c r="J167" s="78" t="s">
        <v>217</v>
      </c>
      <c r="K167" s="81">
        <v>6</v>
      </c>
      <c r="L167" s="82">
        <v>0</v>
      </c>
      <c r="M167" s="83">
        <f t="shared" si="12"/>
        <v>6</v>
      </c>
      <c r="N167" s="84"/>
      <c r="O167" s="85">
        <f t="shared" si="11"/>
        <v>0</v>
      </c>
    </row>
    <row r="168" spans="6:15" s="76" customFormat="1" ht="11.4" outlineLevel="2">
      <c r="F168" s="77">
        <v>123</v>
      </c>
      <c r="G168" s="78" t="s">
        <v>192</v>
      </c>
      <c r="H168" s="78"/>
      <c r="I168" s="80" t="s">
        <v>261</v>
      </c>
      <c r="J168" s="78" t="s">
        <v>217</v>
      </c>
      <c r="K168" s="81">
        <v>19</v>
      </c>
      <c r="L168" s="82">
        <v>0</v>
      </c>
      <c r="M168" s="83">
        <f t="shared" si="12"/>
        <v>19</v>
      </c>
      <c r="N168" s="84"/>
      <c r="O168" s="85">
        <f t="shared" si="11"/>
        <v>0</v>
      </c>
    </row>
    <row r="169" spans="6:15" s="76" customFormat="1" ht="11.4" outlineLevel="2">
      <c r="F169" s="77">
        <v>124</v>
      </c>
      <c r="G169" s="78" t="s">
        <v>192</v>
      </c>
      <c r="H169" s="78"/>
      <c r="I169" s="80" t="s">
        <v>262</v>
      </c>
      <c r="J169" s="78" t="s">
        <v>217</v>
      </c>
      <c r="K169" s="81">
        <v>9</v>
      </c>
      <c r="L169" s="82">
        <v>0</v>
      </c>
      <c r="M169" s="83">
        <f t="shared" si="12"/>
        <v>9</v>
      </c>
      <c r="N169" s="84"/>
      <c r="O169" s="85">
        <f t="shared" si="11"/>
        <v>0</v>
      </c>
    </row>
    <row r="170" spans="6:15" s="76" customFormat="1" ht="11.4" outlineLevel="2">
      <c r="F170" s="77">
        <v>125</v>
      </c>
      <c r="G170" s="78" t="s">
        <v>192</v>
      </c>
      <c r="H170" s="78"/>
      <c r="I170" s="80" t="s">
        <v>263</v>
      </c>
      <c r="J170" s="78" t="s">
        <v>217</v>
      </c>
      <c r="K170" s="81">
        <v>32</v>
      </c>
      <c r="L170" s="82">
        <v>0</v>
      </c>
      <c r="M170" s="83">
        <f t="shared" si="12"/>
        <v>32</v>
      </c>
      <c r="N170" s="84"/>
      <c r="O170" s="85">
        <f t="shared" si="11"/>
        <v>0</v>
      </c>
    </row>
    <row r="171" spans="6:15" s="76" customFormat="1" ht="11.4" outlineLevel="2">
      <c r="F171" s="77">
        <v>126</v>
      </c>
      <c r="G171" s="78" t="s">
        <v>192</v>
      </c>
      <c r="H171" s="78"/>
      <c r="I171" s="80" t="s">
        <v>264</v>
      </c>
      <c r="J171" s="78" t="s">
        <v>217</v>
      </c>
      <c r="K171" s="81">
        <v>2</v>
      </c>
      <c r="L171" s="82">
        <v>0</v>
      </c>
      <c r="M171" s="83">
        <f t="shared" si="12"/>
        <v>2</v>
      </c>
      <c r="N171" s="84"/>
      <c r="O171" s="85">
        <f t="shared" si="11"/>
        <v>0</v>
      </c>
    </row>
    <row r="172" spans="6:15" s="76" customFormat="1" ht="11.4" outlineLevel="2">
      <c r="F172" s="77">
        <v>127</v>
      </c>
      <c r="G172" s="78" t="s">
        <v>192</v>
      </c>
      <c r="H172" s="78"/>
      <c r="I172" s="80" t="s">
        <v>265</v>
      </c>
      <c r="J172" s="78" t="s">
        <v>217</v>
      </c>
      <c r="K172" s="81">
        <v>1</v>
      </c>
      <c r="L172" s="82">
        <v>0</v>
      </c>
      <c r="M172" s="83">
        <f t="shared" si="12"/>
        <v>1</v>
      </c>
      <c r="N172" s="84"/>
      <c r="O172" s="85">
        <f t="shared" si="11"/>
        <v>0</v>
      </c>
    </row>
    <row r="173" spans="6:15" s="76" customFormat="1" ht="11.4" outlineLevel="2">
      <c r="F173" s="77">
        <v>128</v>
      </c>
      <c r="G173" s="78" t="s">
        <v>192</v>
      </c>
      <c r="H173" s="78"/>
      <c r="I173" s="80" t="s">
        <v>266</v>
      </c>
      <c r="J173" s="78" t="s">
        <v>217</v>
      </c>
      <c r="K173" s="81">
        <v>33</v>
      </c>
      <c r="L173" s="82">
        <v>0</v>
      </c>
      <c r="M173" s="83">
        <f t="shared" si="12"/>
        <v>33</v>
      </c>
      <c r="N173" s="84"/>
      <c r="O173" s="85">
        <f t="shared" si="11"/>
        <v>0</v>
      </c>
    </row>
    <row r="174" spans="6:15" s="76" customFormat="1" ht="11.4" outlineLevel="2">
      <c r="F174" s="77">
        <v>129</v>
      </c>
      <c r="G174" s="78" t="s">
        <v>192</v>
      </c>
      <c r="H174" s="78"/>
      <c r="I174" s="80" t="s">
        <v>267</v>
      </c>
      <c r="J174" s="78" t="s">
        <v>217</v>
      </c>
      <c r="K174" s="81">
        <v>39</v>
      </c>
      <c r="L174" s="82">
        <v>0</v>
      </c>
      <c r="M174" s="83">
        <f t="shared" si="12"/>
        <v>39</v>
      </c>
      <c r="N174" s="84"/>
      <c r="O174" s="85">
        <f t="shared" si="11"/>
        <v>0</v>
      </c>
    </row>
    <row r="175" spans="6:15" s="76" customFormat="1" ht="11.4" outlineLevel="2">
      <c r="F175" s="77">
        <v>130</v>
      </c>
      <c r="G175" s="78" t="s">
        <v>192</v>
      </c>
      <c r="H175" s="78"/>
      <c r="I175" s="80" t="s">
        <v>268</v>
      </c>
      <c r="J175" s="78" t="s">
        <v>217</v>
      </c>
      <c r="K175" s="81">
        <v>87</v>
      </c>
      <c r="L175" s="82">
        <v>0</v>
      </c>
      <c r="M175" s="83">
        <f t="shared" si="12"/>
        <v>87</v>
      </c>
      <c r="N175" s="84"/>
      <c r="O175" s="85">
        <f t="shared" si="11"/>
        <v>0</v>
      </c>
    </row>
    <row r="176" spans="6:15" s="76" customFormat="1" ht="11.4" outlineLevel="2">
      <c r="F176" s="77">
        <v>131</v>
      </c>
      <c r="G176" s="78" t="s">
        <v>192</v>
      </c>
      <c r="H176" s="78"/>
      <c r="I176" s="80" t="s">
        <v>269</v>
      </c>
      <c r="J176" s="78" t="s">
        <v>217</v>
      </c>
      <c r="K176" s="81">
        <v>18</v>
      </c>
      <c r="L176" s="82">
        <v>0</v>
      </c>
      <c r="M176" s="83">
        <f t="shared" si="12"/>
        <v>18</v>
      </c>
      <c r="N176" s="84"/>
      <c r="O176" s="85">
        <f t="shared" si="11"/>
        <v>0</v>
      </c>
    </row>
    <row r="177" spans="6:15" s="76" customFormat="1" ht="11.4" outlineLevel="2">
      <c r="F177" s="77">
        <v>132</v>
      </c>
      <c r="G177" s="78" t="s">
        <v>192</v>
      </c>
      <c r="H177" s="78"/>
      <c r="I177" s="80" t="s">
        <v>270</v>
      </c>
      <c r="J177" s="78" t="s">
        <v>217</v>
      </c>
      <c r="K177" s="81">
        <v>2</v>
      </c>
      <c r="L177" s="82">
        <v>0</v>
      </c>
      <c r="M177" s="83">
        <f t="shared" si="12"/>
        <v>2</v>
      </c>
      <c r="N177" s="84"/>
      <c r="O177" s="85">
        <f t="shared" si="11"/>
        <v>0</v>
      </c>
    </row>
    <row r="178" spans="6:15" s="76" customFormat="1" ht="11.4" outlineLevel="2">
      <c r="F178" s="77">
        <v>133</v>
      </c>
      <c r="G178" s="78" t="s">
        <v>192</v>
      </c>
      <c r="H178" s="78"/>
      <c r="I178" s="80" t="s">
        <v>271</v>
      </c>
      <c r="J178" s="78" t="s">
        <v>217</v>
      </c>
      <c r="K178" s="81">
        <v>28</v>
      </c>
      <c r="L178" s="82">
        <v>0</v>
      </c>
      <c r="M178" s="83">
        <f t="shared" si="12"/>
        <v>28</v>
      </c>
      <c r="N178" s="84"/>
      <c r="O178" s="85">
        <f t="shared" si="11"/>
        <v>0</v>
      </c>
    </row>
    <row r="179" spans="6:15" s="76" customFormat="1" ht="11.4" outlineLevel="2">
      <c r="F179" s="77">
        <v>134</v>
      </c>
      <c r="G179" s="78" t="s">
        <v>192</v>
      </c>
      <c r="H179" s="78"/>
      <c r="I179" s="80" t="s">
        <v>272</v>
      </c>
      <c r="J179" s="78" t="s">
        <v>217</v>
      </c>
      <c r="K179" s="81">
        <v>6</v>
      </c>
      <c r="L179" s="82">
        <v>0</v>
      </c>
      <c r="M179" s="83">
        <f t="shared" si="12"/>
        <v>6</v>
      </c>
      <c r="N179" s="84"/>
      <c r="O179" s="85">
        <f t="shared" si="11"/>
        <v>0</v>
      </c>
    </row>
    <row r="180" spans="6:15" s="76" customFormat="1" ht="13.2" outlineLevel="2">
      <c r="F180" s="108"/>
      <c r="G180" s="107"/>
      <c r="H180" s="92"/>
      <c r="I180" s="105" t="s">
        <v>273</v>
      </c>
      <c r="J180" s="94"/>
      <c r="K180" s="109"/>
      <c r="L180" s="90"/>
      <c r="M180" s="91"/>
      <c r="N180" s="96"/>
      <c r="O180" s="110"/>
    </row>
    <row r="181" spans="6:15" s="76" customFormat="1" ht="11.4" outlineLevel="2">
      <c r="F181" s="77">
        <v>135</v>
      </c>
      <c r="G181" s="78" t="s">
        <v>192</v>
      </c>
      <c r="H181" s="78"/>
      <c r="I181" s="80" t="s">
        <v>274</v>
      </c>
      <c r="J181" s="78" t="s">
        <v>69</v>
      </c>
      <c r="K181" s="81">
        <v>48</v>
      </c>
      <c r="L181" s="82">
        <v>0</v>
      </c>
      <c r="M181" s="83">
        <f aca="true" t="shared" si="13" ref="M181:M197">K181*(1+L181/100)</f>
        <v>48</v>
      </c>
      <c r="N181" s="84"/>
      <c r="O181" s="85">
        <f t="shared" si="11"/>
        <v>0</v>
      </c>
    </row>
    <row r="182" spans="6:15" s="76" customFormat="1" ht="11.4" outlineLevel="2">
      <c r="F182" s="77">
        <v>136</v>
      </c>
      <c r="G182" s="78" t="s">
        <v>192</v>
      </c>
      <c r="H182" s="78"/>
      <c r="I182" s="80" t="s">
        <v>275</v>
      </c>
      <c r="J182" s="78" t="s">
        <v>217</v>
      </c>
      <c r="K182" s="81">
        <v>37</v>
      </c>
      <c r="L182" s="82">
        <v>0</v>
      </c>
      <c r="M182" s="83">
        <f t="shared" si="13"/>
        <v>37</v>
      </c>
      <c r="N182" s="84"/>
      <c r="O182" s="85">
        <f t="shared" si="11"/>
        <v>0</v>
      </c>
    </row>
    <row r="183" spans="6:15" s="76" customFormat="1" ht="11.4" outlineLevel="2">
      <c r="F183" s="77">
        <v>137</v>
      </c>
      <c r="G183" s="78" t="s">
        <v>192</v>
      </c>
      <c r="H183" s="78"/>
      <c r="I183" s="80" t="s">
        <v>276</v>
      </c>
      <c r="J183" s="78" t="s">
        <v>69</v>
      </c>
      <c r="K183" s="81">
        <v>45</v>
      </c>
      <c r="L183" s="82">
        <v>0</v>
      </c>
      <c r="M183" s="83">
        <f t="shared" si="13"/>
        <v>45</v>
      </c>
      <c r="N183" s="84"/>
      <c r="O183" s="85">
        <f t="shared" si="11"/>
        <v>0</v>
      </c>
    </row>
    <row r="184" spans="6:15" s="76" customFormat="1" ht="11.4" outlineLevel="2">
      <c r="F184" s="77">
        <v>138</v>
      </c>
      <c r="G184" s="78" t="s">
        <v>192</v>
      </c>
      <c r="H184" s="78"/>
      <c r="I184" s="80" t="s">
        <v>277</v>
      </c>
      <c r="J184" s="78" t="s">
        <v>217</v>
      </c>
      <c r="K184" s="81">
        <v>12</v>
      </c>
      <c r="L184" s="82">
        <v>0</v>
      </c>
      <c r="M184" s="83">
        <f t="shared" si="13"/>
        <v>12</v>
      </c>
      <c r="N184" s="84"/>
      <c r="O184" s="85">
        <f t="shared" si="11"/>
        <v>0</v>
      </c>
    </row>
    <row r="185" spans="6:15" s="76" customFormat="1" ht="11.4" outlineLevel="2">
      <c r="F185" s="77">
        <v>139</v>
      </c>
      <c r="G185" s="78" t="s">
        <v>192</v>
      </c>
      <c r="H185" s="78"/>
      <c r="I185" s="80" t="s">
        <v>278</v>
      </c>
      <c r="J185" s="78" t="s">
        <v>279</v>
      </c>
      <c r="K185" s="81">
        <v>43</v>
      </c>
      <c r="L185" s="82">
        <v>0</v>
      </c>
      <c r="M185" s="83">
        <f t="shared" si="13"/>
        <v>43</v>
      </c>
      <c r="N185" s="84"/>
      <c r="O185" s="85">
        <f t="shared" si="11"/>
        <v>0</v>
      </c>
    </row>
    <row r="186" spans="6:15" s="76" customFormat="1" ht="11.4" outlineLevel="2">
      <c r="F186" s="77">
        <v>140</v>
      </c>
      <c r="G186" s="78" t="s">
        <v>192</v>
      </c>
      <c r="H186" s="78"/>
      <c r="I186" s="80" t="s">
        <v>280</v>
      </c>
      <c r="J186" s="78" t="s">
        <v>69</v>
      </c>
      <c r="K186" s="81">
        <v>54</v>
      </c>
      <c r="L186" s="82">
        <v>0</v>
      </c>
      <c r="M186" s="83">
        <f t="shared" si="13"/>
        <v>54</v>
      </c>
      <c r="N186" s="84"/>
      <c r="O186" s="85">
        <f t="shared" si="11"/>
        <v>0</v>
      </c>
    </row>
    <row r="187" spans="6:15" s="76" customFormat="1" ht="11.4" outlineLevel="2">
      <c r="F187" s="77">
        <v>141</v>
      </c>
      <c r="G187" s="78" t="s">
        <v>192</v>
      </c>
      <c r="H187" s="78"/>
      <c r="I187" s="80" t="s">
        <v>281</v>
      </c>
      <c r="J187" s="78" t="s">
        <v>69</v>
      </c>
      <c r="K187" s="81">
        <v>63</v>
      </c>
      <c r="L187" s="82">
        <v>0</v>
      </c>
      <c r="M187" s="83">
        <f t="shared" si="13"/>
        <v>63</v>
      </c>
      <c r="N187" s="84"/>
      <c r="O187" s="85">
        <f t="shared" si="11"/>
        <v>0</v>
      </c>
    </row>
    <row r="188" spans="6:15" s="76" customFormat="1" ht="11.4" outlineLevel="2">
      <c r="F188" s="77">
        <v>142</v>
      </c>
      <c r="G188" s="78" t="s">
        <v>192</v>
      </c>
      <c r="H188" s="78"/>
      <c r="I188" s="80" t="s">
        <v>282</v>
      </c>
      <c r="J188" s="78" t="s">
        <v>69</v>
      </c>
      <c r="K188" s="81">
        <v>54</v>
      </c>
      <c r="L188" s="82">
        <v>0</v>
      </c>
      <c r="M188" s="83">
        <f t="shared" si="13"/>
        <v>54</v>
      </c>
      <c r="N188" s="84"/>
      <c r="O188" s="85">
        <f t="shared" si="11"/>
        <v>0</v>
      </c>
    </row>
    <row r="189" spans="6:15" s="76" customFormat="1" ht="11.4" outlineLevel="2">
      <c r="F189" s="77">
        <v>143</v>
      </c>
      <c r="G189" s="78" t="s">
        <v>192</v>
      </c>
      <c r="H189" s="78"/>
      <c r="I189" s="80" t="s">
        <v>283</v>
      </c>
      <c r="J189" s="78" t="s">
        <v>69</v>
      </c>
      <c r="K189" s="81">
        <v>63</v>
      </c>
      <c r="L189" s="82">
        <v>0</v>
      </c>
      <c r="M189" s="83">
        <f t="shared" si="13"/>
        <v>63</v>
      </c>
      <c r="N189" s="84"/>
      <c r="O189" s="85">
        <f t="shared" si="11"/>
        <v>0</v>
      </c>
    </row>
    <row r="190" spans="6:15" s="76" customFormat="1" ht="11.4" outlineLevel="2">
      <c r="F190" s="77">
        <v>144</v>
      </c>
      <c r="G190" s="78" t="s">
        <v>192</v>
      </c>
      <c r="H190" s="78"/>
      <c r="I190" s="80" t="s">
        <v>284</v>
      </c>
      <c r="J190" s="78" t="s">
        <v>217</v>
      </c>
      <c r="K190" s="81">
        <v>48</v>
      </c>
      <c r="L190" s="82">
        <v>0</v>
      </c>
      <c r="M190" s="83">
        <f t="shared" si="13"/>
        <v>48</v>
      </c>
      <c r="N190" s="84"/>
      <c r="O190" s="85">
        <f t="shared" si="11"/>
        <v>0</v>
      </c>
    </row>
    <row r="191" spans="6:15" s="76" customFormat="1" ht="11.4" outlineLevel="2">
      <c r="F191" s="77">
        <v>145</v>
      </c>
      <c r="G191" s="78" t="s">
        <v>192</v>
      </c>
      <c r="H191" s="78"/>
      <c r="I191" s="80" t="s">
        <v>285</v>
      </c>
      <c r="J191" s="78" t="s">
        <v>217</v>
      </c>
      <c r="K191" s="81">
        <v>81</v>
      </c>
      <c r="L191" s="82">
        <v>0</v>
      </c>
      <c r="M191" s="83">
        <f t="shared" si="13"/>
        <v>81</v>
      </c>
      <c r="N191" s="84"/>
      <c r="O191" s="85">
        <f t="shared" si="11"/>
        <v>0</v>
      </c>
    </row>
    <row r="192" spans="6:15" s="76" customFormat="1" ht="11.4" outlineLevel="2">
      <c r="F192" s="77">
        <v>146</v>
      </c>
      <c r="G192" s="78" t="s">
        <v>192</v>
      </c>
      <c r="H192" s="78"/>
      <c r="I192" s="80" t="s">
        <v>286</v>
      </c>
      <c r="J192" s="78" t="s">
        <v>217</v>
      </c>
      <c r="K192" s="81">
        <v>12</v>
      </c>
      <c r="L192" s="82">
        <v>0</v>
      </c>
      <c r="M192" s="83">
        <f t="shared" si="13"/>
        <v>12</v>
      </c>
      <c r="N192" s="84"/>
      <c r="O192" s="85">
        <f t="shared" si="11"/>
        <v>0</v>
      </c>
    </row>
    <row r="193" spans="6:15" s="76" customFormat="1" ht="11.4" outlineLevel="2">
      <c r="F193" s="77">
        <v>147</v>
      </c>
      <c r="G193" s="78" t="s">
        <v>192</v>
      </c>
      <c r="H193" s="78"/>
      <c r="I193" s="80" t="s">
        <v>287</v>
      </c>
      <c r="J193" s="78" t="s">
        <v>69</v>
      </c>
      <c r="K193" s="81">
        <v>72</v>
      </c>
      <c r="L193" s="82">
        <v>0</v>
      </c>
      <c r="M193" s="83">
        <f t="shared" si="13"/>
        <v>72</v>
      </c>
      <c r="N193" s="84"/>
      <c r="O193" s="85">
        <f t="shared" si="11"/>
        <v>0</v>
      </c>
    </row>
    <row r="194" spans="6:15" s="76" customFormat="1" ht="11.4" outlineLevel="2">
      <c r="F194" s="77">
        <v>148</v>
      </c>
      <c r="G194" s="78" t="s">
        <v>192</v>
      </c>
      <c r="H194" s="78"/>
      <c r="I194" s="80" t="s">
        <v>288</v>
      </c>
      <c r="J194" s="78" t="s">
        <v>69</v>
      </c>
      <c r="K194" s="81">
        <v>48</v>
      </c>
      <c r="L194" s="82">
        <v>0</v>
      </c>
      <c r="M194" s="83">
        <f t="shared" si="13"/>
        <v>48</v>
      </c>
      <c r="N194" s="84"/>
      <c r="O194" s="85">
        <f t="shared" si="11"/>
        <v>0</v>
      </c>
    </row>
    <row r="195" spans="6:15" s="76" customFormat="1" ht="11.4" outlineLevel="2">
      <c r="F195" s="77">
        <v>149</v>
      </c>
      <c r="G195" s="78" t="s">
        <v>192</v>
      </c>
      <c r="H195" s="78"/>
      <c r="I195" s="80" t="s">
        <v>289</v>
      </c>
      <c r="J195" s="78" t="s">
        <v>217</v>
      </c>
      <c r="K195" s="81">
        <v>150</v>
      </c>
      <c r="L195" s="82">
        <v>0</v>
      </c>
      <c r="M195" s="83">
        <f t="shared" si="13"/>
        <v>150</v>
      </c>
      <c r="N195" s="84"/>
      <c r="O195" s="85">
        <f t="shared" si="11"/>
        <v>0</v>
      </c>
    </row>
    <row r="196" spans="6:15" s="76" customFormat="1" ht="11.4" outlineLevel="2">
      <c r="F196" s="77">
        <v>150</v>
      </c>
      <c r="G196" s="78" t="s">
        <v>192</v>
      </c>
      <c r="H196" s="78"/>
      <c r="I196" s="80" t="s">
        <v>290</v>
      </c>
      <c r="J196" s="78" t="s">
        <v>217</v>
      </c>
      <c r="K196" s="81">
        <v>90</v>
      </c>
      <c r="L196" s="82">
        <v>0</v>
      </c>
      <c r="M196" s="83">
        <f t="shared" si="13"/>
        <v>90</v>
      </c>
      <c r="N196" s="84"/>
      <c r="O196" s="85">
        <f t="shared" si="11"/>
        <v>0</v>
      </c>
    </row>
    <row r="197" spans="6:15" s="76" customFormat="1" ht="11.4" outlineLevel="2">
      <c r="F197" s="77">
        <v>151</v>
      </c>
      <c r="G197" s="78" t="s">
        <v>192</v>
      </c>
      <c r="H197" s="78"/>
      <c r="I197" s="80" t="s">
        <v>291</v>
      </c>
      <c r="J197" s="78" t="s">
        <v>69</v>
      </c>
      <c r="K197" s="81">
        <v>275</v>
      </c>
      <c r="L197" s="82">
        <v>0</v>
      </c>
      <c r="M197" s="83">
        <f t="shared" si="13"/>
        <v>275</v>
      </c>
      <c r="N197" s="84"/>
      <c r="O197" s="85">
        <f t="shared" si="11"/>
        <v>0</v>
      </c>
    </row>
    <row r="198" spans="6:15" s="76" customFormat="1" ht="13.2" outlineLevel="2">
      <c r="F198" s="108"/>
      <c r="G198" s="107"/>
      <c r="H198" s="92"/>
      <c r="I198" s="111" t="s">
        <v>292</v>
      </c>
      <c r="J198" s="94"/>
      <c r="K198" s="94"/>
      <c r="L198" s="90"/>
      <c r="M198" s="91"/>
      <c r="N198" s="96"/>
      <c r="O198" s="102"/>
    </row>
    <row r="199" spans="6:15" s="76" customFormat="1" ht="11.4" outlineLevel="2">
      <c r="F199" s="77">
        <v>152</v>
      </c>
      <c r="G199" s="78" t="s">
        <v>192</v>
      </c>
      <c r="H199" s="78"/>
      <c r="I199" s="80" t="s">
        <v>293</v>
      </c>
      <c r="J199" s="78" t="s">
        <v>69</v>
      </c>
      <c r="K199" s="81">
        <v>378</v>
      </c>
      <c r="L199" s="82">
        <v>0</v>
      </c>
      <c r="M199" s="83">
        <f aca="true" t="shared" si="14" ref="M199:M209">K199*(1+L199/100)</f>
        <v>378</v>
      </c>
      <c r="N199" s="84"/>
      <c r="O199" s="85">
        <f t="shared" si="11"/>
        <v>0</v>
      </c>
    </row>
    <row r="200" spans="6:15" s="76" customFormat="1" ht="11.4" outlineLevel="2">
      <c r="F200" s="77">
        <v>153</v>
      </c>
      <c r="G200" s="78" t="s">
        <v>192</v>
      </c>
      <c r="H200" s="78"/>
      <c r="I200" s="80" t="s">
        <v>294</v>
      </c>
      <c r="J200" s="78" t="s">
        <v>69</v>
      </c>
      <c r="K200" s="81">
        <v>3750</v>
      </c>
      <c r="L200" s="82">
        <v>0</v>
      </c>
      <c r="M200" s="83">
        <f t="shared" si="14"/>
        <v>3750</v>
      </c>
      <c r="N200" s="84"/>
      <c r="O200" s="85">
        <f t="shared" si="11"/>
        <v>0</v>
      </c>
    </row>
    <row r="201" spans="6:15" s="76" customFormat="1" ht="11.4" outlineLevel="2">
      <c r="F201" s="77">
        <v>154</v>
      </c>
      <c r="G201" s="78" t="s">
        <v>192</v>
      </c>
      <c r="H201" s="78"/>
      <c r="I201" s="80" t="s">
        <v>295</v>
      </c>
      <c r="J201" s="78" t="s">
        <v>69</v>
      </c>
      <c r="K201" s="81">
        <v>2826</v>
      </c>
      <c r="L201" s="82">
        <v>0</v>
      </c>
      <c r="M201" s="83">
        <f t="shared" si="14"/>
        <v>2826</v>
      </c>
      <c r="N201" s="84"/>
      <c r="O201" s="85">
        <f t="shared" si="11"/>
        <v>0</v>
      </c>
    </row>
    <row r="202" spans="6:15" s="76" customFormat="1" ht="11.4" outlineLevel="2">
      <c r="F202" s="77">
        <v>155</v>
      </c>
      <c r="G202" s="78" t="s">
        <v>192</v>
      </c>
      <c r="H202" s="78"/>
      <c r="I202" s="80" t="s">
        <v>296</v>
      </c>
      <c r="J202" s="78" t="s">
        <v>69</v>
      </c>
      <c r="K202" s="81">
        <v>534</v>
      </c>
      <c r="L202" s="82">
        <v>0</v>
      </c>
      <c r="M202" s="83">
        <f t="shared" si="14"/>
        <v>534</v>
      </c>
      <c r="N202" s="84"/>
      <c r="O202" s="85">
        <f t="shared" si="11"/>
        <v>0</v>
      </c>
    </row>
    <row r="203" spans="6:15" s="76" customFormat="1" ht="11.4" outlineLevel="2">
      <c r="F203" s="77">
        <v>156</v>
      </c>
      <c r="G203" s="78" t="s">
        <v>192</v>
      </c>
      <c r="H203" s="78"/>
      <c r="I203" s="80" t="s">
        <v>297</v>
      </c>
      <c r="J203" s="78" t="s">
        <v>69</v>
      </c>
      <c r="K203" s="81">
        <v>183</v>
      </c>
      <c r="L203" s="82">
        <v>0</v>
      </c>
      <c r="M203" s="83">
        <f t="shared" si="14"/>
        <v>183</v>
      </c>
      <c r="N203" s="84"/>
      <c r="O203" s="85">
        <f t="shared" si="11"/>
        <v>0</v>
      </c>
    </row>
    <row r="204" spans="6:15" s="76" customFormat="1" ht="11.4" outlineLevel="2">
      <c r="F204" s="77">
        <v>157</v>
      </c>
      <c r="G204" s="78" t="s">
        <v>192</v>
      </c>
      <c r="H204" s="78"/>
      <c r="I204" s="80" t="s">
        <v>298</v>
      </c>
      <c r="J204" s="78" t="s">
        <v>69</v>
      </c>
      <c r="K204" s="81">
        <v>81</v>
      </c>
      <c r="L204" s="82">
        <v>0</v>
      </c>
      <c r="M204" s="83">
        <f t="shared" si="14"/>
        <v>81</v>
      </c>
      <c r="N204" s="84"/>
      <c r="O204" s="85">
        <f t="shared" si="11"/>
        <v>0</v>
      </c>
    </row>
    <row r="205" spans="6:15" s="76" customFormat="1" ht="11.4" outlineLevel="2">
      <c r="F205" s="77">
        <v>158</v>
      </c>
      <c r="G205" s="78" t="s">
        <v>192</v>
      </c>
      <c r="H205" s="78"/>
      <c r="I205" s="80" t="s">
        <v>299</v>
      </c>
      <c r="J205" s="78" t="s">
        <v>69</v>
      </c>
      <c r="K205" s="81">
        <v>264</v>
      </c>
      <c r="L205" s="82">
        <v>0</v>
      </c>
      <c r="M205" s="83">
        <f t="shared" si="14"/>
        <v>264</v>
      </c>
      <c r="N205" s="84"/>
      <c r="O205" s="85">
        <f t="shared" si="11"/>
        <v>0</v>
      </c>
    </row>
    <row r="206" spans="6:15" s="76" customFormat="1" ht="11.4" outlineLevel="2">
      <c r="F206" s="77">
        <v>159</v>
      </c>
      <c r="G206" s="78" t="s">
        <v>192</v>
      </c>
      <c r="H206" s="78"/>
      <c r="I206" s="80" t="s">
        <v>300</v>
      </c>
      <c r="J206" s="78" t="s">
        <v>69</v>
      </c>
      <c r="K206" s="81">
        <v>2112</v>
      </c>
      <c r="L206" s="82">
        <v>0</v>
      </c>
      <c r="M206" s="83">
        <f t="shared" si="14"/>
        <v>2112</v>
      </c>
      <c r="N206" s="84"/>
      <c r="O206" s="85">
        <f t="shared" si="11"/>
        <v>0</v>
      </c>
    </row>
    <row r="207" spans="6:15" s="76" customFormat="1" ht="11.4" outlineLevel="2">
      <c r="F207" s="77">
        <v>160</v>
      </c>
      <c r="G207" s="78" t="s">
        <v>192</v>
      </c>
      <c r="H207" s="78"/>
      <c r="I207" s="80" t="s">
        <v>301</v>
      </c>
      <c r="J207" s="78" t="s">
        <v>217</v>
      </c>
      <c r="K207" s="81">
        <v>738</v>
      </c>
      <c r="L207" s="82">
        <v>0</v>
      </c>
      <c r="M207" s="83">
        <f t="shared" si="14"/>
        <v>738</v>
      </c>
      <c r="N207" s="84"/>
      <c r="O207" s="85">
        <f t="shared" si="11"/>
        <v>0</v>
      </c>
    </row>
    <row r="208" spans="6:15" s="76" customFormat="1" ht="11.4" outlineLevel="2">
      <c r="F208" s="77">
        <v>161</v>
      </c>
      <c r="G208" s="78" t="s">
        <v>192</v>
      </c>
      <c r="H208" s="78"/>
      <c r="I208" s="80" t="s">
        <v>302</v>
      </c>
      <c r="J208" s="78" t="s">
        <v>217</v>
      </c>
      <c r="K208" s="81">
        <v>112</v>
      </c>
      <c r="L208" s="82">
        <v>0</v>
      </c>
      <c r="M208" s="83">
        <f t="shared" si="14"/>
        <v>112</v>
      </c>
      <c r="N208" s="84"/>
      <c r="O208" s="85">
        <f t="shared" si="11"/>
        <v>0</v>
      </c>
    </row>
    <row r="209" spans="6:15" s="76" customFormat="1" ht="11.4" outlineLevel="2">
      <c r="F209" s="77">
        <v>162</v>
      </c>
      <c r="G209" s="78" t="s">
        <v>192</v>
      </c>
      <c r="H209" s="78"/>
      <c r="I209" s="80" t="s">
        <v>303</v>
      </c>
      <c r="J209" s="78" t="s">
        <v>217</v>
      </c>
      <c r="K209" s="81">
        <v>348</v>
      </c>
      <c r="L209" s="82">
        <v>0</v>
      </c>
      <c r="M209" s="83">
        <f t="shared" si="14"/>
        <v>348</v>
      </c>
      <c r="N209" s="84"/>
      <c r="O209" s="85">
        <f t="shared" si="11"/>
        <v>0</v>
      </c>
    </row>
    <row r="210" spans="6:15" s="76" customFormat="1" ht="13.2" outlineLevel="2">
      <c r="F210" s="108"/>
      <c r="G210" s="107"/>
      <c r="H210" s="92"/>
      <c r="I210" s="105" t="s">
        <v>304</v>
      </c>
      <c r="J210" s="109"/>
      <c r="K210" s="109"/>
      <c r="L210" s="90"/>
      <c r="M210" s="91"/>
      <c r="N210" s="96"/>
      <c r="O210" s="102"/>
    </row>
    <row r="211" spans="6:15" s="76" customFormat="1" ht="11.4" outlineLevel="2">
      <c r="F211" s="77">
        <v>163</v>
      </c>
      <c r="G211" s="78" t="s">
        <v>192</v>
      </c>
      <c r="H211" s="78"/>
      <c r="I211" s="80" t="s">
        <v>305</v>
      </c>
      <c r="J211" s="78" t="s">
        <v>217</v>
      </c>
      <c r="K211" s="81">
        <v>4</v>
      </c>
      <c r="L211" s="82">
        <v>0</v>
      </c>
      <c r="M211" s="83">
        <f aca="true" t="shared" si="15" ref="M211:M216">K211*(1+L211/100)</f>
        <v>4</v>
      </c>
      <c r="N211" s="84"/>
      <c r="O211" s="85">
        <f t="shared" si="11"/>
        <v>0</v>
      </c>
    </row>
    <row r="212" spans="6:15" s="76" customFormat="1" ht="11.4" outlineLevel="2">
      <c r="F212" s="77">
        <v>164</v>
      </c>
      <c r="G212" s="78" t="s">
        <v>192</v>
      </c>
      <c r="H212" s="78"/>
      <c r="I212" s="80" t="s">
        <v>306</v>
      </c>
      <c r="J212" s="78" t="s">
        <v>217</v>
      </c>
      <c r="K212" s="81">
        <v>26</v>
      </c>
      <c r="L212" s="82">
        <v>0</v>
      </c>
      <c r="M212" s="83">
        <f t="shared" si="15"/>
        <v>26</v>
      </c>
      <c r="N212" s="84"/>
      <c r="O212" s="85">
        <f t="shared" si="11"/>
        <v>0</v>
      </c>
    </row>
    <row r="213" spans="6:15" s="76" customFormat="1" ht="11.4" outlineLevel="2">
      <c r="F213" s="77">
        <v>165</v>
      </c>
      <c r="G213" s="78" t="s">
        <v>192</v>
      </c>
      <c r="H213" s="78"/>
      <c r="I213" s="80" t="s">
        <v>307</v>
      </c>
      <c r="J213" s="78" t="s">
        <v>69</v>
      </c>
      <c r="K213" s="81">
        <v>114</v>
      </c>
      <c r="L213" s="82">
        <v>0</v>
      </c>
      <c r="M213" s="83">
        <f t="shared" si="15"/>
        <v>114</v>
      </c>
      <c r="N213" s="84"/>
      <c r="O213" s="85">
        <f aca="true" t="shared" si="16" ref="O213:O230">M213*N213</f>
        <v>0</v>
      </c>
    </row>
    <row r="214" spans="6:15" s="76" customFormat="1" ht="11.4" outlineLevel="2">
      <c r="F214" s="77">
        <v>166</v>
      </c>
      <c r="G214" s="78" t="s">
        <v>192</v>
      </c>
      <c r="H214" s="78"/>
      <c r="I214" s="80" t="s">
        <v>308</v>
      </c>
      <c r="J214" s="78" t="s">
        <v>69</v>
      </c>
      <c r="K214" s="81">
        <v>234</v>
      </c>
      <c r="L214" s="82">
        <v>0</v>
      </c>
      <c r="M214" s="83">
        <f t="shared" si="15"/>
        <v>234</v>
      </c>
      <c r="N214" s="84"/>
      <c r="O214" s="85">
        <f t="shared" si="16"/>
        <v>0</v>
      </c>
    </row>
    <row r="215" spans="6:15" s="76" customFormat="1" ht="11.4" outlineLevel="2">
      <c r="F215" s="77">
        <v>167</v>
      </c>
      <c r="G215" s="78" t="s">
        <v>192</v>
      </c>
      <c r="H215" s="78"/>
      <c r="I215" s="80" t="s">
        <v>309</v>
      </c>
      <c r="J215" s="78" t="s">
        <v>69</v>
      </c>
      <c r="K215" s="81">
        <v>456</v>
      </c>
      <c r="L215" s="82">
        <v>0</v>
      </c>
      <c r="M215" s="83">
        <f t="shared" si="15"/>
        <v>456</v>
      </c>
      <c r="N215" s="84"/>
      <c r="O215" s="85">
        <f t="shared" si="16"/>
        <v>0</v>
      </c>
    </row>
    <row r="216" spans="6:15" s="76" customFormat="1" ht="11.4" outlineLevel="2">
      <c r="F216" s="77">
        <v>168</v>
      </c>
      <c r="G216" s="78" t="s">
        <v>192</v>
      </c>
      <c r="H216" s="78"/>
      <c r="I216" s="80" t="s">
        <v>310</v>
      </c>
      <c r="J216" s="78" t="s">
        <v>217</v>
      </c>
      <c r="K216" s="81">
        <v>12</v>
      </c>
      <c r="L216" s="82">
        <v>0</v>
      </c>
      <c r="M216" s="83">
        <f t="shared" si="15"/>
        <v>12</v>
      </c>
      <c r="N216" s="84"/>
      <c r="O216" s="85">
        <f t="shared" si="16"/>
        <v>0</v>
      </c>
    </row>
    <row r="217" spans="6:15" s="76" customFormat="1" ht="13.2" outlineLevel="2">
      <c r="F217" s="108"/>
      <c r="G217" s="107"/>
      <c r="H217" s="92"/>
      <c r="I217" s="112" t="s">
        <v>311</v>
      </c>
      <c r="J217" s="110"/>
      <c r="K217" s="110"/>
      <c r="L217" s="90"/>
      <c r="M217" s="91"/>
      <c r="N217" s="96"/>
      <c r="O217" s="102"/>
    </row>
    <row r="218" spans="6:15" s="76" customFormat="1" ht="22.8" outlineLevel="2">
      <c r="F218" s="77">
        <v>169</v>
      </c>
      <c r="G218" s="78" t="s">
        <v>192</v>
      </c>
      <c r="H218" s="78"/>
      <c r="I218" s="80" t="s">
        <v>312</v>
      </c>
      <c r="J218" s="78" t="s">
        <v>313</v>
      </c>
      <c r="K218" s="81">
        <v>12</v>
      </c>
      <c r="L218" s="82">
        <v>0</v>
      </c>
      <c r="M218" s="83">
        <f aca="true" t="shared" si="17" ref="M218:M230">K218*(1+L218/100)</f>
        <v>12</v>
      </c>
      <c r="N218" s="84"/>
      <c r="O218" s="85">
        <f t="shared" si="16"/>
        <v>0</v>
      </c>
    </row>
    <row r="219" spans="6:15" s="76" customFormat="1" ht="11.4" outlineLevel="2">
      <c r="F219" s="77">
        <v>170</v>
      </c>
      <c r="G219" s="78" t="s">
        <v>192</v>
      </c>
      <c r="H219" s="78"/>
      <c r="I219" s="80" t="s">
        <v>314</v>
      </c>
      <c r="J219" s="78" t="s">
        <v>217</v>
      </c>
      <c r="K219" s="81">
        <v>344</v>
      </c>
      <c r="L219" s="82">
        <v>0</v>
      </c>
      <c r="M219" s="83">
        <f t="shared" si="17"/>
        <v>344</v>
      </c>
      <c r="N219" s="84"/>
      <c r="O219" s="85">
        <f t="shared" si="16"/>
        <v>0</v>
      </c>
    </row>
    <row r="220" spans="6:15" s="76" customFormat="1" ht="11.4" outlineLevel="2">
      <c r="F220" s="77">
        <v>171</v>
      </c>
      <c r="G220" s="78" t="s">
        <v>192</v>
      </c>
      <c r="H220" s="78"/>
      <c r="I220" s="80" t="s">
        <v>315</v>
      </c>
      <c r="J220" s="78" t="s">
        <v>217</v>
      </c>
      <c r="K220" s="81">
        <v>276</v>
      </c>
      <c r="L220" s="82">
        <v>0</v>
      </c>
      <c r="M220" s="83">
        <f t="shared" si="17"/>
        <v>276</v>
      </c>
      <c r="N220" s="84"/>
      <c r="O220" s="85">
        <f t="shared" si="16"/>
        <v>0</v>
      </c>
    </row>
    <row r="221" spans="6:15" s="76" customFormat="1" ht="11.4" outlineLevel="2">
      <c r="F221" s="77">
        <v>172</v>
      </c>
      <c r="G221" s="78" t="s">
        <v>192</v>
      </c>
      <c r="H221" s="78"/>
      <c r="I221" s="80" t="s">
        <v>316</v>
      </c>
      <c r="J221" s="78" t="s">
        <v>113</v>
      </c>
      <c r="K221" s="81">
        <v>1</v>
      </c>
      <c r="L221" s="82">
        <v>0</v>
      </c>
      <c r="M221" s="83">
        <f t="shared" si="17"/>
        <v>1</v>
      </c>
      <c r="N221" s="84"/>
      <c r="O221" s="85">
        <f t="shared" si="16"/>
        <v>0</v>
      </c>
    </row>
    <row r="222" spans="6:15" s="76" customFormat="1" ht="11.4" outlineLevel="2">
      <c r="F222" s="77">
        <v>173</v>
      </c>
      <c r="G222" s="78" t="s">
        <v>192</v>
      </c>
      <c r="H222" s="78"/>
      <c r="I222" s="80" t="s">
        <v>317</v>
      </c>
      <c r="J222" s="78" t="s">
        <v>113</v>
      </c>
      <c r="K222" s="81">
        <v>1</v>
      </c>
      <c r="L222" s="82">
        <v>0</v>
      </c>
      <c r="M222" s="83">
        <f t="shared" si="17"/>
        <v>1</v>
      </c>
      <c r="N222" s="84"/>
      <c r="O222" s="85">
        <f t="shared" si="16"/>
        <v>0</v>
      </c>
    </row>
    <row r="223" spans="6:15" s="76" customFormat="1" ht="11.4" outlineLevel="2">
      <c r="F223" s="77">
        <v>174</v>
      </c>
      <c r="G223" s="78" t="s">
        <v>192</v>
      </c>
      <c r="H223" s="78"/>
      <c r="I223" s="80" t="s">
        <v>318</v>
      </c>
      <c r="J223" s="78" t="s">
        <v>113</v>
      </c>
      <c r="K223" s="81">
        <v>1</v>
      </c>
      <c r="L223" s="82">
        <v>0</v>
      </c>
      <c r="M223" s="83">
        <f t="shared" si="17"/>
        <v>1</v>
      </c>
      <c r="N223" s="84"/>
      <c r="O223" s="85">
        <f t="shared" si="16"/>
        <v>0</v>
      </c>
    </row>
    <row r="224" spans="6:15" s="76" customFormat="1" ht="11.4" outlineLevel="2">
      <c r="F224" s="77">
        <v>175</v>
      </c>
      <c r="G224" s="78" t="s">
        <v>192</v>
      </c>
      <c r="H224" s="78"/>
      <c r="I224" s="80" t="s">
        <v>319</v>
      </c>
      <c r="J224" s="78" t="s">
        <v>113</v>
      </c>
      <c r="K224" s="81">
        <v>1</v>
      </c>
      <c r="L224" s="82">
        <v>0</v>
      </c>
      <c r="M224" s="83">
        <f t="shared" si="17"/>
        <v>1</v>
      </c>
      <c r="N224" s="84"/>
      <c r="O224" s="85">
        <f t="shared" si="16"/>
        <v>0</v>
      </c>
    </row>
    <row r="225" spans="6:15" s="76" customFormat="1" ht="11.4" outlineLevel="2">
      <c r="F225" s="77">
        <v>176</v>
      </c>
      <c r="G225" s="78" t="s">
        <v>192</v>
      </c>
      <c r="H225" s="78"/>
      <c r="I225" s="80" t="s">
        <v>320</v>
      </c>
      <c r="J225" s="78" t="s">
        <v>113</v>
      </c>
      <c r="K225" s="81">
        <v>1</v>
      </c>
      <c r="L225" s="82">
        <v>0</v>
      </c>
      <c r="M225" s="83">
        <f t="shared" si="17"/>
        <v>1</v>
      </c>
      <c r="N225" s="84"/>
      <c r="O225" s="85">
        <f t="shared" si="16"/>
        <v>0</v>
      </c>
    </row>
    <row r="226" spans="6:15" s="76" customFormat="1" ht="11.4" outlineLevel="2">
      <c r="F226" s="77">
        <v>177</v>
      </c>
      <c r="G226" s="78" t="s">
        <v>192</v>
      </c>
      <c r="H226" s="78"/>
      <c r="I226" s="80" t="s">
        <v>321</v>
      </c>
      <c r="J226" s="78" t="s">
        <v>113</v>
      </c>
      <c r="K226" s="81">
        <v>1</v>
      </c>
      <c r="L226" s="82">
        <v>0</v>
      </c>
      <c r="M226" s="83">
        <f t="shared" si="17"/>
        <v>1</v>
      </c>
      <c r="N226" s="84"/>
      <c r="O226" s="85">
        <f t="shared" si="16"/>
        <v>0</v>
      </c>
    </row>
    <row r="227" spans="6:15" s="76" customFormat="1" ht="11.4" outlineLevel="2">
      <c r="F227" s="77">
        <v>178</v>
      </c>
      <c r="G227" s="78" t="s">
        <v>192</v>
      </c>
      <c r="H227" s="78"/>
      <c r="I227" s="80" t="s">
        <v>322</v>
      </c>
      <c r="J227" s="78" t="s">
        <v>113</v>
      </c>
      <c r="K227" s="81">
        <v>1</v>
      </c>
      <c r="L227" s="82">
        <v>0</v>
      </c>
      <c r="M227" s="83">
        <f t="shared" si="17"/>
        <v>1</v>
      </c>
      <c r="N227" s="84"/>
      <c r="O227" s="85">
        <f t="shared" si="16"/>
        <v>0</v>
      </c>
    </row>
    <row r="228" spans="6:15" s="76" customFormat="1" ht="11.4" outlineLevel="2">
      <c r="F228" s="77">
        <v>179</v>
      </c>
      <c r="G228" s="78" t="s">
        <v>192</v>
      </c>
      <c r="H228" s="78"/>
      <c r="I228" s="80" t="s">
        <v>323</v>
      </c>
      <c r="J228" s="78" t="s">
        <v>113</v>
      </c>
      <c r="K228" s="81">
        <v>1</v>
      </c>
      <c r="L228" s="82">
        <v>0</v>
      </c>
      <c r="M228" s="83">
        <f t="shared" si="17"/>
        <v>1</v>
      </c>
      <c r="N228" s="84"/>
      <c r="O228" s="85">
        <f t="shared" si="16"/>
        <v>0</v>
      </c>
    </row>
    <row r="229" spans="6:15" s="76" customFormat="1" ht="11.4" outlineLevel="2">
      <c r="F229" s="77">
        <v>180</v>
      </c>
      <c r="G229" s="78" t="s">
        <v>192</v>
      </c>
      <c r="H229" s="78"/>
      <c r="I229" s="80" t="s">
        <v>324</v>
      </c>
      <c r="J229" s="78" t="s">
        <v>113</v>
      </c>
      <c r="K229" s="81">
        <v>1</v>
      </c>
      <c r="L229" s="82">
        <v>0</v>
      </c>
      <c r="M229" s="83">
        <f t="shared" si="17"/>
        <v>1</v>
      </c>
      <c r="N229" s="84"/>
      <c r="O229" s="85">
        <f t="shared" si="16"/>
        <v>0</v>
      </c>
    </row>
    <row r="230" spans="6:15" s="76" customFormat="1" ht="11.4" outlineLevel="2">
      <c r="F230" s="77">
        <v>181</v>
      </c>
      <c r="G230" s="78" t="s">
        <v>192</v>
      </c>
      <c r="H230" s="78"/>
      <c r="I230" s="80" t="s">
        <v>325</v>
      </c>
      <c r="J230" s="78" t="s">
        <v>113</v>
      </c>
      <c r="K230" s="81">
        <v>1</v>
      </c>
      <c r="L230" s="82">
        <v>0</v>
      </c>
      <c r="M230" s="83">
        <f t="shared" si="17"/>
        <v>1</v>
      </c>
      <c r="N230" s="84"/>
      <c r="O230" s="85">
        <f t="shared" si="16"/>
        <v>0</v>
      </c>
    </row>
    <row r="231" spans="6:15" s="76" customFormat="1" ht="11.4" outlineLevel="2">
      <c r="F231" s="98"/>
      <c r="G231" s="99"/>
      <c r="H231" s="92"/>
      <c r="I231" s="113"/>
      <c r="J231" s="99"/>
      <c r="K231" s="114"/>
      <c r="L231" s="90"/>
      <c r="M231" s="91"/>
      <c r="O231" s="115"/>
    </row>
    <row r="232" spans="6:15" s="76" customFormat="1" ht="16.5" customHeight="1" outlineLevel="2">
      <c r="F232" s="98"/>
      <c r="G232" s="99"/>
      <c r="H232" s="92"/>
      <c r="I232" s="72" t="s">
        <v>4</v>
      </c>
      <c r="J232" s="99"/>
      <c r="K232" s="114"/>
      <c r="L232" s="90"/>
      <c r="M232" s="91"/>
      <c r="O232" s="8">
        <f>SUM(O234:O285)</f>
        <v>0</v>
      </c>
    </row>
    <row r="233" spans="6:15" s="76" customFormat="1" ht="12" outlineLevel="2">
      <c r="F233" s="77"/>
      <c r="G233" s="78"/>
      <c r="H233" s="79"/>
      <c r="I233" s="116" t="s">
        <v>326</v>
      </c>
      <c r="J233" s="78"/>
      <c r="K233" s="78"/>
      <c r="L233" s="78"/>
      <c r="M233" s="78"/>
      <c r="N233" s="78"/>
      <c r="O233" s="78"/>
    </row>
    <row r="234" spans="6:15" s="76" customFormat="1" ht="11.4" outlineLevel="2">
      <c r="F234" s="77">
        <v>182</v>
      </c>
      <c r="G234" s="78" t="s">
        <v>192</v>
      </c>
      <c r="H234" s="79"/>
      <c r="I234" s="80" t="s">
        <v>327</v>
      </c>
      <c r="J234" s="78" t="s">
        <v>113</v>
      </c>
      <c r="K234" s="81">
        <v>1</v>
      </c>
      <c r="L234" s="82">
        <v>0</v>
      </c>
      <c r="M234" s="83">
        <f>K234*(1+L234/100)</f>
        <v>1</v>
      </c>
      <c r="N234" s="84"/>
      <c r="O234" s="85">
        <f aca="true" t="shared" si="18" ref="O234:O285">M234*N234</f>
        <v>0</v>
      </c>
    </row>
    <row r="235" spans="6:15" s="76" customFormat="1" ht="11.4" outlineLevel="2">
      <c r="F235" s="77">
        <v>183</v>
      </c>
      <c r="G235" s="78" t="s">
        <v>192</v>
      </c>
      <c r="H235" s="79"/>
      <c r="I235" s="80" t="s">
        <v>328</v>
      </c>
      <c r="J235" s="78" t="s">
        <v>217</v>
      </c>
      <c r="K235" s="81">
        <v>1</v>
      </c>
      <c r="L235" s="82">
        <v>0</v>
      </c>
      <c r="M235" s="83">
        <f aca="true" t="shared" si="19" ref="M235:M285">K235*(1+L235/100)</f>
        <v>1</v>
      </c>
      <c r="N235" s="84"/>
      <c r="O235" s="85">
        <f t="shared" si="18"/>
        <v>0</v>
      </c>
    </row>
    <row r="236" spans="6:15" s="76" customFormat="1" ht="11.4" outlineLevel="2">
      <c r="F236" s="77">
        <v>184</v>
      </c>
      <c r="G236" s="78" t="s">
        <v>192</v>
      </c>
      <c r="H236" s="79"/>
      <c r="I236" s="80" t="s">
        <v>329</v>
      </c>
      <c r="J236" s="78" t="s">
        <v>217</v>
      </c>
      <c r="K236" s="81">
        <v>1</v>
      </c>
      <c r="L236" s="82">
        <v>0</v>
      </c>
      <c r="M236" s="83">
        <f t="shared" si="19"/>
        <v>1</v>
      </c>
      <c r="N236" s="84"/>
      <c r="O236" s="85">
        <f t="shared" si="18"/>
        <v>0</v>
      </c>
    </row>
    <row r="237" spans="6:15" s="76" customFormat="1" ht="11.4" outlineLevel="2">
      <c r="F237" s="77">
        <v>185</v>
      </c>
      <c r="G237" s="78" t="s">
        <v>192</v>
      </c>
      <c r="H237" s="79"/>
      <c r="I237" s="80" t="s">
        <v>330</v>
      </c>
      <c r="J237" s="78" t="s">
        <v>217</v>
      </c>
      <c r="K237" s="81">
        <v>1</v>
      </c>
      <c r="L237" s="82">
        <v>0</v>
      </c>
      <c r="M237" s="83">
        <f t="shared" si="19"/>
        <v>1</v>
      </c>
      <c r="N237" s="84"/>
      <c r="O237" s="85">
        <f t="shared" si="18"/>
        <v>0</v>
      </c>
    </row>
    <row r="238" spans="6:15" s="76" customFormat="1" ht="11.4" outlineLevel="2">
      <c r="F238" s="77">
        <v>186</v>
      </c>
      <c r="G238" s="78" t="s">
        <v>192</v>
      </c>
      <c r="H238" s="79"/>
      <c r="I238" s="80" t="s">
        <v>331</v>
      </c>
      <c r="J238" s="78" t="s">
        <v>217</v>
      </c>
      <c r="K238" s="81">
        <v>1</v>
      </c>
      <c r="L238" s="82">
        <v>0</v>
      </c>
      <c r="M238" s="83">
        <f t="shared" si="19"/>
        <v>1</v>
      </c>
      <c r="N238" s="84"/>
      <c r="O238" s="85">
        <f t="shared" si="18"/>
        <v>0</v>
      </c>
    </row>
    <row r="239" spans="6:15" s="76" customFormat="1" ht="11.4" outlineLevel="2">
      <c r="F239" s="77">
        <v>187</v>
      </c>
      <c r="G239" s="78" t="s">
        <v>192</v>
      </c>
      <c r="H239" s="79"/>
      <c r="I239" s="80" t="s">
        <v>332</v>
      </c>
      <c r="J239" s="78" t="s">
        <v>217</v>
      </c>
      <c r="K239" s="81">
        <v>1</v>
      </c>
      <c r="L239" s="82">
        <v>0</v>
      </c>
      <c r="M239" s="83">
        <f t="shared" si="19"/>
        <v>1</v>
      </c>
      <c r="N239" s="84"/>
      <c r="O239" s="85">
        <f t="shared" si="18"/>
        <v>0</v>
      </c>
    </row>
    <row r="240" spans="6:15" s="76" customFormat="1" ht="11.4" outlineLevel="2">
      <c r="F240" s="77">
        <v>188</v>
      </c>
      <c r="G240" s="78" t="s">
        <v>192</v>
      </c>
      <c r="H240" s="79"/>
      <c r="I240" s="80" t="s">
        <v>333</v>
      </c>
      <c r="J240" s="78" t="s">
        <v>217</v>
      </c>
      <c r="K240" s="81">
        <v>6</v>
      </c>
      <c r="L240" s="82">
        <v>0</v>
      </c>
      <c r="M240" s="83">
        <f t="shared" si="19"/>
        <v>6</v>
      </c>
      <c r="N240" s="84"/>
      <c r="O240" s="85">
        <f t="shared" si="18"/>
        <v>0</v>
      </c>
    </row>
    <row r="241" spans="6:15" s="76" customFormat="1" ht="11.4" outlineLevel="2">
      <c r="F241" s="77">
        <v>189</v>
      </c>
      <c r="G241" s="78" t="s">
        <v>192</v>
      </c>
      <c r="H241" s="79"/>
      <c r="I241" s="80" t="s">
        <v>334</v>
      </c>
      <c r="J241" s="78" t="s">
        <v>217</v>
      </c>
      <c r="K241" s="81">
        <v>3</v>
      </c>
      <c r="L241" s="82">
        <v>0</v>
      </c>
      <c r="M241" s="83">
        <f t="shared" si="19"/>
        <v>3</v>
      </c>
      <c r="N241" s="84"/>
      <c r="O241" s="85">
        <f t="shared" si="18"/>
        <v>0</v>
      </c>
    </row>
    <row r="242" spans="6:15" s="76" customFormat="1" ht="11.4" outlineLevel="2">
      <c r="F242" s="77">
        <v>190</v>
      </c>
      <c r="G242" s="78" t="s">
        <v>192</v>
      </c>
      <c r="H242" s="79"/>
      <c r="I242" s="80" t="s">
        <v>335</v>
      </c>
      <c r="J242" s="78" t="s">
        <v>217</v>
      </c>
      <c r="K242" s="81">
        <v>6</v>
      </c>
      <c r="L242" s="82">
        <v>0</v>
      </c>
      <c r="M242" s="83">
        <f t="shared" si="19"/>
        <v>6</v>
      </c>
      <c r="N242" s="84"/>
      <c r="O242" s="85">
        <f t="shared" si="18"/>
        <v>0</v>
      </c>
    </row>
    <row r="243" spans="6:15" s="76" customFormat="1" ht="11.4" outlineLevel="2">
      <c r="F243" s="77">
        <v>191</v>
      </c>
      <c r="G243" s="78" t="s">
        <v>192</v>
      </c>
      <c r="H243" s="79"/>
      <c r="I243" s="80" t="s">
        <v>336</v>
      </c>
      <c r="J243" s="78" t="s">
        <v>217</v>
      </c>
      <c r="K243" s="81">
        <v>7</v>
      </c>
      <c r="L243" s="82">
        <v>0</v>
      </c>
      <c r="M243" s="83">
        <f t="shared" si="19"/>
        <v>7</v>
      </c>
      <c r="N243" s="84"/>
      <c r="O243" s="85">
        <f t="shared" si="18"/>
        <v>0</v>
      </c>
    </row>
    <row r="244" spans="6:15" s="76" customFormat="1" ht="11.4" outlineLevel="2">
      <c r="F244" s="77">
        <v>192</v>
      </c>
      <c r="G244" s="78" t="s">
        <v>192</v>
      </c>
      <c r="H244" s="79"/>
      <c r="I244" s="80" t="s">
        <v>337</v>
      </c>
      <c r="J244" s="78" t="s">
        <v>217</v>
      </c>
      <c r="K244" s="81">
        <v>7</v>
      </c>
      <c r="L244" s="82">
        <v>0</v>
      </c>
      <c r="M244" s="83">
        <f t="shared" si="19"/>
        <v>7</v>
      </c>
      <c r="N244" s="84"/>
      <c r="O244" s="85">
        <f t="shared" si="18"/>
        <v>0</v>
      </c>
    </row>
    <row r="245" spans="6:15" s="76" customFormat="1" ht="11.4" outlineLevel="2">
      <c r="F245" s="77">
        <v>193</v>
      </c>
      <c r="G245" s="78" t="s">
        <v>192</v>
      </c>
      <c r="H245" s="79"/>
      <c r="I245" s="80" t="s">
        <v>338</v>
      </c>
      <c r="J245" s="78" t="s">
        <v>217</v>
      </c>
      <c r="K245" s="81">
        <v>6</v>
      </c>
      <c r="L245" s="82">
        <v>0</v>
      </c>
      <c r="M245" s="83">
        <f t="shared" si="19"/>
        <v>6</v>
      </c>
      <c r="N245" s="84"/>
      <c r="O245" s="85">
        <f t="shared" si="18"/>
        <v>0</v>
      </c>
    </row>
    <row r="246" spans="6:15" s="76" customFormat="1" ht="11.4" outlineLevel="2">
      <c r="F246" s="77">
        <v>194</v>
      </c>
      <c r="G246" s="78" t="s">
        <v>192</v>
      </c>
      <c r="H246" s="79"/>
      <c r="I246" s="80" t="s">
        <v>339</v>
      </c>
      <c r="J246" s="78" t="s">
        <v>217</v>
      </c>
      <c r="K246" s="81">
        <v>5</v>
      </c>
      <c r="L246" s="82">
        <v>0</v>
      </c>
      <c r="M246" s="83">
        <f t="shared" si="19"/>
        <v>5</v>
      </c>
      <c r="N246" s="84"/>
      <c r="O246" s="85">
        <f t="shared" si="18"/>
        <v>0</v>
      </c>
    </row>
    <row r="247" spans="6:15" s="76" customFormat="1" ht="11.4" outlineLevel="2">
      <c r="F247" s="77">
        <v>195</v>
      </c>
      <c r="G247" s="78" t="s">
        <v>192</v>
      </c>
      <c r="H247" s="79"/>
      <c r="I247" s="80" t="s">
        <v>340</v>
      </c>
      <c r="J247" s="78" t="s">
        <v>217</v>
      </c>
      <c r="K247" s="81">
        <v>4</v>
      </c>
      <c r="L247" s="82">
        <v>0</v>
      </c>
      <c r="M247" s="83">
        <f t="shared" si="19"/>
        <v>4</v>
      </c>
      <c r="N247" s="84"/>
      <c r="O247" s="85">
        <f t="shared" si="18"/>
        <v>0</v>
      </c>
    </row>
    <row r="248" spans="6:15" s="76" customFormat="1" ht="11.4" outlineLevel="2">
      <c r="F248" s="77">
        <v>196</v>
      </c>
      <c r="G248" s="78" t="s">
        <v>192</v>
      </c>
      <c r="H248" s="79"/>
      <c r="I248" s="80" t="s">
        <v>341</v>
      </c>
      <c r="J248" s="78" t="s">
        <v>217</v>
      </c>
      <c r="K248" s="81">
        <v>4</v>
      </c>
      <c r="L248" s="82">
        <v>0</v>
      </c>
      <c r="M248" s="83">
        <f t="shared" si="19"/>
        <v>4</v>
      </c>
      <c r="N248" s="84"/>
      <c r="O248" s="85">
        <f t="shared" si="18"/>
        <v>0</v>
      </c>
    </row>
    <row r="249" spans="6:15" s="76" customFormat="1" ht="11.4" outlineLevel="2">
      <c r="F249" s="77">
        <v>197</v>
      </c>
      <c r="G249" s="78" t="s">
        <v>192</v>
      </c>
      <c r="H249" s="79"/>
      <c r="I249" s="80" t="s">
        <v>342</v>
      </c>
      <c r="J249" s="78" t="s">
        <v>217</v>
      </c>
      <c r="K249" s="81">
        <v>15</v>
      </c>
      <c r="L249" s="82">
        <v>0</v>
      </c>
      <c r="M249" s="83">
        <f t="shared" si="19"/>
        <v>15</v>
      </c>
      <c r="N249" s="84"/>
      <c r="O249" s="85">
        <f t="shared" si="18"/>
        <v>0</v>
      </c>
    </row>
    <row r="250" spans="6:15" s="76" customFormat="1" ht="11.4" outlineLevel="2">
      <c r="F250" s="77">
        <v>198</v>
      </c>
      <c r="G250" s="78" t="s">
        <v>192</v>
      </c>
      <c r="H250" s="79"/>
      <c r="I250" s="80" t="s">
        <v>343</v>
      </c>
      <c r="J250" s="78" t="s">
        <v>217</v>
      </c>
      <c r="K250" s="81">
        <v>30</v>
      </c>
      <c r="L250" s="82">
        <v>0</v>
      </c>
      <c r="M250" s="83">
        <f t="shared" si="19"/>
        <v>30</v>
      </c>
      <c r="N250" s="84"/>
      <c r="O250" s="85">
        <f t="shared" si="18"/>
        <v>0</v>
      </c>
    </row>
    <row r="251" spans="6:15" s="76" customFormat="1" ht="11.4" outlineLevel="2">
      <c r="F251" s="77">
        <v>199</v>
      </c>
      <c r="G251" s="78" t="s">
        <v>192</v>
      </c>
      <c r="H251" s="79"/>
      <c r="I251" s="80" t="s">
        <v>344</v>
      </c>
      <c r="J251" s="78" t="s">
        <v>113</v>
      </c>
      <c r="K251" s="81">
        <v>1</v>
      </c>
      <c r="L251" s="82">
        <v>0</v>
      </c>
      <c r="M251" s="83">
        <f t="shared" si="19"/>
        <v>1</v>
      </c>
      <c r="N251" s="84"/>
      <c r="O251" s="85">
        <f t="shared" si="18"/>
        <v>0</v>
      </c>
    </row>
    <row r="252" spans="6:15" s="76" customFormat="1" ht="11.4" outlineLevel="2">
      <c r="F252" s="77">
        <v>200</v>
      </c>
      <c r="G252" s="78" t="s">
        <v>192</v>
      </c>
      <c r="H252" s="79"/>
      <c r="I252" s="80" t="s">
        <v>345</v>
      </c>
      <c r="J252" s="78" t="s">
        <v>113</v>
      </c>
      <c r="K252" s="81">
        <v>1</v>
      </c>
      <c r="L252" s="82">
        <v>0</v>
      </c>
      <c r="M252" s="83">
        <f t="shared" si="19"/>
        <v>1</v>
      </c>
      <c r="N252" s="84"/>
      <c r="O252" s="85">
        <f t="shared" si="18"/>
        <v>0</v>
      </c>
    </row>
    <row r="253" spans="6:15" s="76" customFormat="1" ht="12" outlineLevel="2">
      <c r="F253" s="77"/>
      <c r="G253" s="78"/>
      <c r="H253" s="79"/>
      <c r="I253" s="116" t="s">
        <v>273</v>
      </c>
      <c r="J253" s="78"/>
      <c r="K253" s="81"/>
      <c r="L253" s="82"/>
      <c r="M253" s="83"/>
      <c r="N253" s="84"/>
      <c r="O253" s="85"/>
    </row>
    <row r="254" spans="6:15" s="76" customFormat="1" ht="11.4" outlineLevel="2">
      <c r="F254" s="77">
        <v>201</v>
      </c>
      <c r="G254" s="78" t="s">
        <v>192</v>
      </c>
      <c r="H254" s="79"/>
      <c r="I254" s="80" t="s">
        <v>346</v>
      </c>
      <c r="J254" s="78" t="s">
        <v>69</v>
      </c>
      <c r="K254" s="81">
        <v>55</v>
      </c>
      <c r="L254" s="82">
        <v>0</v>
      </c>
      <c r="M254" s="83">
        <f t="shared" si="19"/>
        <v>55</v>
      </c>
      <c r="N254" s="84"/>
      <c r="O254" s="85">
        <f t="shared" si="18"/>
        <v>0</v>
      </c>
    </row>
    <row r="255" spans="6:15" s="76" customFormat="1" ht="11.4" outlineLevel="2">
      <c r="F255" s="77">
        <v>202</v>
      </c>
      <c r="G255" s="78" t="s">
        <v>192</v>
      </c>
      <c r="H255" s="79"/>
      <c r="I255" s="80" t="s">
        <v>275</v>
      </c>
      <c r="J255" s="78" t="s">
        <v>217</v>
      </c>
      <c r="K255" s="81">
        <v>46</v>
      </c>
      <c r="L255" s="82">
        <v>0</v>
      </c>
      <c r="M255" s="83">
        <f t="shared" si="19"/>
        <v>46</v>
      </c>
      <c r="N255" s="84"/>
      <c r="O255" s="85">
        <f t="shared" si="18"/>
        <v>0</v>
      </c>
    </row>
    <row r="256" spans="6:15" s="76" customFormat="1" ht="11.4" outlineLevel="2">
      <c r="F256" s="77">
        <v>203</v>
      </c>
      <c r="G256" s="78" t="s">
        <v>192</v>
      </c>
      <c r="H256" s="79"/>
      <c r="I256" s="80" t="s">
        <v>277</v>
      </c>
      <c r="J256" s="78" t="s">
        <v>217</v>
      </c>
      <c r="K256" s="81">
        <v>1</v>
      </c>
      <c r="L256" s="82">
        <v>0</v>
      </c>
      <c r="M256" s="83">
        <f t="shared" si="19"/>
        <v>1</v>
      </c>
      <c r="N256" s="84"/>
      <c r="O256" s="85">
        <f t="shared" si="18"/>
        <v>0</v>
      </c>
    </row>
    <row r="257" spans="6:15" s="76" customFormat="1" ht="11.4" outlineLevel="2">
      <c r="F257" s="77">
        <v>204</v>
      </c>
      <c r="G257" s="78" t="s">
        <v>192</v>
      </c>
      <c r="H257" s="79"/>
      <c r="I257" s="80" t="s">
        <v>278</v>
      </c>
      <c r="J257" s="78" t="s">
        <v>279</v>
      </c>
      <c r="K257" s="81">
        <v>15</v>
      </c>
      <c r="L257" s="82">
        <v>0</v>
      </c>
      <c r="M257" s="83">
        <f t="shared" si="19"/>
        <v>15</v>
      </c>
      <c r="N257" s="84"/>
      <c r="O257" s="85">
        <f t="shared" si="18"/>
        <v>0</v>
      </c>
    </row>
    <row r="258" spans="6:15" s="76" customFormat="1" ht="11.4" outlineLevel="2">
      <c r="F258" s="77">
        <v>205</v>
      </c>
      <c r="G258" s="78" t="s">
        <v>192</v>
      </c>
      <c r="H258" s="79"/>
      <c r="I258" s="80" t="s">
        <v>280</v>
      </c>
      <c r="J258" s="78" t="s">
        <v>69</v>
      </c>
      <c r="K258" s="81">
        <v>26</v>
      </c>
      <c r="L258" s="82">
        <v>0</v>
      </c>
      <c r="M258" s="83">
        <f t="shared" si="19"/>
        <v>26</v>
      </c>
      <c r="N258" s="84"/>
      <c r="O258" s="85">
        <f t="shared" si="18"/>
        <v>0</v>
      </c>
    </row>
    <row r="259" spans="6:15" s="76" customFormat="1" ht="11.4" outlineLevel="2">
      <c r="F259" s="77">
        <v>206</v>
      </c>
      <c r="G259" s="78" t="s">
        <v>192</v>
      </c>
      <c r="H259" s="79"/>
      <c r="I259" s="80" t="s">
        <v>281</v>
      </c>
      <c r="J259" s="78" t="s">
        <v>69</v>
      </c>
      <c r="K259" s="81">
        <v>16</v>
      </c>
      <c r="L259" s="82">
        <v>0</v>
      </c>
      <c r="M259" s="83">
        <f t="shared" si="19"/>
        <v>16</v>
      </c>
      <c r="N259" s="84"/>
      <c r="O259" s="85">
        <f t="shared" si="18"/>
        <v>0</v>
      </c>
    </row>
    <row r="260" spans="6:15" s="76" customFormat="1" ht="11.4" outlineLevel="2">
      <c r="F260" s="77">
        <v>207</v>
      </c>
      <c r="G260" s="78" t="s">
        <v>192</v>
      </c>
      <c r="H260" s="79"/>
      <c r="I260" s="80" t="s">
        <v>282</v>
      </c>
      <c r="J260" s="78" t="s">
        <v>69</v>
      </c>
      <c r="K260" s="81">
        <v>26</v>
      </c>
      <c r="L260" s="82">
        <v>0</v>
      </c>
      <c r="M260" s="83">
        <f t="shared" si="19"/>
        <v>26</v>
      </c>
      <c r="N260" s="84"/>
      <c r="O260" s="85">
        <f t="shared" si="18"/>
        <v>0</v>
      </c>
    </row>
    <row r="261" spans="6:15" s="76" customFormat="1" ht="11.4" outlineLevel="2">
      <c r="F261" s="77">
        <v>208</v>
      </c>
      <c r="G261" s="78" t="s">
        <v>192</v>
      </c>
      <c r="H261" s="79"/>
      <c r="I261" s="80" t="s">
        <v>283</v>
      </c>
      <c r="J261" s="78" t="s">
        <v>69</v>
      </c>
      <c r="K261" s="81">
        <v>16</v>
      </c>
      <c r="L261" s="82">
        <v>0</v>
      </c>
      <c r="M261" s="83">
        <f t="shared" si="19"/>
        <v>16</v>
      </c>
      <c r="N261" s="84"/>
      <c r="O261" s="85">
        <f t="shared" si="18"/>
        <v>0</v>
      </c>
    </row>
    <row r="262" spans="6:15" s="76" customFormat="1" ht="11.4" outlineLevel="2">
      <c r="F262" s="77">
        <v>209</v>
      </c>
      <c r="G262" s="78" t="s">
        <v>192</v>
      </c>
      <c r="H262" s="79"/>
      <c r="I262" s="80" t="s">
        <v>287</v>
      </c>
      <c r="J262" s="78" t="s">
        <v>69</v>
      </c>
      <c r="K262" s="81">
        <v>48</v>
      </c>
      <c r="L262" s="82">
        <v>0</v>
      </c>
      <c r="M262" s="83">
        <f t="shared" si="19"/>
        <v>48</v>
      </c>
      <c r="N262" s="84"/>
      <c r="O262" s="85">
        <f t="shared" si="18"/>
        <v>0</v>
      </c>
    </row>
    <row r="263" spans="6:15" s="76" customFormat="1" ht="11.4" outlineLevel="2">
      <c r="F263" s="77">
        <v>210</v>
      </c>
      <c r="G263" s="78" t="s">
        <v>192</v>
      </c>
      <c r="H263" s="79"/>
      <c r="I263" s="80" t="s">
        <v>288</v>
      </c>
      <c r="J263" s="78" t="s">
        <v>69</v>
      </c>
      <c r="K263" s="81">
        <v>8</v>
      </c>
      <c r="L263" s="82">
        <v>0</v>
      </c>
      <c r="M263" s="83">
        <f t="shared" si="19"/>
        <v>8</v>
      </c>
      <c r="N263" s="84"/>
      <c r="O263" s="85">
        <f t="shared" si="18"/>
        <v>0</v>
      </c>
    </row>
    <row r="264" spans="6:15" s="76" customFormat="1" ht="11.4" outlineLevel="2">
      <c r="F264" s="77">
        <v>211</v>
      </c>
      <c r="G264" s="78" t="s">
        <v>192</v>
      </c>
      <c r="H264" s="79"/>
      <c r="I264" s="80" t="s">
        <v>289</v>
      </c>
      <c r="J264" s="78" t="s">
        <v>217</v>
      </c>
      <c r="K264" s="81">
        <v>36</v>
      </c>
      <c r="L264" s="82">
        <v>0</v>
      </c>
      <c r="M264" s="83">
        <f t="shared" si="19"/>
        <v>36</v>
      </c>
      <c r="N264" s="84"/>
      <c r="O264" s="85">
        <f t="shared" si="18"/>
        <v>0</v>
      </c>
    </row>
    <row r="265" spans="6:15" s="76" customFormat="1" ht="11.4" outlineLevel="2">
      <c r="F265" s="77">
        <v>212</v>
      </c>
      <c r="G265" s="78" t="s">
        <v>192</v>
      </c>
      <c r="H265" s="79"/>
      <c r="I265" s="80" t="s">
        <v>290</v>
      </c>
      <c r="J265" s="78" t="s">
        <v>217</v>
      </c>
      <c r="K265" s="81">
        <v>10</v>
      </c>
      <c r="L265" s="82">
        <v>0</v>
      </c>
      <c r="M265" s="83">
        <f t="shared" si="19"/>
        <v>10</v>
      </c>
      <c r="N265" s="84"/>
      <c r="O265" s="85">
        <f t="shared" si="18"/>
        <v>0</v>
      </c>
    </row>
    <row r="266" spans="6:15" s="76" customFormat="1" ht="11.4" outlineLevel="2">
      <c r="F266" s="77">
        <v>213</v>
      </c>
      <c r="G266" s="78" t="s">
        <v>192</v>
      </c>
      <c r="H266" s="79"/>
      <c r="I266" s="80" t="s">
        <v>291</v>
      </c>
      <c r="J266" s="78" t="s">
        <v>69</v>
      </c>
      <c r="K266" s="81">
        <v>36</v>
      </c>
      <c r="L266" s="82">
        <v>0</v>
      </c>
      <c r="M266" s="83">
        <f t="shared" si="19"/>
        <v>36</v>
      </c>
      <c r="N266" s="84"/>
      <c r="O266" s="85">
        <f t="shared" si="18"/>
        <v>0</v>
      </c>
    </row>
    <row r="267" spans="6:15" s="76" customFormat="1" ht="12" outlineLevel="2">
      <c r="F267" s="77"/>
      <c r="G267" s="78"/>
      <c r="H267" s="79"/>
      <c r="I267" s="116" t="s">
        <v>292</v>
      </c>
      <c r="J267" s="78"/>
      <c r="K267" s="81"/>
      <c r="L267" s="82"/>
      <c r="M267" s="83"/>
      <c r="N267" s="84"/>
      <c r="O267" s="85"/>
    </row>
    <row r="268" spans="6:15" s="76" customFormat="1" ht="11.4" outlineLevel="2">
      <c r="F268" s="77">
        <v>214</v>
      </c>
      <c r="G268" s="78" t="s">
        <v>192</v>
      </c>
      <c r="H268" s="79"/>
      <c r="I268" s="80" t="s">
        <v>347</v>
      </c>
      <c r="J268" s="78" t="s">
        <v>69</v>
      </c>
      <c r="K268" s="81">
        <v>500</v>
      </c>
      <c r="L268" s="82">
        <v>0</v>
      </c>
      <c r="M268" s="83">
        <f t="shared" si="19"/>
        <v>500</v>
      </c>
      <c r="N268" s="84"/>
      <c r="O268" s="85">
        <f t="shared" si="18"/>
        <v>0</v>
      </c>
    </row>
    <row r="269" spans="6:15" s="76" customFormat="1" ht="11.4" outlineLevel="2">
      <c r="F269" s="77">
        <v>215</v>
      </c>
      <c r="G269" s="78" t="s">
        <v>192</v>
      </c>
      <c r="H269" s="79"/>
      <c r="I269" s="80" t="s">
        <v>348</v>
      </c>
      <c r="J269" s="78" t="s">
        <v>69</v>
      </c>
      <c r="K269" s="81">
        <v>150</v>
      </c>
      <c r="L269" s="82">
        <v>0</v>
      </c>
      <c r="M269" s="83">
        <f t="shared" si="19"/>
        <v>150</v>
      </c>
      <c r="N269" s="84"/>
      <c r="O269" s="85">
        <f t="shared" si="18"/>
        <v>0</v>
      </c>
    </row>
    <row r="270" spans="6:15" s="76" customFormat="1" ht="11.4" outlineLevel="2">
      <c r="F270" s="77">
        <v>216</v>
      </c>
      <c r="G270" s="78" t="s">
        <v>192</v>
      </c>
      <c r="H270" s="79"/>
      <c r="I270" s="80" t="s">
        <v>349</v>
      </c>
      <c r="J270" s="78" t="s">
        <v>217</v>
      </c>
      <c r="K270" s="81">
        <v>17</v>
      </c>
      <c r="L270" s="82">
        <v>0</v>
      </c>
      <c r="M270" s="83">
        <f t="shared" si="19"/>
        <v>17</v>
      </c>
      <c r="N270" s="84"/>
      <c r="O270" s="85">
        <f t="shared" si="18"/>
        <v>0</v>
      </c>
    </row>
    <row r="271" spans="6:15" s="76" customFormat="1" ht="11.4" outlineLevel="2">
      <c r="F271" s="77">
        <v>217</v>
      </c>
      <c r="G271" s="78" t="s">
        <v>192</v>
      </c>
      <c r="H271" s="79"/>
      <c r="I271" s="80" t="s">
        <v>350</v>
      </c>
      <c r="J271" s="78" t="s">
        <v>217</v>
      </c>
      <c r="K271" s="81">
        <v>10</v>
      </c>
      <c r="L271" s="82">
        <v>0</v>
      </c>
      <c r="M271" s="83">
        <f t="shared" si="19"/>
        <v>10</v>
      </c>
      <c r="N271" s="84"/>
      <c r="O271" s="85">
        <f t="shared" si="18"/>
        <v>0</v>
      </c>
    </row>
    <row r="272" spans="6:15" s="76" customFormat="1" ht="11.4" outlineLevel="2">
      <c r="F272" s="77">
        <v>218</v>
      </c>
      <c r="G272" s="78" t="s">
        <v>192</v>
      </c>
      <c r="H272" s="79"/>
      <c r="I272" s="80" t="s">
        <v>351</v>
      </c>
      <c r="J272" s="78" t="s">
        <v>217</v>
      </c>
      <c r="K272" s="81">
        <v>3</v>
      </c>
      <c r="L272" s="82">
        <v>0</v>
      </c>
      <c r="M272" s="83">
        <f t="shared" si="19"/>
        <v>3</v>
      </c>
      <c r="N272" s="84"/>
      <c r="O272" s="85">
        <f t="shared" si="18"/>
        <v>0</v>
      </c>
    </row>
    <row r="273" spans="6:15" s="76" customFormat="1" ht="11.4" outlineLevel="2">
      <c r="F273" s="77">
        <v>219</v>
      </c>
      <c r="G273" s="78" t="s">
        <v>192</v>
      </c>
      <c r="H273" s="79"/>
      <c r="I273" s="80" t="s">
        <v>352</v>
      </c>
      <c r="J273" s="78" t="s">
        <v>217</v>
      </c>
      <c r="K273" s="81">
        <v>112</v>
      </c>
      <c r="L273" s="82">
        <v>0</v>
      </c>
      <c r="M273" s="83">
        <f t="shared" si="19"/>
        <v>112</v>
      </c>
      <c r="N273" s="84"/>
      <c r="O273" s="85">
        <f t="shared" si="18"/>
        <v>0</v>
      </c>
    </row>
    <row r="274" spans="6:15" s="76" customFormat="1" ht="11.4" outlineLevel="2">
      <c r="F274" s="77">
        <v>220</v>
      </c>
      <c r="G274" s="78" t="s">
        <v>192</v>
      </c>
      <c r="H274" s="79"/>
      <c r="I274" s="80" t="s">
        <v>303</v>
      </c>
      <c r="J274" s="78" t="s">
        <v>217</v>
      </c>
      <c r="K274" s="81">
        <v>116</v>
      </c>
      <c r="L274" s="82">
        <v>0</v>
      </c>
      <c r="M274" s="83">
        <f t="shared" si="19"/>
        <v>116</v>
      </c>
      <c r="N274" s="84"/>
      <c r="O274" s="85">
        <f t="shared" si="18"/>
        <v>0</v>
      </c>
    </row>
    <row r="275" spans="6:15" s="76" customFormat="1" ht="12" outlineLevel="2">
      <c r="F275" s="77"/>
      <c r="G275" s="78"/>
      <c r="H275" s="79"/>
      <c r="I275" s="116" t="s">
        <v>311</v>
      </c>
      <c r="J275" s="78"/>
      <c r="K275" s="81"/>
      <c r="L275" s="82"/>
      <c r="M275" s="83"/>
      <c r="N275" s="84"/>
      <c r="O275" s="85"/>
    </row>
    <row r="276" spans="6:15" s="76" customFormat="1" ht="22.8" outlineLevel="2">
      <c r="F276" s="77">
        <v>221</v>
      </c>
      <c r="G276" s="78" t="s">
        <v>192</v>
      </c>
      <c r="H276" s="79"/>
      <c r="I276" s="80" t="s">
        <v>312</v>
      </c>
      <c r="J276" s="78" t="s">
        <v>313</v>
      </c>
      <c r="K276" s="81">
        <v>10</v>
      </c>
      <c r="L276" s="82">
        <v>0</v>
      </c>
      <c r="M276" s="83">
        <f t="shared" si="19"/>
        <v>10</v>
      </c>
      <c r="N276" s="84"/>
      <c r="O276" s="85">
        <f t="shared" si="18"/>
        <v>0</v>
      </c>
    </row>
    <row r="277" spans="6:15" s="76" customFormat="1" ht="11.4" outlineLevel="2">
      <c r="F277" s="77">
        <v>222</v>
      </c>
      <c r="G277" s="78" t="s">
        <v>192</v>
      </c>
      <c r="H277" s="79"/>
      <c r="I277" s="80" t="s">
        <v>316</v>
      </c>
      <c r="J277" s="78" t="s">
        <v>113</v>
      </c>
      <c r="K277" s="81">
        <v>1</v>
      </c>
      <c r="L277" s="82">
        <v>0</v>
      </c>
      <c r="M277" s="83">
        <f t="shared" si="19"/>
        <v>1</v>
      </c>
      <c r="N277" s="84"/>
      <c r="O277" s="85">
        <f t="shared" si="18"/>
        <v>0</v>
      </c>
    </row>
    <row r="278" spans="6:15" s="76" customFormat="1" ht="11.4" outlineLevel="2">
      <c r="F278" s="77">
        <v>223</v>
      </c>
      <c r="G278" s="78" t="s">
        <v>192</v>
      </c>
      <c r="H278" s="79"/>
      <c r="I278" s="80" t="s">
        <v>317</v>
      </c>
      <c r="J278" s="78" t="s">
        <v>113</v>
      </c>
      <c r="K278" s="81">
        <v>1</v>
      </c>
      <c r="L278" s="82">
        <v>0</v>
      </c>
      <c r="M278" s="83">
        <f t="shared" si="19"/>
        <v>1</v>
      </c>
      <c r="N278" s="84"/>
      <c r="O278" s="85">
        <f t="shared" si="18"/>
        <v>0</v>
      </c>
    </row>
    <row r="279" spans="6:15" s="76" customFormat="1" ht="11.4" outlineLevel="2">
      <c r="F279" s="77">
        <v>224</v>
      </c>
      <c r="G279" s="78" t="s">
        <v>192</v>
      </c>
      <c r="H279" s="79"/>
      <c r="I279" s="80" t="s">
        <v>318</v>
      </c>
      <c r="J279" s="78" t="s">
        <v>113</v>
      </c>
      <c r="K279" s="81">
        <v>1</v>
      </c>
      <c r="L279" s="82">
        <v>0</v>
      </c>
      <c r="M279" s="83">
        <f t="shared" si="19"/>
        <v>1</v>
      </c>
      <c r="N279" s="84"/>
      <c r="O279" s="85">
        <f t="shared" si="18"/>
        <v>0</v>
      </c>
    </row>
    <row r="280" spans="6:15" s="76" customFormat="1" ht="11.4" outlineLevel="2">
      <c r="F280" s="77">
        <v>225</v>
      </c>
      <c r="G280" s="78" t="s">
        <v>192</v>
      </c>
      <c r="H280" s="79"/>
      <c r="I280" s="80" t="s">
        <v>319</v>
      </c>
      <c r="J280" s="78" t="s">
        <v>113</v>
      </c>
      <c r="K280" s="81">
        <v>1</v>
      </c>
      <c r="L280" s="82">
        <v>0</v>
      </c>
      <c r="M280" s="83">
        <f t="shared" si="19"/>
        <v>1</v>
      </c>
      <c r="N280" s="84"/>
      <c r="O280" s="85">
        <f t="shared" si="18"/>
        <v>0</v>
      </c>
    </row>
    <row r="281" spans="6:15" s="76" customFormat="1" ht="11.4" outlineLevel="2">
      <c r="F281" s="77">
        <v>226</v>
      </c>
      <c r="G281" s="78" t="s">
        <v>192</v>
      </c>
      <c r="H281" s="79"/>
      <c r="I281" s="80" t="s">
        <v>320</v>
      </c>
      <c r="J281" s="78" t="s">
        <v>113</v>
      </c>
      <c r="K281" s="81">
        <v>1</v>
      </c>
      <c r="L281" s="82">
        <v>0</v>
      </c>
      <c r="M281" s="83">
        <f t="shared" si="19"/>
        <v>1</v>
      </c>
      <c r="N281" s="84"/>
      <c r="O281" s="85">
        <f t="shared" si="18"/>
        <v>0</v>
      </c>
    </row>
    <row r="282" spans="6:15" s="76" customFormat="1" ht="11.4" outlineLevel="2">
      <c r="F282" s="77">
        <v>227</v>
      </c>
      <c r="G282" s="78" t="s">
        <v>192</v>
      </c>
      <c r="H282" s="79"/>
      <c r="I282" s="80" t="s">
        <v>322</v>
      </c>
      <c r="J282" s="78" t="s">
        <v>113</v>
      </c>
      <c r="K282" s="81">
        <v>1</v>
      </c>
      <c r="L282" s="82">
        <v>0</v>
      </c>
      <c r="M282" s="83">
        <f t="shared" si="19"/>
        <v>1</v>
      </c>
      <c r="N282" s="84"/>
      <c r="O282" s="85">
        <f t="shared" si="18"/>
        <v>0</v>
      </c>
    </row>
    <row r="283" spans="6:15" s="76" customFormat="1" ht="11.4" outlineLevel="2">
      <c r="F283" s="77">
        <v>228</v>
      </c>
      <c r="G283" s="78" t="s">
        <v>192</v>
      </c>
      <c r="H283" s="79"/>
      <c r="I283" s="80" t="s">
        <v>323</v>
      </c>
      <c r="J283" s="78" t="s">
        <v>113</v>
      </c>
      <c r="K283" s="81">
        <v>1</v>
      </c>
      <c r="L283" s="82">
        <v>0</v>
      </c>
      <c r="M283" s="83">
        <f t="shared" si="19"/>
        <v>1</v>
      </c>
      <c r="N283" s="84"/>
      <c r="O283" s="85">
        <f t="shared" si="18"/>
        <v>0</v>
      </c>
    </row>
    <row r="284" spans="6:15" s="76" customFormat="1" ht="11.4" outlineLevel="2">
      <c r="F284" s="77">
        <v>229</v>
      </c>
      <c r="G284" s="78" t="s">
        <v>192</v>
      </c>
      <c r="H284" s="79"/>
      <c r="I284" s="80" t="s">
        <v>324</v>
      </c>
      <c r="J284" s="78" t="s">
        <v>113</v>
      </c>
      <c r="K284" s="81">
        <v>1</v>
      </c>
      <c r="L284" s="82">
        <v>0</v>
      </c>
      <c r="M284" s="83">
        <f t="shared" si="19"/>
        <v>1</v>
      </c>
      <c r="N284" s="84"/>
      <c r="O284" s="85">
        <f t="shared" si="18"/>
        <v>0</v>
      </c>
    </row>
    <row r="285" spans="6:15" s="76" customFormat="1" ht="11.4" outlineLevel="2">
      <c r="F285" s="77">
        <v>230</v>
      </c>
      <c r="G285" s="78" t="s">
        <v>192</v>
      </c>
      <c r="H285" s="79"/>
      <c r="I285" s="80" t="s">
        <v>325</v>
      </c>
      <c r="J285" s="78" t="s">
        <v>113</v>
      </c>
      <c r="K285" s="81">
        <v>1</v>
      </c>
      <c r="L285" s="82">
        <v>0</v>
      </c>
      <c r="M285" s="83">
        <f t="shared" si="19"/>
        <v>1</v>
      </c>
      <c r="N285" s="84"/>
      <c r="O285" s="85">
        <f t="shared" si="18"/>
        <v>0</v>
      </c>
    </row>
    <row r="286" spans="6:15" s="76" customFormat="1" ht="11.4" outlineLevel="2">
      <c r="F286" s="98"/>
      <c r="G286" s="99"/>
      <c r="H286" s="92"/>
      <c r="I286" s="113"/>
      <c r="J286" s="99"/>
      <c r="K286" s="114"/>
      <c r="L286" s="90"/>
      <c r="M286" s="91"/>
      <c r="N286" s="117"/>
      <c r="O286" s="115"/>
    </row>
    <row r="287" spans="6:15" s="70" customFormat="1" ht="16.5" customHeight="1" outlineLevel="1">
      <c r="F287" s="71"/>
      <c r="G287" s="50"/>
      <c r="H287" s="72"/>
      <c r="I287" s="72" t="s">
        <v>353</v>
      </c>
      <c r="J287" s="50"/>
      <c r="K287" s="73"/>
      <c r="L287" s="74"/>
      <c r="M287" s="75"/>
      <c r="N287" s="74"/>
      <c r="O287" s="8">
        <f>SUBTOTAL(9,O288:O290)</f>
        <v>0</v>
      </c>
    </row>
    <row r="288" spans="6:15" s="76" customFormat="1" ht="11.4" outlineLevel="2">
      <c r="F288" s="77">
        <v>231</v>
      </c>
      <c r="G288" s="78" t="s">
        <v>35</v>
      </c>
      <c r="H288" s="79" t="s">
        <v>354</v>
      </c>
      <c r="I288" s="80" t="s">
        <v>355</v>
      </c>
      <c r="J288" s="78" t="s">
        <v>59</v>
      </c>
      <c r="K288" s="81">
        <v>52.2</v>
      </c>
      <c r="L288" s="82">
        <v>0</v>
      </c>
      <c r="M288" s="83">
        <f>K288*(1+L288/100)</f>
        <v>52.2</v>
      </c>
      <c r="N288" s="84"/>
      <c r="O288" s="85">
        <f>M288*N288</f>
        <v>0</v>
      </c>
    </row>
    <row r="289" spans="6:15" s="76" customFormat="1" ht="22.8" outlineLevel="2">
      <c r="F289" s="77">
        <v>232</v>
      </c>
      <c r="G289" s="78" t="s">
        <v>35</v>
      </c>
      <c r="H289" s="79" t="s">
        <v>356</v>
      </c>
      <c r="I289" s="80" t="s">
        <v>357</v>
      </c>
      <c r="J289" s="78" t="s">
        <v>59</v>
      </c>
      <c r="K289" s="81">
        <v>52.2</v>
      </c>
      <c r="L289" s="82">
        <v>0</v>
      </c>
      <c r="M289" s="83">
        <f>K289*(1+L289/100)</f>
        <v>52.2</v>
      </c>
      <c r="N289" s="84"/>
      <c r="O289" s="85">
        <f>M289*N289</f>
        <v>0</v>
      </c>
    </row>
    <row r="290" spans="6:15" s="76" customFormat="1" ht="22.8" outlineLevel="2">
      <c r="F290" s="77">
        <v>233</v>
      </c>
      <c r="G290" s="78" t="s">
        <v>35</v>
      </c>
      <c r="H290" s="79" t="s">
        <v>358</v>
      </c>
      <c r="I290" s="80" t="s">
        <v>359</v>
      </c>
      <c r="J290" s="78" t="s">
        <v>59</v>
      </c>
      <c r="K290" s="81">
        <v>52.2</v>
      </c>
      <c r="L290" s="82">
        <v>0</v>
      </c>
      <c r="M290" s="83">
        <f>K290*(1+L290/100)</f>
        <v>52.2</v>
      </c>
      <c r="N290" s="84"/>
      <c r="O290" s="85">
        <f>M290*N290</f>
        <v>0</v>
      </c>
    </row>
    <row r="291" spans="6:15" s="62" customFormat="1" ht="12.75" customHeight="1" outlineLevel="2">
      <c r="F291" s="63"/>
      <c r="G291" s="64"/>
      <c r="H291" s="64"/>
      <c r="I291" s="65"/>
      <c r="J291" s="64"/>
      <c r="K291" s="66"/>
      <c r="L291" s="67"/>
      <c r="M291" s="68"/>
      <c r="N291" s="67"/>
      <c r="O291" s="69"/>
    </row>
    <row r="292" spans="6:15" s="62" customFormat="1" ht="15.75" customHeight="1" outlineLevel="2">
      <c r="F292" s="71"/>
      <c r="G292" s="50"/>
      <c r="H292" s="72"/>
      <c r="I292" s="72" t="s">
        <v>6</v>
      </c>
      <c r="J292" s="50"/>
      <c r="K292" s="73"/>
      <c r="L292" s="74"/>
      <c r="M292" s="75"/>
      <c r="N292" s="74"/>
      <c r="O292" s="8">
        <f>SUM(O293:O296)</f>
        <v>0</v>
      </c>
    </row>
    <row r="293" spans="6:15" s="62" customFormat="1" ht="12.75" customHeight="1" outlineLevel="2">
      <c r="F293" s="77">
        <v>234</v>
      </c>
      <c r="G293" s="78" t="s">
        <v>35</v>
      </c>
      <c r="H293" s="79" t="s">
        <v>360</v>
      </c>
      <c r="I293" s="80" t="s">
        <v>361</v>
      </c>
      <c r="J293" s="78" t="s">
        <v>38</v>
      </c>
      <c r="K293" s="81">
        <f>0.5*3.3*2+2.8*2*1.25</f>
        <v>10.3</v>
      </c>
      <c r="L293" s="82">
        <v>0</v>
      </c>
      <c r="M293" s="83">
        <f>K293*(1+L293/100)</f>
        <v>10.3</v>
      </c>
      <c r="N293" s="84"/>
      <c r="O293" s="85">
        <f>M293*N293</f>
        <v>0</v>
      </c>
    </row>
    <row r="294" spans="6:15" s="62" customFormat="1" ht="22.8" outlineLevel="2">
      <c r="F294" s="77">
        <v>235</v>
      </c>
      <c r="G294" s="78" t="s">
        <v>35</v>
      </c>
      <c r="H294" s="79" t="s">
        <v>362</v>
      </c>
      <c r="I294" s="80" t="s">
        <v>363</v>
      </c>
      <c r="J294" s="78" t="s">
        <v>38</v>
      </c>
      <c r="K294" s="81">
        <v>10.3</v>
      </c>
      <c r="L294" s="82">
        <v>0</v>
      </c>
      <c r="M294" s="83">
        <f>K294*(1+L294/100)</f>
        <v>10.3</v>
      </c>
      <c r="N294" s="84"/>
      <c r="O294" s="85">
        <f>M294*N294</f>
        <v>0</v>
      </c>
    </row>
    <row r="295" spans="6:15" s="62" customFormat="1" ht="34.2" outlineLevel="2">
      <c r="F295" s="77">
        <v>236</v>
      </c>
      <c r="G295" s="78" t="s">
        <v>60</v>
      </c>
      <c r="H295" s="79" t="s">
        <v>364</v>
      </c>
      <c r="I295" s="80" t="s">
        <v>365</v>
      </c>
      <c r="J295" s="78" t="s">
        <v>38</v>
      </c>
      <c r="K295" s="81">
        <v>10.3</v>
      </c>
      <c r="L295" s="82">
        <v>10</v>
      </c>
      <c r="M295" s="83">
        <f>K295*(1+L295/100)</f>
        <v>11.330000000000002</v>
      </c>
      <c r="N295" s="84"/>
      <c r="O295" s="85">
        <f>M295*N295</f>
        <v>0</v>
      </c>
    </row>
    <row r="296" spans="6:15" s="62" customFormat="1" ht="12.75" customHeight="1" outlineLevel="2">
      <c r="F296" s="77">
        <v>237</v>
      </c>
      <c r="G296" s="78" t="s">
        <v>35</v>
      </c>
      <c r="H296" s="79">
        <v>998713203</v>
      </c>
      <c r="I296" s="80" t="s">
        <v>366</v>
      </c>
      <c r="J296" s="78" t="s">
        <v>367</v>
      </c>
      <c r="K296" s="81">
        <v>1.95</v>
      </c>
      <c r="L296" s="82">
        <v>0</v>
      </c>
      <c r="M296" s="83">
        <f>K296*(1+L296/100)</f>
        <v>1.95</v>
      </c>
      <c r="N296" s="84"/>
      <c r="O296" s="85">
        <f>K296*N296</f>
        <v>0</v>
      </c>
    </row>
    <row r="297" spans="6:15" s="62" customFormat="1" ht="12.75" customHeight="1" outlineLevel="2">
      <c r="F297" s="63"/>
      <c r="G297" s="64"/>
      <c r="H297" s="64"/>
      <c r="I297" s="65"/>
      <c r="J297" s="64"/>
      <c r="K297" s="118"/>
      <c r="L297" s="67"/>
      <c r="M297" s="68"/>
      <c r="N297" s="67"/>
      <c r="O297" s="69"/>
    </row>
    <row r="298" spans="6:15" s="70" customFormat="1" ht="16.5" customHeight="1" outlineLevel="1">
      <c r="F298" s="71"/>
      <c r="G298" s="50"/>
      <c r="H298" s="72"/>
      <c r="I298" s="72" t="s">
        <v>368</v>
      </c>
      <c r="J298" s="50"/>
      <c r="K298" s="73"/>
      <c r="L298" s="74"/>
      <c r="M298" s="75"/>
      <c r="N298" s="74"/>
      <c r="O298" s="8">
        <f>SUM(O299:O324)</f>
        <v>0</v>
      </c>
    </row>
    <row r="299" spans="6:15" s="70" customFormat="1" ht="12" customHeight="1" outlineLevel="1">
      <c r="F299" s="77">
        <v>238</v>
      </c>
      <c r="G299" s="78" t="s">
        <v>35</v>
      </c>
      <c r="H299" s="79" t="s">
        <v>369</v>
      </c>
      <c r="I299" s="80" t="s">
        <v>370</v>
      </c>
      <c r="J299" s="78" t="s">
        <v>43</v>
      </c>
      <c r="K299" s="81">
        <v>9</v>
      </c>
      <c r="L299" s="82">
        <v>0</v>
      </c>
      <c r="M299" s="83">
        <f>K299*(1+L299/100)</f>
        <v>9</v>
      </c>
      <c r="N299" s="84"/>
      <c r="O299" s="85">
        <f>M299*N299</f>
        <v>0</v>
      </c>
    </row>
    <row r="300" spans="6:15" s="70" customFormat="1" ht="12" customHeight="1" outlineLevel="1">
      <c r="F300" s="77">
        <v>239</v>
      </c>
      <c r="G300" s="78" t="s">
        <v>35</v>
      </c>
      <c r="H300" s="79" t="s">
        <v>371</v>
      </c>
      <c r="I300" s="80" t="s">
        <v>372</v>
      </c>
      <c r="J300" s="78" t="s">
        <v>69</v>
      </c>
      <c r="K300" s="81">
        <v>17</v>
      </c>
      <c r="L300" s="82">
        <v>0</v>
      </c>
      <c r="M300" s="83">
        <f aca="true" t="shared" si="20" ref="M300:M324">K300*(1+L300/100)</f>
        <v>17</v>
      </c>
      <c r="N300" s="84"/>
      <c r="O300" s="85">
        <f aca="true" t="shared" si="21" ref="O300:O324">M300*N300</f>
        <v>0</v>
      </c>
    </row>
    <row r="301" spans="6:15" s="70" customFormat="1" ht="12" customHeight="1" outlineLevel="1">
      <c r="F301" s="77">
        <v>240</v>
      </c>
      <c r="G301" s="78" t="s">
        <v>35</v>
      </c>
      <c r="H301" s="79" t="s">
        <v>373</v>
      </c>
      <c r="I301" s="80" t="s">
        <v>374</v>
      </c>
      <c r="J301" s="78" t="s">
        <v>69</v>
      </c>
      <c r="K301" s="81">
        <v>18</v>
      </c>
      <c r="L301" s="82">
        <v>0</v>
      </c>
      <c r="M301" s="83">
        <f t="shared" si="20"/>
        <v>18</v>
      </c>
      <c r="N301" s="84"/>
      <c r="O301" s="85">
        <f t="shared" si="21"/>
        <v>0</v>
      </c>
    </row>
    <row r="302" spans="6:15" s="70" customFormat="1" ht="12" customHeight="1" outlineLevel="1">
      <c r="F302" s="77">
        <v>241</v>
      </c>
      <c r="G302" s="78" t="s">
        <v>35</v>
      </c>
      <c r="H302" s="79" t="s">
        <v>375</v>
      </c>
      <c r="I302" s="80" t="s">
        <v>376</v>
      </c>
      <c r="J302" s="78" t="s">
        <v>69</v>
      </c>
      <c r="K302" s="81">
        <v>33</v>
      </c>
      <c r="L302" s="82">
        <v>0</v>
      </c>
      <c r="M302" s="83">
        <f t="shared" si="20"/>
        <v>33</v>
      </c>
      <c r="N302" s="84"/>
      <c r="O302" s="85">
        <f t="shared" si="21"/>
        <v>0</v>
      </c>
    </row>
    <row r="303" spans="6:15" s="70" customFormat="1" ht="12" customHeight="1" outlineLevel="1">
      <c r="F303" s="77">
        <v>242</v>
      </c>
      <c r="G303" s="78" t="s">
        <v>35</v>
      </c>
      <c r="H303" s="79" t="s">
        <v>377</v>
      </c>
      <c r="I303" s="80" t="s">
        <v>378</v>
      </c>
      <c r="J303" s="78" t="s">
        <v>69</v>
      </c>
      <c r="K303" s="81">
        <v>11</v>
      </c>
      <c r="L303" s="82">
        <v>0</v>
      </c>
      <c r="M303" s="83">
        <f t="shared" si="20"/>
        <v>11</v>
      </c>
      <c r="N303" s="84"/>
      <c r="O303" s="85">
        <f t="shared" si="21"/>
        <v>0</v>
      </c>
    </row>
    <row r="304" spans="6:15" s="70" customFormat="1" ht="12" customHeight="1" outlineLevel="1">
      <c r="F304" s="77">
        <v>243</v>
      </c>
      <c r="G304" s="78" t="s">
        <v>35</v>
      </c>
      <c r="H304" s="79" t="s">
        <v>379</v>
      </c>
      <c r="I304" s="80" t="s">
        <v>380</v>
      </c>
      <c r="J304" s="78" t="s">
        <v>43</v>
      </c>
      <c r="K304" s="81">
        <v>12</v>
      </c>
      <c r="L304" s="82">
        <v>0</v>
      </c>
      <c r="M304" s="83">
        <f t="shared" si="20"/>
        <v>12</v>
      </c>
      <c r="N304" s="84"/>
      <c r="O304" s="85">
        <f t="shared" si="21"/>
        <v>0</v>
      </c>
    </row>
    <row r="305" spans="6:15" s="70" customFormat="1" ht="12" customHeight="1" outlineLevel="1">
      <c r="F305" s="77">
        <v>244</v>
      </c>
      <c r="G305" s="78" t="s">
        <v>35</v>
      </c>
      <c r="H305" s="79" t="s">
        <v>381</v>
      </c>
      <c r="I305" s="80" t="s">
        <v>382</v>
      </c>
      <c r="J305" s="78" t="s">
        <v>43</v>
      </c>
      <c r="K305" s="81">
        <v>14</v>
      </c>
      <c r="L305" s="82">
        <v>0</v>
      </c>
      <c r="M305" s="83">
        <f t="shared" si="20"/>
        <v>14</v>
      </c>
      <c r="N305" s="84"/>
      <c r="O305" s="85">
        <f t="shared" si="21"/>
        <v>0</v>
      </c>
    </row>
    <row r="306" spans="6:15" s="70" customFormat="1" ht="12" customHeight="1" outlineLevel="1">
      <c r="F306" s="77">
        <v>245</v>
      </c>
      <c r="G306" s="78" t="s">
        <v>35</v>
      </c>
      <c r="H306" s="79" t="s">
        <v>383</v>
      </c>
      <c r="I306" s="80" t="s">
        <v>384</v>
      </c>
      <c r="J306" s="78" t="s">
        <v>43</v>
      </c>
      <c r="K306" s="81">
        <v>4</v>
      </c>
      <c r="L306" s="82">
        <v>0</v>
      </c>
      <c r="M306" s="83">
        <f t="shared" si="20"/>
        <v>4</v>
      </c>
      <c r="N306" s="84"/>
      <c r="O306" s="85">
        <f t="shared" si="21"/>
        <v>0</v>
      </c>
    </row>
    <row r="307" spans="6:15" s="70" customFormat="1" ht="12" customHeight="1" outlineLevel="1">
      <c r="F307" s="77">
        <v>246</v>
      </c>
      <c r="G307" s="78" t="s">
        <v>35</v>
      </c>
      <c r="H307" s="79" t="s">
        <v>385</v>
      </c>
      <c r="I307" s="80" t="s">
        <v>386</v>
      </c>
      <c r="J307" s="78" t="s">
        <v>69</v>
      </c>
      <c r="K307" s="81">
        <v>79</v>
      </c>
      <c r="L307" s="82">
        <v>0</v>
      </c>
      <c r="M307" s="83">
        <f t="shared" si="20"/>
        <v>79</v>
      </c>
      <c r="N307" s="84"/>
      <c r="O307" s="85">
        <f t="shared" si="21"/>
        <v>0</v>
      </c>
    </row>
    <row r="308" spans="6:15" s="70" customFormat="1" ht="12" customHeight="1" outlineLevel="1">
      <c r="F308" s="77">
        <v>247</v>
      </c>
      <c r="G308" s="78" t="s">
        <v>35</v>
      </c>
      <c r="H308" s="79" t="s">
        <v>387</v>
      </c>
      <c r="I308" s="80" t="s">
        <v>388</v>
      </c>
      <c r="J308" s="78" t="s">
        <v>59</v>
      </c>
      <c r="K308" s="81">
        <v>0.532</v>
      </c>
      <c r="L308" s="82">
        <v>0</v>
      </c>
      <c r="M308" s="83">
        <f t="shared" si="20"/>
        <v>0.532</v>
      </c>
      <c r="N308" s="84"/>
      <c r="O308" s="85">
        <f t="shared" si="21"/>
        <v>0</v>
      </c>
    </row>
    <row r="309" spans="6:15" s="70" customFormat="1" ht="12" customHeight="1" outlineLevel="1">
      <c r="F309" s="77">
        <v>248</v>
      </c>
      <c r="G309" s="78" t="s">
        <v>35</v>
      </c>
      <c r="H309" s="79" t="s">
        <v>389</v>
      </c>
      <c r="I309" s="80" t="s">
        <v>390</v>
      </c>
      <c r="J309" s="78" t="s">
        <v>69</v>
      </c>
      <c r="K309" s="81">
        <v>15</v>
      </c>
      <c r="L309" s="82">
        <v>0</v>
      </c>
      <c r="M309" s="83">
        <f t="shared" si="20"/>
        <v>15</v>
      </c>
      <c r="N309" s="84"/>
      <c r="O309" s="85">
        <f t="shared" si="21"/>
        <v>0</v>
      </c>
    </row>
    <row r="310" spans="6:15" s="70" customFormat="1" ht="12" customHeight="1" outlineLevel="1">
      <c r="F310" s="77">
        <v>249</v>
      </c>
      <c r="G310" s="78" t="s">
        <v>35</v>
      </c>
      <c r="H310" s="79" t="s">
        <v>391</v>
      </c>
      <c r="I310" s="80" t="s">
        <v>392</v>
      </c>
      <c r="J310" s="78" t="s">
        <v>69</v>
      </c>
      <c r="K310" s="81">
        <v>10</v>
      </c>
      <c r="L310" s="82">
        <v>0</v>
      </c>
      <c r="M310" s="83">
        <f t="shared" si="20"/>
        <v>10</v>
      </c>
      <c r="N310" s="84"/>
      <c r="O310" s="85">
        <f t="shared" si="21"/>
        <v>0</v>
      </c>
    </row>
    <row r="311" spans="6:15" s="70" customFormat="1" ht="12" customHeight="1" outlineLevel="1">
      <c r="F311" s="77">
        <v>250</v>
      </c>
      <c r="G311" s="78" t="s">
        <v>35</v>
      </c>
      <c r="H311" s="79" t="s">
        <v>393</v>
      </c>
      <c r="I311" s="80" t="s">
        <v>394</v>
      </c>
      <c r="J311" s="78" t="s">
        <v>43</v>
      </c>
      <c r="K311" s="81">
        <v>4</v>
      </c>
      <c r="L311" s="82">
        <v>0</v>
      </c>
      <c r="M311" s="83">
        <f t="shared" si="20"/>
        <v>4</v>
      </c>
      <c r="N311" s="84"/>
      <c r="O311" s="85">
        <f t="shared" si="21"/>
        <v>0</v>
      </c>
    </row>
    <row r="312" spans="6:15" s="70" customFormat="1" ht="12" customHeight="1" outlineLevel="1">
      <c r="F312" s="77">
        <v>251</v>
      </c>
      <c r="G312" s="78" t="s">
        <v>35</v>
      </c>
      <c r="H312" s="79" t="s">
        <v>395</v>
      </c>
      <c r="I312" s="80" t="s">
        <v>396</v>
      </c>
      <c r="J312" s="78" t="s">
        <v>59</v>
      </c>
      <c r="K312" s="81">
        <v>0.1324</v>
      </c>
      <c r="L312" s="82">
        <v>0</v>
      </c>
      <c r="M312" s="83">
        <f t="shared" si="20"/>
        <v>0.1324</v>
      </c>
      <c r="N312" s="84"/>
      <c r="O312" s="85">
        <f t="shared" si="21"/>
        <v>0</v>
      </c>
    </row>
    <row r="313" spans="6:15" s="70" customFormat="1" ht="12" customHeight="1" outlineLevel="1">
      <c r="F313" s="77">
        <v>252</v>
      </c>
      <c r="G313" s="78" t="s">
        <v>35</v>
      </c>
      <c r="H313" s="79" t="s">
        <v>397</v>
      </c>
      <c r="I313" s="80" t="s">
        <v>398</v>
      </c>
      <c r="J313" s="78" t="s">
        <v>43</v>
      </c>
      <c r="K313" s="81">
        <v>6</v>
      </c>
      <c r="L313" s="82">
        <v>0</v>
      </c>
      <c r="M313" s="83">
        <f t="shared" si="20"/>
        <v>6</v>
      </c>
      <c r="N313" s="84"/>
      <c r="O313" s="85">
        <f t="shared" si="21"/>
        <v>0</v>
      </c>
    </row>
    <row r="314" spans="6:15" s="70" customFormat="1" ht="12" customHeight="1" outlineLevel="1">
      <c r="F314" s="77">
        <v>253</v>
      </c>
      <c r="G314" s="78" t="s">
        <v>35</v>
      </c>
      <c r="H314" s="79" t="s">
        <v>399</v>
      </c>
      <c r="I314" s="80" t="s">
        <v>400</v>
      </c>
      <c r="J314" s="78" t="s">
        <v>43</v>
      </c>
      <c r="K314" s="81">
        <v>8</v>
      </c>
      <c r="L314" s="82">
        <v>0</v>
      </c>
      <c r="M314" s="83">
        <f t="shared" si="20"/>
        <v>8</v>
      </c>
      <c r="N314" s="84"/>
      <c r="O314" s="85">
        <f t="shared" si="21"/>
        <v>0</v>
      </c>
    </row>
    <row r="315" spans="6:15" s="70" customFormat="1" ht="12" customHeight="1" outlineLevel="1">
      <c r="F315" s="77">
        <v>254</v>
      </c>
      <c r="G315" s="78" t="s">
        <v>35</v>
      </c>
      <c r="H315" s="79" t="s">
        <v>401</v>
      </c>
      <c r="I315" s="80" t="s">
        <v>402</v>
      </c>
      <c r="J315" s="78" t="s">
        <v>43</v>
      </c>
      <c r="K315" s="81">
        <v>20</v>
      </c>
      <c r="L315" s="82">
        <v>0</v>
      </c>
      <c r="M315" s="83">
        <f t="shared" si="20"/>
        <v>20</v>
      </c>
      <c r="N315" s="84"/>
      <c r="O315" s="85">
        <f t="shared" si="21"/>
        <v>0</v>
      </c>
    </row>
    <row r="316" spans="6:15" s="70" customFormat="1" ht="12" customHeight="1" outlineLevel="1">
      <c r="F316" s="77">
        <v>255</v>
      </c>
      <c r="G316" s="78" t="s">
        <v>35</v>
      </c>
      <c r="H316" s="79" t="s">
        <v>403</v>
      </c>
      <c r="I316" s="80" t="s">
        <v>404</v>
      </c>
      <c r="J316" s="78" t="s">
        <v>43</v>
      </c>
      <c r="K316" s="81">
        <v>20</v>
      </c>
      <c r="L316" s="82">
        <v>0</v>
      </c>
      <c r="M316" s="83">
        <f t="shared" si="20"/>
        <v>20</v>
      </c>
      <c r="N316" s="84"/>
      <c r="O316" s="85">
        <f t="shared" si="21"/>
        <v>0</v>
      </c>
    </row>
    <row r="317" spans="6:15" s="70" customFormat="1" ht="12" customHeight="1" outlineLevel="1">
      <c r="F317" s="77">
        <v>256</v>
      </c>
      <c r="G317" s="78" t="s">
        <v>35</v>
      </c>
      <c r="H317" s="79" t="s">
        <v>405</v>
      </c>
      <c r="I317" s="80" t="s">
        <v>406</v>
      </c>
      <c r="J317" s="78" t="s">
        <v>43</v>
      </c>
      <c r="K317" s="81">
        <v>5</v>
      </c>
      <c r="L317" s="82">
        <v>0</v>
      </c>
      <c r="M317" s="83">
        <f t="shared" si="20"/>
        <v>5</v>
      </c>
      <c r="N317" s="84"/>
      <c r="O317" s="85">
        <f t="shared" si="21"/>
        <v>0</v>
      </c>
    </row>
    <row r="318" spans="6:15" s="70" customFormat="1" ht="12" customHeight="1" outlineLevel="1">
      <c r="F318" s="77">
        <v>257</v>
      </c>
      <c r="G318" s="78" t="s">
        <v>35</v>
      </c>
      <c r="H318" s="79" t="s">
        <v>407</v>
      </c>
      <c r="I318" s="80" t="s">
        <v>408</v>
      </c>
      <c r="J318" s="78" t="s">
        <v>43</v>
      </c>
      <c r="K318" s="81">
        <v>15</v>
      </c>
      <c r="L318" s="82">
        <v>0</v>
      </c>
      <c r="M318" s="83">
        <f t="shared" si="20"/>
        <v>15</v>
      </c>
      <c r="N318" s="84"/>
      <c r="O318" s="85">
        <f t="shared" si="21"/>
        <v>0</v>
      </c>
    </row>
    <row r="319" spans="6:15" s="70" customFormat="1" ht="12" customHeight="1" outlineLevel="1">
      <c r="F319" s="77">
        <v>258</v>
      </c>
      <c r="G319" s="78" t="s">
        <v>35</v>
      </c>
      <c r="H319" s="79" t="s">
        <v>409</v>
      </c>
      <c r="I319" s="80" t="s">
        <v>410</v>
      </c>
      <c r="J319" s="78" t="s">
        <v>43</v>
      </c>
      <c r="K319" s="81">
        <v>20</v>
      </c>
      <c r="L319" s="82">
        <v>0</v>
      </c>
      <c r="M319" s="83">
        <f t="shared" si="20"/>
        <v>20</v>
      </c>
      <c r="N319" s="84"/>
      <c r="O319" s="85">
        <f t="shared" si="21"/>
        <v>0</v>
      </c>
    </row>
    <row r="320" spans="6:15" s="70" customFormat="1" ht="12" customHeight="1" outlineLevel="1">
      <c r="F320" s="77">
        <v>259</v>
      </c>
      <c r="G320" s="78" t="s">
        <v>35</v>
      </c>
      <c r="H320" s="79" t="s">
        <v>411</v>
      </c>
      <c r="I320" s="80" t="s">
        <v>412</v>
      </c>
      <c r="J320" s="78" t="s">
        <v>43</v>
      </c>
      <c r="K320" s="81">
        <v>6</v>
      </c>
      <c r="L320" s="82">
        <v>0</v>
      </c>
      <c r="M320" s="83">
        <f t="shared" si="20"/>
        <v>6</v>
      </c>
      <c r="N320" s="84"/>
      <c r="O320" s="85">
        <f t="shared" si="21"/>
        <v>0</v>
      </c>
    </row>
    <row r="321" spans="6:15" s="70" customFormat="1" ht="12" customHeight="1" outlineLevel="1">
      <c r="F321" s="77">
        <v>260</v>
      </c>
      <c r="G321" s="78" t="s">
        <v>35</v>
      </c>
      <c r="H321" s="79" t="s">
        <v>413</v>
      </c>
      <c r="I321" s="80" t="s">
        <v>414</v>
      </c>
      <c r="J321" s="78" t="s">
        <v>43</v>
      </c>
      <c r="K321" s="81">
        <v>12</v>
      </c>
      <c r="L321" s="82">
        <v>0</v>
      </c>
      <c r="M321" s="83">
        <f t="shared" si="20"/>
        <v>12</v>
      </c>
      <c r="N321" s="84"/>
      <c r="O321" s="85">
        <f t="shared" si="21"/>
        <v>0</v>
      </c>
    </row>
    <row r="322" spans="6:15" s="70" customFormat="1" ht="12" customHeight="1" outlineLevel="1">
      <c r="F322" s="77">
        <v>261</v>
      </c>
      <c r="G322" s="78" t="s">
        <v>35</v>
      </c>
      <c r="H322" s="79" t="s">
        <v>415</v>
      </c>
      <c r="I322" s="80" t="s">
        <v>416</v>
      </c>
      <c r="J322" s="78" t="s">
        <v>43</v>
      </c>
      <c r="K322" s="81">
        <v>16</v>
      </c>
      <c r="L322" s="82">
        <v>0</v>
      </c>
      <c r="M322" s="83">
        <f t="shared" si="20"/>
        <v>16</v>
      </c>
      <c r="N322" s="84"/>
      <c r="O322" s="85">
        <f t="shared" si="21"/>
        <v>0</v>
      </c>
    </row>
    <row r="323" spans="6:15" s="70" customFormat="1" ht="12" customHeight="1" outlineLevel="1">
      <c r="F323" s="77">
        <v>262</v>
      </c>
      <c r="G323" s="78" t="s">
        <v>35</v>
      </c>
      <c r="H323" s="79" t="s">
        <v>417</v>
      </c>
      <c r="I323" s="80" t="s">
        <v>418</v>
      </c>
      <c r="J323" s="78" t="s">
        <v>69</v>
      </c>
      <c r="K323" s="81">
        <v>30</v>
      </c>
      <c r="L323" s="82">
        <v>0</v>
      </c>
      <c r="M323" s="83">
        <f t="shared" si="20"/>
        <v>30</v>
      </c>
      <c r="N323" s="84"/>
      <c r="O323" s="85">
        <f t="shared" si="21"/>
        <v>0</v>
      </c>
    </row>
    <row r="324" spans="6:15" s="70" customFormat="1" ht="12" customHeight="1" outlineLevel="1">
      <c r="F324" s="77">
        <v>263</v>
      </c>
      <c r="G324" s="78" t="s">
        <v>35</v>
      </c>
      <c r="H324" s="79" t="s">
        <v>419</v>
      </c>
      <c r="I324" s="80" t="s">
        <v>420</v>
      </c>
      <c r="J324" s="78" t="s">
        <v>313</v>
      </c>
      <c r="K324" s="81">
        <v>30</v>
      </c>
      <c r="L324" s="82">
        <v>0</v>
      </c>
      <c r="M324" s="83">
        <f t="shared" si="20"/>
        <v>30</v>
      </c>
      <c r="N324" s="84"/>
      <c r="O324" s="85">
        <f t="shared" si="21"/>
        <v>0</v>
      </c>
    </row>
    <row r="325" spans="6:15" s="62" customFormat="1" ht="12" customHeight="1" outlineLevel="2">
      <c r="F325" s="63"/>
      <c r="G325" s="64"/>
      <c r="H325" s="64"/>
      <c r="I325" s="65"/>
      <c r="J325" s="64"/>
      <c r="K325" s="66"/>
      <c r="L325" s="67"/>
      <c r="M325" s="68"/>
      <c r="N325" s="67"/>
      <c r="O325" s="69"/>
    </row>
    <row r="326" spans="6:15" s="70" customFormat="1" ht="16.5" customHeight="1" outlineLevel="1">
      <c r="F326" s="71"/>
      <c r="G326" s="50"/>
      <c r="H326" s="72"/>
      <c r="I326" s="72" t="s">
        <v>421</v>
      </c>
      <c r="J326" s="50"/>
      <c r="K326" s="73"/>
      <c r="L326" s="74"/>
      <c r="M326" s="75"/>
      <c r="N326" s="74"/>
      <c r="O326" s="8">
        <f>SUM(O327:O358)</f>
        <v>0</v>
      </c>
    </row>
    <row r="327" spans="6:15" s="70" customFormat="1" ht="12.75" customHeight="1" outlineLevel="1">
      <c r="F327" s="77">
        <v>264</v>
      </c>
      <c r="G327" s="78" t="s">
        <v>35</v>
      </c>
      <c r="H327" s="79" t="s">
        <v>422</v>
      </c>
      <c r="I327" s="80" t="s">
        <v>423</v>
      </c>
      <c r="J327" s="78" t="s">
        <v>69</v>
      </c>
      <c r="K327" s="81">
        <v>47</v>
      </c>
      <c r="L327" s="82">
        <v>0</v>
      </c>
      <c r="M327" s="83">
        <f>K327*(1+L327/100)</f>
        <v>47</v>
      </c>
      <c r="N327" s="84"/>
      <c r="O327" s="85">
        <f>M327*N327</f>
        <v>0</v>
      </c>
    </row>
    <row r="328" spans="6:15" s="70" customFormat="1" ht="12.75" customHeight="1" outlineLevel="1">
      <c r="F328" s="77">
        <v>265</v>
      </c>
      <c r="G328" s="78" t="s">
        <v>35</v>
      </c>
      <c r="H328" s="79" t="s">
        <v>424</v>
      </c>
      <c r="I328" s="80" t="s">
        <v>425</v>
      </c>
      <c r="J328" s="78" t="s">
        <v>69</v>
      </c>
      <c r="K328" s="81">
        <v>27</v>
      </c>
      <c r="L328" s="82">
        <v>0</v>
      </c>
      <c r="M328" s="83">
        <f aca="true" t="shared" si="22" ref="M328:M358">K328*(1+L328/100)</f>
        <v>27</v>
      </c>
      <c r="N328" s="84"/>
      <c r="O328" s="85">
        <f aca="true" t="shared" si="23" ref="O328:O358">M328*N328</f>
        <v>0</v>
      </c>
    </row>
    <row r="329" spans="6:15" s="70" customFormat="1" ht="12.75" customHeight="1" outlineLevel="1">
      <c r="F329" s="77">
        <v>266</v>
      </c>
      <c r="G329" s="78" t="s">
        <v>35</v>
      </c>
      <c r="H329" s="79" t="s">
        <v>426</v>
      </c>
      <c r="I329" s="80" t="s">
        <v>427</v>
      </c>
      <c r="J329" s="78" t="s">
        <v>69</v>
      </c>
      <c r="K329" s="81">
        <v>2</v>
      </c>
      <c r="L329" s="82">
        <v>0</v>
      </c>
      <c r="M329" s="83">
        <f t="shared" si="22"/>
        <v>2</v>
      </c>
      <c r="N329" s="84"/>
      <c r="O329" s="85">
        <f t="shared" si="23"/>
        <v>0</v>
      </c>
    </row>
    <row r="330" spans="6:15" s="70" customFormat="1" ht="12.75" customHeight="1" outlineLevel="1">
      <c r="F330" s="77">
        <v>267</v>
      </c>
      <c r="G330" s="78" t="s">
        <v>35</v>
      </c>
      <c r="H330" s="79" t="s">
        <v>428</v>
      </c>
      <c r="I330" s="80" t="s">
        <v>429</v>
      </c>
      <c r="J330" s="78" t="s">
        <v>69</v>
      </c>
      <c r="K330" s="81">
        <v>35</v>
      </c>
      <c r="L330" s="82">
        <v>0</v>
      </c>
      <c r="M330" s="83">
        <f t="shared" si="22"/>
        <v>35</v>
      </c>
      <c r="N330" s="84"/>
      <c r="O330" s="85">
        <f t="shared" si="23"/>
        <v>0</v>
      </c>
    </row>
    <row r="331" spans="6:15" s="70" customFormat="1" ht="12.75" customHeight="1" outlineLevel="1">
      <c r="F331" s="77">
        <v>268</v>
      </c>
      <c r="G331" s="78" t="s">
        <v>35</v>
      </c>
      <c r="H331" s="79" t="s">
        <v>430</v>
      </c>
      <c r="I331" s="80" t="s">
        <v>431</v>
      </c>
      <c r="J331" s="78" t="s">
        <v>69</v>
      </c>
      <c r="K331" s="81">
        <v>27</v>
      </c>
      <c r="L331" s="82">
        <v>0</v>
      </c>
      <c r="M331" s="83">
        <f t="shared" si="22"/>
        <v>27</v>
      </c>
      <c r="N331" s="84"/>
      <c r="O331" s="85">
        <f t="shared" si="23"/>
        <v>0</v>
      </c>
    </row>
    <row r="332" spans="6:15" s="70" customFormat="1" ht="12.75" customHeight="1" outlineLevel="1">
      <c r="F332" s="77">
        <v>269</v>
      </c>
      <c r="G332" s="78" t="s">
        <v>35</v>
      </c>
      <c r="H332" s="79" t="s">
        <v>432</v>
      </c>
      <c r="I332" s="80" t="s">
        <v>433</v>
      </c>
      <c r="J332" s="78" t="s">
        <v>69</v>
      </c>
      <c r="K332" s="81">
        <v>2</v>
      </c>
      <c r="L332" s="82">
        <v>0</v>
      </c>
      <c r="M332" s="83">
        <f t="shared" si="22"/>
        <v>2</v>
      </c>
      <c r="N332" s="84"/>
      <c r="O332" s="85">
        <f t="shared" si="23"/>
        <v>0</v>
      </c>
    </row>
    <row r="333" spans="6:15" s="70" customFormat="1" ht="12.75" customHeight="1" outlineLevel="1">
      <c r="F333" s="77">
        <v>270</v>
      </c>
      <c r="G333" s="78" t="s">
        <v>35</v>
      </c>
      <c r="H333" s="79" t="s">
        <v>434</v>
      </c>
      <c r="I333" s="80" t="s">
        <v>435</v>
      </c>
      <c r="J333" s="78" t="s">
        <v>69</v>
      </c>
      <c r="K333" s="81">
        <v>82</v>
      </c>
      <c r="L333" s="82">
        <v>0</v>
      </c>
      <c r="M333" s="83">
        <f t="shared" si="22"/>
        <v>82</v>
      </c>
      <c r="N333" s="84"/>
      <c r="O333" s="85">
        <f t="shared" si="23"/>
        <v>0</v>
      </c>
    </row>
    <row r="334" spans="6:15" s="70" customFormat="1" ht="12.75" customHeight="1" outlineLevel="1">
      <c r="F334" s="77">
        <v>271</v>
      </c>
      <c r="G334" s="78" t="s">
        <v>35</v>
      </c>
      <c r="H334" s="79" t="s">
        <v>436</v>
      </c>
      <c r="I334" s="80" t="s">
        <v>437</v>
      </c>
      <c r="J334" s="78" t="s">
        <v>69</v>
      </c>
      <c r="K334" s="81">
        <v>54</v>
      </c>
      <c r="L334" s="82">
        <v>0</v>
      </c>
      <c r="M334" s="83">
        <f t="shared" si="22"/>
        <v>54</v>
      </c>
      <c r="N334" s="84"/>
      <c r="O334" s="85">
        <f t="shared" si="23"/>
        <v>0</v>
      </c>
    </row>
    <row r="335" spans="6:15" s="70" customFormat="1" ht="12.75" customHeight="1" outlineLevel="1">
      <c r="F335" s="77">
        <v>272</v>
      </c>
      <c r="G335" s="78" t="s">
        <v>35</v>
      </c>
      <c r="H335" s="79" t="s">
        <v>438</v>
      </c>
      <c r="I335" s="80" t="s">
        <v>439</v>
      </c>
      <c r="J335" s="78" t="s">
        <v>69</v>
      </c>
      <c r="K335" s="81">
        <v>4</v>
      </c>
      <c r="L335" s="82">
        <v>0</v>
      </c>
      <c r="M335" s="83">
        <f t="shared" si="22"/>
        <v>4</v>
      </c>
      <c r="N335" s="84"/>
      <c r="O335" s="85">
        <f t="shared" si="23"/>
        <v>0</v>
      </c>
    </row>
    <row r="336" spans="6:15" s="70" customFormat="1" ht="12.75" customHeight="1" outlineLevel="1">
      <c r="F336" s="77">
        <v>273</v>
      </c>
      <c r="G336" s="78" t="s">
        <v>35</v>
      </c>
      <c r="H336" s="79" t="s">
        <v>440</v>
      </c>
      <c r="I336" s="80" t="s">
        <v>441</v>
      </c>
      <c r="J336" s="78" t="s">
        <v>110</v>
      </c>
      <c r="K336" s="81">
        <v>12</v>
      </c>
      <c r="L336" s="82">
        <v>0</v>
      </c>
      <c r="M336" s="83">
        <f t="shared" si="22"/>
        <v>12</v>
      </c>
      <c r="N336" s="84"/>
      <c r="O336" s="85">
        <f t="shared" si="23"/>
        <v>0</v>
      </c>
    </row>
    <row r="337" spans="6:15" s="70" customFormat="1" ht="12.75" customHeight="1" outlineLevel="1">
      <c r="F337" s="77">
        <v>274</v>
      </c>
      <c r="G337" s="78" t="s">
        <v>35</v>
      </c>
      <c r="H337" s="79" t="s">
        <v>442</v>
      </c>
      <c r="I337" s="80" t="s">
        <v>443</v>
      </c>
      <c r="J337" s="78" t="s">
        <v>110</v>
      </c>
      <c r="K337" s="81">
        <v>12</v>
      </c>
      <c r="L337" s="82">
        <v>0</v>
      </c>
      <c r="M337" s="83">
        <f t="shared" si="22"/>
        <v>12</v>
      </c>
      <c r="N337" s="84"/>
      <c r="O337" s="85">
        <f t="shared" si="23"/>
        <v>0</v>
      </c>
    </row>
    <row r="338" spans="6:15" s="70" customFormat="1" ht="12.75" customHeight="1" outlineLevel="1">
      <c r="F338" s="77">
        <v>275</v>
      </c>
      <c r="G338" s="78" t="s">
        <v>35</v>
      </c>
      <c r="H338" s="79" t="s">
        <v>444</v>
      </c>
      <c r="I338" s="80" t="s">
        <v>445</v>
      </c>
      <c r="J338" s="78" t="s">
        <v>43</v>
      </c>
      <c r="K338" s="81">
        <v>54</v>
      </c>
      <c r="L338" s="82">
        <v>0</v>
      </c>
      <c r="M338" s="83">
        <f t="shared" si="22"/>
        <v>54</v>
      </c>
      <c r="N338" s="84"/>
      <c r="O338" s="85">
        <f t="shared" si="23"/>
        <v>0</v>
      </c>
    </row>
    <row r="339" spans="6:15" s="70" customFormat="1" ht="12.75" customHeight="1" outlineLevel="1">
      <c r="F339" s="77">
        <v>276</v>
      </c>
      <c r="G339" s="78" t="s">
        <v>35</v>
      </c>
      <c r="H339" s="79" t="s">
        <v>446</v>
      </c>
      <c r="I339" s="80" t="s">
        <v>447</v>
      </c>
      <c r="J339" s="78" t="s">
        <v>43</v>
      </c>
      <c r="K339" s="81">
        <v>54</v>
      </c>
      <c r="L339" s="82">
        <v>0</v>
      </c>
      <c r="M339" s="83">
        <f t="shared" si="22"/>
        <v>54</v>
      </c>
      <c r="N339" s="84"/>
      <c r="O339" s="85">
        <f t="shared" si="23"/>
        <v>0</v>
      </c>
    </row>
    <row r="340" spans="6:15" s="70" customFormat="1" ht="12.75" customHeight="1" outlineLevel="1">
      <c r="F340" s="77">
        <v>277</v>
      </c>
      <c r="G340" s="78" t="s">
        <v>35</v>
      </c>
      <c r="H340" s="79" t="s">
        <v>448</v>
      </c>
      <c r="I340" s="80" t="s">
        <v>449</v>
      </c>
      <c r="J340" s="78" t="s">
        <v>69</v>
      </c>
      <c r="K340" s="81">
        <v>140</v>
      </c>
      <c r="L340" s="82">
        <v>0</v>
      </c>
      <c r="M340" s="83">
        <f t="shared" si="22"/>
        <v>140</v>
      </c>
      <c r="N340" s="84"/>
      <c r="O340" s="85">
        <f t="shared" si="23"/>
        <v>0</v>
      </c>
    </row>
    <row r="341" spans="6:15" s="70" customFormat="1" ht="12.75" customHeight="1" outlineLevel="1">
      <c r="F341" s="77">
        <v>278</v>
      </c>
      <c r="G341" s="78" t="s">
        <v>35</v>
      </c>
      <c r="H341" s="79" t="s">
        <v>450</v>
      </c>
      <c r="I341" s="80" t="s">
        <v>451</v>
      </c>
      <c r="J341" s="78" t="s">
        <v>69</v>
      </c>
      <c r="K341" s="81">
        <v>140</v>
      </c>
      <c r="L341" s="82">
        <v>0</v>
      </c>
      <c r="M341" s="83">
        <f t="shared" si="22"/>
        <v>140</v>
      </c>
      <c r="N341" s="84"/>
      <c r="O341" s="85">
        <f t="shared" si="23"/>
        <v>0</v>
      </c>
    </row>
    <row r="342" spans="6:15" s="70" customFormat="1" ht="12.75" customHeight="1" outlineLevel="1">
      <c r="F342" s="77">
        <v>279</v>
      </c>
      <c r="G342" s="78" t="s">
        <v>35</v>
      </c>
      <c r="H342" s="79" t="s">
        <v>452</v>
      </c>
      <c r="I342" s="80" t="s">
        <v>453</v>
      </c>
      <c r="J342" s="78" t="s">
        <v>59</v>
      </c>
      <c r="K342" s="81">
        <v>0.7232</v>
      </c>
      <c r="L342" s="82">
        <v>0</v>
      </c>
      <c r="M342" s="83">
        <f t="shared" si="22"/>
        <v>0.7232</v>
      </c>
      <c r="N342" s="84"/>
      <c r="O342" s="85">
        <f t="shared" si="23"/>
        <v>0</v>
      </c>
    </row>
    <row r="343" spans="6:15" s="70" customFormat="1" ht="12.75" customHeight="1" outlineLevel="1">
      <c r="F343" s="77">
        <v>280</v>
      </c>
      <c r="G343" s="78" t="s">
        <v>35</v>
      </c>
      <c r="H343" s="79" t="s">
        <v>454</v>
      </c>
      <c r="I343" s="80" t="s">
        <v>455</v>
      </c>
      <c r="J343" s="78" t="s">
        <v>217</v>
      </c>
      <c r="K343" s="81">
        <v>14</v>
      </c>
      <c r="L343" s="82">
        <v>0</v>
      </c>
      <c r="M343" s="83">
        <f t="shared" si="22"/>
        <v>14</v>
      </c>
      <c r="N343" s="84"/>
      <c r="O343" s="85">
        <f t="shared" si="23"/>
        <v>0</v>
      </c>
    </row>
    <row r="344" spans="6:15" s="70" customFormat="1" ht="12.75" customHeight="1" outlineLevel="1">
      <c r="F344" s="77">
        <v>281</v>
      </c>
      <c r="G344" s="78" t="s">
        <v>35</v>
      </c>
      <c r="H344" s="79" t="s">
        <v>456</v>
      </c>
      <c r="I344" s="80" t="s">
        <v>457</v>
      </c>
      <c r="J344" s="78" t="s">
        <v>43</v>
      </c>
      <c r="K344" s="81">
        <v>4</v>
      </c>
      <c r="L344" s="82">
        <v>0</v>
      </c>
      <c r="M344" s="83">
        <f t="shared" si="22"/>
        <v>4</v>
      </c>
      <c r="N344" s="84"/>
      <c r="O344" s="85">
        <f t="shared" si="23"/>
        <v>0</v>
      </c>
    </row>
    <row r="345" spans="6:15" s="70" customFormat="1" ht="12.75" customHeight="1" outlineLevel="1">
      <c r="F345" s="77">
        <v>282</v>
      </c>
      <c r="G345" s="78" t="s">
        <v>35</v>
      </c>
      <c r="H345" s="79" t="s">
        <v>458</v>
      </c>
      <c r="I345" s="80" t="s">
        <v>459</v>
      </c>
      <c r="J345" s="78" t="s">
        <v>43</v>
      </c>
      <c r="K345" s="81">
        <v>10</v>
      </c>
      <c r="L345" s="82">
        <v>0</v>
      </c>
      <c r="M345" s="83">
        <f t="shared" si="22"/>
        <v>10</v>
      </c>
      <c r="N345" s="84"/>
      <c r="O345" s="85">
        <f t="shared" si="23"/>
        <v>0</v>
      </c>
    </row>
    <row r="346" spans="6:15" s="70" customFormat="1" ht="12.75" customHeight="1" outlineLevel="1">
      <c r="F346" s="77">
        <v>283</v>
      </c>
      <c r="G346" s="78" t="s">
        <v>35</v>
      </c>
      <c r="H346" s="79" t="s">
        <v>460</v>
      </c>
      <c r="I346" s="80" t="s">
        <v>461</v>
      </c>
      <c r="J346" s="78" t="s">
        <v>43</v>
      </c>
      <c r="K346" s="81">
        <v>30</v>
      </c>
      <c r="L346" s="82">
        <v>0</v>
      </c>
      <c r="M346" s="83">
        <f t="shared" si="22"/>
        <v>30</v>
      </c>
      <c r="N346" s="84"/>
      <c r="O346" s="85">
        <f t="shared" si="23"/>
        <v>0</v>
      </c>
    </row>
    <row r="347" spans="6:15" s="70" customFormat="1" ht="12.75" customHeight="1" outlineLevel="1">
      <c r="F347" s="77">
        <v>284</v>
      </c>
      <c r="G347" s="78" t="s">
        <v>35</v>
      </c>
      <c r="H347" s="79" t="s">
        <v>462</v>
      </c>
      <c r="I347" s="80" t="s">
        <v>463</v>
      </c>
      <c r="J347" s="78" t="s">
        <v>43</v>
      </c>
      <c r="K347" s="81">
        <v>30</v>
      </c>
      <c r="L347" s="82">
        <v>0</v>
      </c>
      <c r="M347" s="83">
        <f t="shared" si="22"/>
        <v>30</v>
      </c>
      <c r="N347" s="84"/>
      <c r="O347" s="85">
        <f t="shared" si="23"/>
        <v>0</v>
      </c>
    </row>
    <row r="348" spans="6:15" s="70" customFormat="1" ht="12.75" customHeight="1" outlineLevel="1">
      <c r="F348" s="77">
        <v>285</v>
      </c>
      <c r="G348" s="78" t="s">
        <v>35</v>
      </c>
      <c r="H348" s="79" t="s">
        <v>464</v>
      </c>
      <c r="I348" s="80" t="s">
        <v>465</v>
      </c>
      <c r="J348" s="78" t="s">
        <v>43</v>
      </c>
      <c r="K348" s="81">
        <v>10</v>
      </c>
      <c r="L348" s="82">
        <v>0</v>
      </c>
      <c r="M348" s="83">
        <f t="shared" si="22"/>
        <v>10</v>
      </c>
      <c r="N348" s="84"/>
      <c r="O348" s="85">
        <f t="shared" si="23"/>
        <v>0</v>
      </c>
    </row>
    <row r="349" spans="6:15" s="70" customFormat="1" ht="12.75" customHeight="1" outlineLevel="1">
      <c r="F349" s="77">
        <v>286</v>
      </c>
      <c r="G349" s="78" t="s">
        <v>35</v>
      </c>
      <c r="H349" s="79" t="s">
        <v>466</v>
      </c>
      <c r="I349" s="80" t="s">
        <v>467</v>
      </c>
      <c r="J349" s="78" t="s">
        <v>43</v>
      </c>
      <c r="K349" s="81">
        <v>10</v>
      </c>
      <c r="L349" s="82">
        <v>0</v>
      </c>
      <c r="M349" s="83">
        <f t="shared" si="22"/>
        <v>10</v>
      </c>
      <c r="N349" s="84"/>
      <c r="O349" s="85">
        <f t="shared" si="23"/>
        <v>0</v>
      </c>
    </row>
    <row r="350" spans="6:15" s="70" customFormat="1" ht="12.75" customHeight="1" outlineLevel="1">
      <c r="F350" s="77">
        <v>287</v>
      </c>
      <c r="G350" s="78" t="s">
        <v>35</v>
      </c>
      <c r="H350" s="79" t="s">
        <v>468</v>
      </c>
      <c r="I350" s="80" t="s">
        <v>469</v>
      </c>
      <c r="J350" s="78" t="s">
        <v>43</v>
      </c>
      <c r="K350" s="81">
        <v>16</v>
      </c>
      <c r="L350" s="82">
        <v>0</v>
      </c>
      <c r="M350" s="83">
        <f t="shared" si="22"/>
        <v>16</v>
      </c>
      <c r="N350" s="84"/>
      <c r="O350" s="85">
        <f t="shared" si="23"/>
        <v>0</v>
      </c>
    </row>
    <row r="351" spans="6:15" s="70" customFormat="1" ht="12.75" customHeight="1" outlineLevel="1">
      <c r="F351" s="77">
        <v>288</v>
      </c>
      <c r="G351" s="78" t="s">
        <v>35</v>
      </c>
      <c r="H351" s="79" t="s">
        <v>470</v>
      </c>
      <c r="I351" s="80" t="s">
        <v>471</v>
      </c>
      <c r="J351" s="78" t="s">
        <v>43</v>
      </c>
      <c r="K351" s="81">
        <v>6</v>
      </c>
      <c r="L351" s="82">
        <v>0</v>
      </c>
      <c r="M351" s="83">
        <f t="shared" si="22"/>
        <v>6</v>
      </c>
      <c r="N351" s="84"/>
      <c r="O351" s="85">
        <f t="shared" si="23"/>
        <v>0</v>
      </c>
    </row>
    <row r="352" spans="6:15" s="70" customFormat="1" ht="12.75" customHeight="1" outlineLevel="1">
      <c r="F352" s="77">
        <v>289</v>
      </c>
      <c r="G352" s="78" t="s">
        <v>35</v>
      </c>
      <c r="H352" s="79" t="s">
        <v>472</v>
      </c>
      <c r="I352" s="80" t="s">
        <v>473</v>
      </c>
      <c r="J352" s="78" t="s">
        <v>43</v>
      </c>
      <c r="K352" s="81">
        <v>60</v>
      </c>
      <c r="L352" s="82">
        <v>0</v>
      </c>
      <c r="M352" s="83">
        <f t="shared" si="22"/>
        <v>60</v>
      </c>
      <c r="N352" s="84"/>
      <c r="O352" s="85">
        <f t="shared" si="23"/>
        <v>0</v>
      </c>
    </row>
    <row r="353" spans="6:15" s="70" customFormat="1" ht="12.75" customHeight="1" outlineLevel="1">
      <c r="F353" s="77">
        <v>290</v>
      </c>
      <c r="G353" s="78" t="s">
        <v>35</v>
      </c>
      <c r="H353" s="79" t="s">
        <v>474</v>
      </c>
      <c r="I353" s="80" t="s">
        <v>475</v>
      </c>
      <c r="J353" s="78" t="s">
        <v>43</v>
      </c>
      <c r="K353" s="81">
        <v>6</v>
      </c>
      <c r="L353" s="82">
        <v>0</v>
      </c>
      <c r="M353" s="83">
        <f t="shared" si="22"/>
        <v>6</v>
      </c>
      <c r="N353" s="84"/>
      <c r="O353" s="85">
        <f t="shared" si="23"/>
        <v>0</v>
      </c>
    </row>
    <row r="354" spans="6:15" s="70" customFormat="1" ht="12.75" customHeight="1" outlineLevel="1">
      <c r="F354" s="77">
        <v>291</v>
      </c>
      <c r="G354" s="78" t="s">
        <v>35</v>
      </c>
      <c r="H354" s="79" t="s">
        <v>476</v>
      </c>
      <c r="I354" s="80" t="s">
        <v>477</v>
      </c>
      <c r="J354" s="78" t="s">
        <v>43</v>
      </c>
      <c r="K354" s="81">
        <v>16</v>
      </c>
      <c r="L354" s="82">
        <v>0</v>
      </c>
      <c r="M354" s="83">
        <f t="shared" si="22"/>
        <v>16</v>
      </c>
      <c r="N354" s="84"/>
      <c r="O354" s="85">
        <f t="shared" si="23"/>
        <v>0</v>
      </c>
    </row>
    <row r="355" spans="6:15" s="70" customFormat="1" ht="12.75" customHeight="1" outlineLevel="1">
      <c r="F355" s="77">
        <v>292</v>
      </c>
      <c r="G355" s="78" t="s">
        <v>35</v>
      </c>
      <c r="H355" s="79" t="s">
        <v>478</v>
      </c>
      <c r="I355" s="80" t="s">
        <v>479</v>
      </c>
      <c r="J355" s="78" t="s">
        <v>69</v>
      </c>
      <c r="K355" s="81">
        <v>30</v>
      </c>
      <c r="L355" s="82">
        <v>0</v>
      </c>
      <c r="M355" s="83">
        <f t="shared" si="22"/>
        <v>30</v>
      </c>
      <c r="N355" s="84"/>
      <c r="O355" s="85">
        <f t="shared" si="23"/>
        <v>0</v>
      </c>
    </row>
    <row r="356" spans="6:15" s="70" customFormat="1" ht="12.75" customHeight="1" outlineLevel="1">
      <c r="F356" s="77">
        <v>293</v>
      </c>
      <c r="G356" s="78" t="s">
        <v>35</v>
      </c>
      <c r="H356" s="79" t="s">
        <v>480</v>
      </c>
      <c r="I356" s="80" t="s">
        <v>481</v>
      </c>
      <c r="J356" s="78" t="s">
        <v>69</v>
      </c>
      <c r="K356" s="81">
        <v>30</v>
      </c>
      <c r="L356" s="82">
        <v>0</v>
      </c>
      <c r="M356" s="83">
        <f t="shared" si="22"/>
        <v>30</v>
      </c>
      <c r="N356" s="84"/>
      <c r="O356" s="85">
        <f t="shared" si="23"/>
        <v>0</v>
      </c>
    </row>
    <row r="357" spans="6:15" s="70" customFormat="1" ht="12.75" customHeight="1" outlineLevel="1">
      <c r="F357" s="77">
        <v>294</v>
      </c>
      <c r="G357" s="78" t="s">
        <v>35</v>
      </c>
      <c r="H357" s="79" t="s">
        <v>482</v>
      </c>
      <c r="I357" s="80" t="s">
        <v>483</v>
      </c>
      <c r="J357" s="78" t="s">
        <v>59</v>
      </c>
      <c r="K357" s="81">
        <v>0.0153</v>
      </c>
      <c r="L357" s="82">
        <v>0</v>
      </c>
      <c r="M357" s="83">
        <f t="shared" si="22"/>
        <v>0.0153</v>
      </c>
      <c r="N357" s="84"/>
      <c r="O357" s="85">
        <f t="shared" si="23"/>
        <v>0</v>
      </c>
    </row>
    <row r="358" spans="6:15" s="70" customFormat="1" ht="12.75" customHeight="1" outlineLevel="1">
      <c r="F358" s="77">
        <v>295</v>
      </c>
      <c r="G358" s="78" t="s">
        <v>35</v>
      </c>
      <c r="H358" s="79" t="s">
        <v>419</v>
      </c>
      <c r="I358" s="80" t="s">
        <v>420</v>
      </c>
      <c r="J358" s="78" t="s">
        <v>313</v>
      </c>
      <c r="K358" s="81">
        <v>30</v>
      </c>
      <c r="L358" s="82">
        <v>0</v>
      </c>
      <c r="M358" s="83">
        <f t="shared" si="22"/>
        <v>30</v>
      </c>
      <c r="N358" s="84"/>
      <c r="O358" s="85">
        <f t="shared" si="23"/>
        <v>0</v>
      </c>
    </row>
    <row r="359" spans="6:15" s="70" customFormat="1" ht="12.75" customHeight="1" outlineLevel="1">
      <c r="F359" s="98"/>
      <c r="G359" s="99"/>
      <c r="H359" s="92"/>
      <c r="I359" s="113"/>
      <c r="J359" s="99"/>
      <c r="K359" s="114"/>
      <c r="L359" s="90"/>
      <c r="M359" s="91"/>
      <c r="N359" s="117"/>
      <c r="O359" s="115"/>
    </row>
    <row r="360" spans="6:15" s="70" customFormat="1" ht="16.5" customHeight="1" outlineLevel="1">
      <c r="F360" s="98"/>
      <c r="G360" s="99"/>
      <c r="H360" s="92"/>
      <c r="I360" s="72" t="s">
        <v>7</v>
      </c>
      <c r="J360" s="99"/>
      <c r="K360" s="114"/>
      <c r="L360" s="90"/>
      <c r="M360" s="91"/>
      <c r="N360" s="90"/>
      <c r="O360" s="8">
        <f>SUM(O361:O397)</f>
        <v>0</v>
      </c>
    </row>
    <row r="361" spans="6:15" s="70" customFormat="1" ht="12.75" customHeight="1" outlineLevel="1">
      <c r="F361" s="77">
        <v>296</v>
      </c>
      <c r="G361" s="78" t="s">
        <v>35</v>
      </c>
      <c r="H361" s="79" t="s">
        <v>484</v>
      </c>
      <c r="I361" s="80" t="s">
        <v>485</v>
      </c>
      <c r="J361" s="78" t="s">
        <v>110</v>
      </c>
      <c r="K361" s="81">
        <v>4</v>
      </c>
      <c r="L361" s="82">
        <v>0</v>
      </c>
      <c r="M361" s="83">
        <f>K361*(1+L361/100)</f>
        <v>4</v>
      </c>
      <c r="N361" s="84"/>
      <c r="O361" s="85">
        <f>K361*N361</f>
        <v>0</v>
      </c>
    </row>
    <row r="362" spans="6:15" s="70" customFormat="1" ht="12.75" customHeight="1" outlineLevel="1">
      <c r="F362" s="77">
        <v>297</v>
      </c>
      <c r="G362" s="78" t="s">
        <v>35</v>
      </c>
      <c r="H362" s="79" t="s">
        <v>486</v>
      </c>
      <c r="I362" s="80" t="s">
        <v>487</v>
      </c>
      <c r="J362" s="78" t="s">
        <v>110</v>
      </c>
      <c r="K362" s="81">
        <v>5</v>
      </c>
      <c r="L362" s="82">
        <v>0</v>
      </c>
      <c r="M362" s="83">
        <f aca="true" t="shared" si="24" ref="M362:M397">K362*(1+L362/100)</f>
        <v>5</v>
      </c>
      <c r="N362" s="84"/>
      <c r="O362" s="85">
        <f aca="true" t="shared" si="25" ref="O362:O397">K362*N362</f>
        <v>0</v>
      </c>
    </row>
    <row r="363" spans="6:15" s="70" customFormat="1" ht="12.75" customHeight="1" outlineLevel="1">
      <c r="F363" s="77">
        <v>298</v>
      </c>
      <c r="G363" s="78" t="s">
        <v>35</v>
      </c>
      <c r="H363" s="79" t="s">
        <v>488</v>
      </c>
      <c r="I363" s="80" t="s">
        <v>489</v>
      </c>
      <c r="J363" s="78" t="s">
        <v>110</v>
      </c>
      <c r="K363" s="81">
        <v>11</v>
      </c>
      <c r="L363" s="82">
        <v>0</v>
      </c>
      <c r="M363" s="83">
        <f t="shared" si="24"/>
        <v>11</v>
      </c>
      <c r="N363" s="84"/>
      <c r="O363" s="85">
        <f t="shared" si="25"/>
        <v>0</v>
      </c>
    </row>
    <row r="364" spans="6:15" s="70" customFormat="1" ht="12.75" customHeight="1" outlineLevel="1">
      <c r="F364" s="77">
        <v>299</v>
      </c>
      <c r="G364" s="78" t="s">
        <v>35</v>
      </c>
      <c r="H364" s="79" t="s">
        <v>490</v>
      </c>
      <c r="I364" s="80" t="s">
        <v>491</v>
      </c>
      <c r="J364" s="78" t="s">
        <v>110</v>
      </c>
      <c r="K364" s="81">
        <v>3</v>
      </c>
      <c r="L364" s="82">
        <v>0</v>
      </c>
      <c r="M364" s="83">
        <f t="shared" si="24"/>
        <v>3</v>
      </c>
      <c r="N364" s="84"/>
      <c r="O364" s="85">
        <f t="shared" si="25"/>
        <v>0</v>
      </c>
    </row>
    <row r="365" spans="6:15" s="70" customFormat="1" ht="12.75" customHeight="1" outlineLevel="1">
      <c r="F365" s="77">
        <v>300</v>
      </c>
      <c r="G365" s="78" t="s">
        <v>35</v>
      </c>
      <c r="H365" s="79" t="s">
        <v>492</v>
      </c>
      <c r="I365" s="80" t="s">
        <v>493</v>
      </c>
      <c r="J365" s="78" t="s">
        <v>110</v>
      </c>
      <c r="K365" s="81">
        <v>1</v>
      </c>
      <c r="L365" s="82">
        <v>0</v>
      </c>
      <c r="M365" s="83">
        <f t="shared" si="24"/>
        <v>1</v>
      </c>
      <c r="N365" s="84"/>
      <c r="O365" s="85">
        <f t="shared" si="25"/>
        <v>0</v>
      </c>
    </row>
    <row r="366" spans="6:15" s="70" customFormat="1" ht="12.75" customHeight="1" outlineLevel="1">
      <c r="F366" s="77">
        <v>301</v>
      </c>
      <c r="G366" s="78" t="s">
        <v>35</v>
      </c>
      <c r="H366" s="79" t="s">
        <v>494</v>
      </c>
      <c r="I366" s="80" t="s">
        <v>495</v>
      </c>
      <c r="J366" s="78" t="s">
        <v>110</v>
      </c>
      <c r="K366" s="81">
        <v>1</v>
      </c>
      <c r="L366" s="82">
        <v>0</v>
      </c>
      <c r="M366" s="83">
        <f t="shared" si="24"/>
        <v>1</v>
      </c>
      <c r="N366" s="84"/>
      <c r="O366" s="85">
        <f t="shared" si="25"/>
        <v>0</v>
      </c>
    </row>
    <row r="367" spans="6:15" s="70" customFormat="1" ht="12.75" customHeight="1" outlineLevel="1">
      <c r="F367" s="77">
        <v>302</v>
      </c>
      <c r="G367" s="78" t="s">
        <v>35</v>
      </c>
      <c r="H367" s="79" t="s">
        <v>496</v>
      </c>
      <c r="I367" s="80" t="s">
        <v>497</v>
      </c>
      <c r="J367" s="78" t="s">
        <v>217</v>
      </c>
      <c r="K367" s="81">
        <v>1</v>
      </c>
      <c r="L367" s="82">
        <v>0</v>
      </c>
      <c r="M367" s="83">
        <f t="shared" si="24"/>
        <v>1</v>
      </c>
      <c r="N367" s="84"/>
      <c r="O367" s="85">
        <f t="shared" si="25"/>
        <v>0</v>
      </c>
    </row>
    <row r="368" spans="6:15" s="70" customFormat="1" ht="12.75" customHeight="1" outlineLevel="1">
      <c r="F368" s="77">
        <v>303</v>
      </c>
      <c r="G368" s="78" t="s">
        <v>35</v>
      </c>
      <c r="H368" s="79" t="s">
        <v>498</v>
      </c>
      <c r="I368" s="80" t="s">
        <v>499</v>
      </c>
      <c r="J368" s="78" t="s">
        <v>110</v>
      </c>
      <c r="K368" s="81">
        <v>1</v>
      </c>
      <c r="L368" s="82">
        <v>0</v>
      </c>
      <c r="M368" s="83">
        <f t="shared" si="24"/>
        <v>1</v>
      </c>
      <c r="N368" s="84"/>
      <c r="O368" s="85">
        <f t="shared" si="25"/>
        <v>0</v>
      </c>
    </row>
    <row r="369" spans="6:15" s="70" customFormat="1" ht="12.75" customHeight="1" outlineLevel="1">
      <c r="F369" s="77">
        <v>304</v>
      </c>
      <c r="G369" s="78" t="s">
        <v>35</v>
      </c>
      <c r="H369" s="79" t="s">
        <v>500</v>
      </c>
      <c r="I369" s="80" t="s">
        <v>501</v>
      </c>
      <c r="J369" s="78" t="s">
        <v>502</v>
      </c>
      <c r="K369" s="81">
        <v>1</v>
      </c>
      <c r="L369" s="82">
        <v>0</v>
      </c>
      <c r="M369" s="83">
        <f t="shared" si="24"/>
        <v>1</v>
      </c>
      <c r="N369" s="84"/>
      <c r="O369" s="85">
        <f t="shared" si="25"/>
        <v>0</v>
      </c>
    </row>
    <row r="370" spans="6:15" s="70" customFormat="1" ht="12.75" customHeight="1" outlineLevel="1">
      <c r="F370" s="77">
        <v>305</v>
      </c>
      <c r="G370" s="78" t="s">
        <v>35</v>
      </c>
      <c r="H370" s="79" t="s">
        <v>503</v>
      </c>
      <c r="I370" s="80" t="s">
        <v>504</v>
      </c>
      <c r="J370" s="78" t="s">
        <v>110</v>
      </c>
      <c r="K370" s="81">
        <v>3</v>
      </c>
      <c r="L370" s="82">
        <v>0</v>
      </c>
      <c r="M370" s="83">
        <f t="shared" si="24"/>
        <v>3</v>
      </c>
      <c r="N370" s="84"/>
      <c r="O370" s="85">
        <f t="shared" si="25"/>
        <v>0</v>
      </c>
    </row>
    <row r="371" spans="6:15" s="70" customFormat="1" ht="12.75" customHeight="1" outlineLevel="1">
      <c r="F371" s="77">
        <v>306</v>
      </c>
      <c r="G371" s="78" t="s">
        <v>35</v>
      </c>
      <c r="H371" s="79" t="s">
        <v>505</v>
      </c>
      <c r="I371" s="80" t="s">
        <v>506</v>
      </c>
      <c r="J371" s="78" t="s">
        <v>217</v>
      </c>
      <c r="K371" s="81">
        <v>3</v>
      </c>
      <c r="L371" s="82">
        <v>0</v>
      </c>
      <c r="M371" s="83">
        <f t="shared" si="24"/>
        <v>3</v>
      </c>
      <c r="N371" s="84"/>
      <c r="O371" s="85">
        <f t="shared" si="25"/>
        <v>0</v>
      </c>
    </row>
    <row r="372" spans="6:15" s="70" customFormat="1" ht="12.75" customHeight="1" outlineLevel="1">
      <c r="F372" s="77">
        <v>307</v>
      </c>
      <c r="G372" s="78" t="s">
        <v>35</v>
      </c>
      <c r="H372" s="79" t="s">
        <v>507</v>
      </c>
      <c r="I372" s="80" t="s">
        <v>508</v>
      </c>
      <c r="J372" s="78" t="s">
        <v>110</v>
      </c>
      <c r="K372" s="81">
        <v>5</v>
      </c>
      <c r="L372" s="82">
        <v>0</v>
      </c>
      <c r="M372" s="83">
        <f>K372*(1+L372/100)</f>
        <v>5</v>
      </c>
      <c r="N372" s="84"/>
      <c r="O372" s="85">
        <f>K372*N372</f>
        <v>0</v>
      </c>
    </row>
    <row r="373" spans="6:15" s="70" customFormat="1" ht="12.75" customHeight="1" outlineLevel="1">
      <c r="F373" s="77">
        <v>308</v>
      </c>
      <c r="G373" s="78" t="s">
        <v>35</v>
      </c>
      <c r="H373" s="79" t="s">
        <v>509</v>
      </c>
      <c r="I373" s="80" t="s">
        <v>510</v>
      </c>
      <c r="J373" s="78" t="s">
        <v>217</v>
      </c>
      <c r="K373" s="81">
        <v>5</v>
      </c>
      <c r="L373" s="82">
        <v>0</v>
      </c>
      <c r="M373" s="83">
        <f>K373*(1+L373/100)</f>
        <v>5</v>
      </c>
      <c r="N373" s="84"/>
      <c r="O373" s="85">
        <f>K373*N373</f>
        <v>0</v>
      </c>
    </row>
    <row r="374" spans="6:15" s="70" customFormat="1" ht="12.75" customHeight="1" outlineLevel="1">
      <c r="F374" s="77">
        <v>309</v>
      </c>
      <c r="G374" s="78" t="s">
        <v>35</v>
      </c>
      <c r="H374" s="79" t="s">
        <v>511</v>
      </c>
      <c r="I374" s="80" t="s">
        <v>512</v>
      </c>
      <c r="J374" s="78" t="s">
        <v>43</v>
      </c>
      <c r="K374" s="81">
        <v>1</v>
      </c>
      <c r="L374" s="82">
        <v>0</v>
      </c>
      <c r="M374" s="83">
        <f t="shared" si="24"/>
        <v>1</v>
      </c>
      <c r="N374" s="84"/>
      <c r="O374" s="85">
        <f t="shared" si="25"/>
        <v>0</v>
      </c>
    </row>
    <row r="375" spans="6:15" s="70" customFormat="1" ht="12.75" customHeight="1" outlineLevel="1">
      <c r="F375" s="77">
        <v>310</v>
      </c>
      <c r="G375" s="78" t="s">
        <v>35</v>
      </c>
      <c r="H375" s="79" t="s">
        <v>513</v>
      </c>
      <c r="I375" s="80" t="s">
        <v>514</v>
      </c>
      <c r="J375" s="78" t="s">
        <v>43</v>
      </c>
      <c r="K375" s="81">
        <v>16</v>
      </c>
      <c r="L375" s="82">
        <v>0</v>
      </c>
      <c r="M375" s="83">
        <f t="shared" si="24"/>
        <v>16</v>
      </c>
      <c r="N375" s="84"/>
      <c r="O375" s="85">
        <f t="shared" si="25"/>
        <v>0</v>
      </c>
    </row>
    <row r="376" spans="6:15" s="70" customFormat="1" ht="12.75" customHeight="1" outlineLevel="1">
      <c r="F376" s="77">
        <v>311</v>
      </c>
      <c r="G376" s="78" t="s">
        <v>35</v>
      </c>
      <c r="H376" s="79" t="s">
        <v>515</v>
      </c>
      <c r="I376" s="80" t="s">
        <v>516</v>
      </c>
      <c r="J376" s="78" t="s">
        <v>43</v>
      </c>
      <c r="K376" s="81">
        <v>8</v>
      </c>
      <c r="L376" s="82">
        <v>0</v>
      </c>
      <c r="M376" s="83">
        <f t="shared" si="24"/>
        <v>8</v>
      </c>
      <c r="N376" s="84"/>
      <c r="O376" s="85">
        <f t="shared" si="25"/>
        <v>0</v>
      </c>
    </row>
    <row r="377" spans="6:15" s="70" customFormat="1" ht="12.75" customHeight="1" outlineLevel="1">
      <c r="F377" s="77">
        <v>312</v>
      </c>
      <c r="G377" s="78" t="s">
        <v>35</v>
      </c>
      <c r="H377" s="79" t="s">
        <v>517</v>
      </c>
      <c r="I377" s="80" t="s">
        <v>518</v>
      </c>
      <c r="J377" s="78" t="s">
        <v>217</v>
      </c>
      <c r="K377" s="81">
        <v>22</v>
      </c>
      <c r="L377" s="82">
        <v>0</v>
      </c>
      <c r="M377" s="83">
        <f t="shared" si="24"/>
        <v>22</v>
      </c>
      <c r="N377" s="84"/>
      <c r="O377" s="85">
        <f t="shared" si="25"/>
        <v>0</v>
      </c>
    </row>
    <row r="378" spans="6:15" s="70" customFormat="1" ht="12.75" customHeight="1" outlineLevel="1">
      <c r="F378" s="77">
        <v>313</v>
      </c>
      <c r="G378" s="78" t="s">
        <v>35</v>
      </c>
      <c r="H378" s="79" t="s">
        <v>519</v>
      </c>
      <c r="I378" s="80" t="s">
        <v>520</v>
      </c>
      <c r="J378" s="78" t="s">
        <v>217</v>
      </c>
      <c r="K378" s="81">
        <v>22</v>
      </c>
      <c r="L378" s="82">
        <v>0</v>
      </c>
      <c r="M378" s="83">
        <f t="shared" si="24"/>
        <v>22</v>
      </c>
      <c r="N378" s="84"/>
      <c r="O378" s="85">
        <f t="shared" si="25"/>
        <v>0</v>
      </c>
    </row>
    <row r="379" spans="6:15" s="70" customFormat="1" ht="12.75" customHeight="1" outlineLevel="1">
      <c r="F379" s="77">
        <v>314</v>
      </c>
      <c r="G379" s="78" t="s">
        <v>35</v>
      </c>
      <c r="H379" s="79" t="s">
        <v>521</v>
      </c>
      <c r="I379" s="80" t="s">
        <v>522</v>
      </c>
      <c r="J379" s="78" t="s">
        <v>43</v>
      </c>
      <c r="K379" s="81">
        <v>9</v>
      </c>
      <c r="L379" s="82">
        <v>0</v>
      </c>
      <c r="M379" s="83">
        <f t="shared" si="24"/>
        <v>9</v>
      </c>
      <c r="N379" s="84"/>
      <c r="O379" s="85">
        <f t="shared" si="25"/>
        <v>0</v>
      </c>
    </row>
    <row r="380" spans="6:15" s="70" customFormat="1" ht="12.75" customHeight="1" outlineLevel="1">
      <c r="F380" s="77">
        <v>315</v>
      </c>
      <c r="G380" s="78" t="s">
        <v>35</v>
      </c>
      <c r="H380" s="79" t="s">
        <v>523</v>
      </c>
      <c r="I380" s="80" t="s">
        <v>524</v>
      </c>
      <c r="J380" s="78" t="s">
        <v>217</v>
      </c>
      <c r="K380" s="81">
        <v>1</v>
      </c>
      <c r="L380" s="82">
        <v>0</v>
      </c>
      <c r="M380" s="83">
        <f t="shared" si="24"/>
        <v>1</v>
      </c>
      <c r="N380" s="84"/>
      <c r="O380" s="85">
        <f t="shared" si="25"/>
        <v>0</v>
      </c>
    </row>
    <row r="381" spans="6:15" s="70" customFormat="1" ht="12.75" customHeight="1" outlineLevel="1">
      <c r="F381" s="77">
        <v>316</v>
      </c>
      <c r="G381" s="78" t="s">
        <v>35</v>
      </c>
      <c r="H381" s="79" t="s">
        <v>525</v>
      </c>
      <c r="I381" s="80" t="s">
        <v>526</v>
      </c>
      <c r="J381" s="78" t="s">
        <v>217</v>
      </c>
      <c r="K381" s="81">
        <v>8</v>
      </c>
      <c r="L381" s="82">
        <v>0</v>
      </c>
      <c r="M381" s="83">
        <f t="shared" si="24"/>
        <v>8</v>
      </c>
      <c r="N381" s="84"/>
      <c r="O381" s="85">
        <f t="shared" si="25"/>
        <v>0</v>
      </c>
    </row>
    <row r="382" spans="6:15" s="70" customFormat="1" ht="12.75" customHeight="1" outlineLevel="1">
      <c r="F382" s="77">
        <v>317</v>
      </c>
      <c r="G382" s="78" t="s">
        <v>35</v>
      </c>
      <c r="H382" s="79" t="s">
        <v>527</v>
      </c>
      <c r="I382" s="80" t="s">
        <v>528</v>
      </c>
      <c r="J382" s="78" t="s">
        <v>110</v>
      </c>
      <c r="K382" s="81">
        <v>1</v>
      </c>
      <c r="L382" s="82">
        <v>0</v>
      </c>
      <c r="M382" s="83">
        <f t="shared" si="24"/>
        <v>1</v>
      </c>
      <c r="N382" s="84"/>
      <c r="O382" s="85">
        <f t="shared" si="25"/>
        <v>0</v>
      </c>
    </row>
    <row r="383" spans="6:15" s="70" customFormat="1" ht="12.75" customHeight="1" outlineLevel="1">
      <c r="F383" s="77">
        <v>318</v>
      </c>
      <c r="G383" s="78" t="s">
        <v>35</v>
      </c>
      <c r="H383" s="79" t="s">
        <v>529</v>
      </c>
      <c r="I383" s="80" t="s">
        <v>530</v>
      </c>
      <c r="J383" s="78" t="s">
        <v>217</v>
      </c>
      <c r="K383" s="81">
        <v>1</v>
      </c>
      <c r="L383" s="82">
        <v>0</v>
      </c>
      <c r="M383" s="83">
        <f t="shared" si="24"/>
        <v>1</v>
      </c>
      <c r="N383" s="84"/>
      <c r="O383" s="85">
        <f t="shared" si="25"/>
        <v>0</v>
      </c>
    </row>
    <row r="384" spans="6:15" s="70" customFormat="1" ht="12.75" customHeight="1" outlineLevel="1">
      <c r="F384" s="77">
        <v>319</v>
      </c>
      <c r="G384" s="78" t="s">
        <v>35</v>
      </c>
      <c r="H384" s="79" t="s">
        <v>531</v>
      </c>
      <c r="I384" s="80" t="s">
        <v>532</v>
      </c>
      <c r="J384" s="78" t="s">
        <v>217</v>
      </c>
      <c r="K384" s="81">
        <v>1</v>
      </c>
      <c r="L384" s="82">
        <v>0</v>
      </c>
      <c r="M384" s="83">
        <f t="shared" si="24"/>
        <v>1</v>
      </c>
      <c r="N384" s="84"/>
      <c r="O384" s="85">
        <f t="shared" si="25"/>
        <v>0</v>
      </c>
    </row>
    <row r="385" spans="6:15" s="70" customFormat="1" ht="12.75" customHeight="1" outlineLevel="1">
      <c r="F385" s="77">
        <v>320</v>
      </c>
      <c r="G385" s="78" t="s">
        <v>35</v>
      </c>
      <c r="H385" s="79" t="s">
        <v>533</v>
      </c>
      <c r="I385" s="80" t="s">
        <v>534</v>
      </c>
      <c r="J385" s="78" t="s">
        <v>43</v>
      </c>
      <c r="K385" s="81">
        <v>8</v>
      </c>
      <c r="L385" s="82">
        <v>0</v>
      </c>
      <c r="M385" s="83">
        <f t="shared" si="24"/>
        <v>8</v>
      </c>
      <c r="N385" s="84"/>
      <c r="O385" s="85">
        <f t="shared" si="25"/>
        <v>0</v>
      </c>
    </row>
    <row r="386" spans="6:15" s="70" customFormat="1" ht="12.75" customHeight="1" outlineLevel="1">
      <c r="F386" s="77">
        <v>321</v>
      </c>
      <c r="G386" s="78" t="s">
        <v>35</v>
      </c>
      <c r="H386" s="79" t="s">
        <v>535</v>
      </c>
      <c r="I386" s="80" t="s">
        <v>536</v>
      </c>
      <c r="J386" s="78" t="s">
        <v>217</v>
      </c>
      <c r="K386" s="81">
        <v>7</v>
      </c>
      <c r="L386" s="82">
        <v>0</v>
      </c>
      <c r="M386" s="83">
        <f t="shared" si="24"/>
        <v>7</v>
      </c>
      <c r="N386" s="84"/>
      <c r="O386" s="85">
        <f t="shared" si="25"/>
        <v>0</v>
      </c>
    </row>
    <row r="387" spans="6:15" s="70" customFormat="1" ht="12.75" customHeight="1" outlineLevel="1">
      <c r="F387" s="77">
        <v>322</v>
      </c>
      <c r="G387" s="78" t="s">
        <v>35</v>
      </c>
      <c r="H387" s="79" t="s">
        <v>537</v>
      </c>
      <c r="I387" s="80" t="s">
        <v>538</v>
      </c>
      <c r="J387" s="78" t="s">
        <v>43</v>
      </c>
      <c r="K387" s="81">
        <v>1</v>
      </c>
      <c r="L387" s="82">
        <v>0</v>
      </c>
      <c r="M387" s="83">
        <f t="shared" si="24"/>
        <v>1</v>
      </c>
      <c r="N387" s="84"/>
      <c r="O387" s="85">
        <f t="shared" si="25"/>
        <v>0</v>
      </c>
    </row>
    <row r="388" spans="6:15" s="70" customFormat="1" ht="12.75" customHeight="1" outlineLevel="1">
      <c r="F388" s="77">
        <v>323</v>
      </c>
      <c r="G388" s="78" t="s">
        <v>35</v>
      </c>
      <c r="H388" s="79" t="s">
        <v>539</v>
      </c>
      <c r="I388" s="80" t="s">
        <v>540</v>
      </c>
      <c r="J388" s="78" t="s">
        <v>43</v>
      </c>
      <c r="K388" s="81">
        <v>14</v>
      </c>
      <c r="L388" s="82">
        <v>0</v>
      </c>
      <c r="M388" s="83">
        <f t="shared" si="24"/>
        <v>14</v>
      </c>
      <c r="N388" s="84"/>
      <c r="O388" s="85">
        <f t="shared" si="25"/>
        <v>0</v>
      </c>
    </row>
    <row r="389" spans="6:15" s="70" customFormat="1" ht="12.75" customHeight="1" outlineLevel="1">
      <c r="F389" s="77">
        <v>324</v>
      </c>
      <c r="G389" s="78" t="s">
        <v>35</v>
      </c>
      <c r="H389" s="79" t="s">
        <v>541</v>
      </c>
      <c r="I389" s="80" t="s">
        <v>542</v>
      </c>
      <c r="J389" s="78" t="s">
        <v>59</v>
      </c>
      <c r="K389" s="81">
        <v>0.6644</v>
      </c>
      <c r="L389" s="82">
        <v>0</v>
      </c>
      <c r="M389" s="83">
        <f t="shared" si="24"/>
        <v>0.6644</v>
      </c>
      <c r="N389" s="84"/>
      <c r="O389" s="85">
        <f t="shared" si="25"/>
        <v>0</v>
      </c>
    </row>
    <row r="390" spans="6:15" s="70" customFormat="1" ht="12.75" customHeight="1" outlineLevel="1">
      <c r="F390" s="77">
        <v>325</v>
      </c>
      <c r="G390" s="78" t="s">
        <v>35</v>
      </c>
      <c r="H390" s="79" t="s">
        <v>543</v>
      </c>
      <c r="I390" s="80" t="s">
        <v>544</v>
      </c>
      <c r="J390" s="78" t="s">
        <v>110</v>
      </c>
      <c r="K390" s="81">
        <v>7</v>
      </c>
      <c r="L390" s="82">
        <v>0</v>
      </c>
      <c r="M390" s="83">
        <f t="shared" si="24"/>
        <v>7</v>
      </c>
      <c r="N390" s="84"/>
      <c r="O390" s="85">
        <f t="shared" si="25"/>
        <v>0</v>
      </c>
    </row>
    <row r="391" spans="6:15" s="70" customFormat="1" ht="12.75" customHeight="1" outlineLevel="1">
      <c r="F391" s="77">
        <v>326</v>
      </c>
      <c r="G391" s="78" t="s">
        <v>35</v>
      </c>
      <c r="H391" s="79" t="s">
        <v>545</v>
      </c>
      <c r="I391" s="80" t="s">
        <v>546</v>
      </c>
      <c r="J391" s="78" t="s">
        <v>110</v>
      </c>
      <c r="K391" s="81">
        <v>14</v>
      </c>
      <c r="L391" s="82">
        <v>0</v>
      </c>
      <c r="M391" s="83">
        <f t="shared" si="24"/>
        <v>14</v>
      </c>
      <c r="N391" s="84"/>
      <c r="O391" s="85">
        <f t="shared" si="25"/>
        <v>0</v>
      </c>
    </row>
    <row r="392" spans="6:15" s="70" customFormat="1" ht="12.75" customHeight="1" outlineLevel="1">
      <c r="F392" s="77">
        <v>327</v>
      </c>
      <c r="G392" s="78" t="s">
        <v>35</v>
      </c>
      <c r="H392" s="79" t="s">
        <v>547</v>
      </c>
      <c r="I392" s="80" t="s">
        <v>548</v>
      </c>
      <c r="J392" s="78" t="s">
        <v>110</v>
      </c>
      <c r="K392" s="81">
        <v>6</v>
      </c>
      <c r="L392" s="82">
        <v>0</v>
      </c>
      <c r="M392" s="83">
        <f t="shared" si="24"/>
        <v>6</v>
      </c>
      <c r="N392" s="84"/>
      <c r="O392" s="85">
        <f t="shared" si="25"/>
        <v>0</v>
      </c>
    </row>
    <row r="393" spans="6:15" s="70" customFormat="1" ht="12.75" customHeight="1" outlineLevel="1">
      <c r="F393" s="77">
        <v>328</v>
      </c>
      <c r="G393" s="78" t="s">
        <v>35</v>
      </c>
      <c r="H393" s="79" t="s">
        <v>549</v>
      </c>
      <c r="I393" s="80" t="s">
        <v>550</v>
      </c>
      <c r="J393" s="78" t="s">
        <v>110</v>
      </c>
      <c r="K393" s="81">
        <v>1</v>
      </c>
      <c r="L393" s="82">
        <v>0</v>
      </c>
      <c r="M393" s="83">
        <f t="shared" si="24"/>
        <v>1</v>
      </c>
      <c r="N393" s="84"/>
      <c r="O393" s="85">
        <f t="shared" si="25"/>
        <v>0</v>
      </c>
    </row>
    <row r="394" spans="6:15" s="70" customFormat="1" ht="12.75" customHeight="1" outlineLevel="1">
      <c r="F394" s="77">
        <v>329</v>
      </c>
      <c r="G394" s="78" t="s">
        <v>35</v>
      </c>
      <c r="H394" s="79" t="s">
        <v>551</v>
      </c>
      <c r="I394" s="80" t="s">
        <v>552</v>
      </c>
      <c r="J394" s="78" t="s">
        <v>110</v>
      </c>
      <c r="K394" s="81">
        <v>20</v>
      </c>
      <c r="L394" s="82">
        <v>0</v>
      </c>
      <c r="M394" s="83">
        <f t="shared" si="24"/>
        <v>20</v>
      </c>
      <c r="N394" s="84"/>
      <c r="O394" s="85">
        <f t="shared" si="25"/>
        <v>0</v>
      </c>
    </row>
    <row r="395" spans="6:15" s="70" customFormat="1" ht="12.75" customHeight="1" outlineLevel="1">
      <c r="F395" s="77">
        <v>330</v>
      </c>
      <c r="G395" s="78" t="s">
        <v>35</v>
      </c>
      <c r="H395" s="79" t="s">
        <v>553</v>
      </c>
      <c r="I395" s="80" t="s">
        <v>554</v>
      </c>
      <c r="J395" s="78" t="s">
        <v>110</v>
      </c>
      <c r="K395" s="81">
        <v>6</v>
      </c>
      <c r="L395" s="82">
        <v>0</v>
      </c>
      <c r="M395" s="83">
        <f t="shared" si="24"/>
        <v>6</v>
      </c>
      <c r="N395" s="84"/>
      <c r="O395" s="85">
        <f t="shared" si="25"/>
        <v>0</v>
      </c>
    </row>
    <row r="396" spans="6:15" s="70" customFormat="1" ht="12.75" customHeight="1" outlineLevel="1">
      <c r="F396" s="77">
        <v>331</v>
      </c>
      <c r="G396" s="78" t="s">
        <v>35</v>
      </c>
      <c r="H396" s="79" t="s">
        <v>555</v>
      </c>
      <c r="I396" s="80" t="s">
        <v>556</v>
      </c>
      <c r="J396" s="78" t="s">
        <v>43</v>
      </c>
      <c r="K396" s="81">
        <v>20</v>
      </c>
      <c r="L396" s="82">
        <v>0</v>
      </c>
      <c r="M396" s="83">
        <f t="shared" si="24"/>
        <v>20</v>
      </c>
      <c r="N396" s="84"/>
      <c r="O396" s="85">
        <f t="shared" si="25"/>
        <v>0</v>
      </c>
    </row>
    <row r="397" spans="6:15" s="70" customFormat="1" ht="12.75" customHeight="1" outlineLevel="1">
      <c r="F397" s="77">
        <v>332</v>
      </c>
      <c r="G397" s="78" t="s">
        <v>35</v>
      </c>
      <c r="H397" s="79" t="s">
        <v>557</v>
      </c>
      <c r="I397" s="80" t="s">
        <v>558</v>
      </c>
      <c r="J397" s="78" t="s">
        <v>59</v>
      </c>
      <c r="K397" s="81">
        <v>0.7276</v>
      </c>
      <c r="L397" s="82">
        <v>0</v>
      </c>
      <c r="M397" s="83">
        <f t="shared" si="24"/>
        <v>0.7276</v>
      </c>
      <c r="N397" s="84"/>
      <c r="O397" s="85">
        <f t="shared" si="25"/>
        <v>0</v>
      </c>
    </row>
    <row r="398" spans="6:15" s="70" customFormat="1" ht="12.75" customHeight="1" outlineLevel="1">
      <c r="F398" s="98"/>
      <c r="G398" s="99"/>
      <c r="H398" s="92"/>
      <c r="I398" s="113"/>
      <c r="J398" s="99"/>
      <c r="K398" s="114"/>
      <c r="L398" s="90"/>
      <c r="M398" s="91"/>
      <c r="N398" s="117"/>
      <c r="O398" s="115"/>
    </row>
    <row r="399" spans="6:15" s="70" customFormat="1" ht="16.5" customHeight="1" outlineLevel="1">
      <c r="F399" s="98"/>
      <c r="G399" s="99"/>
      <c r="H399" s="92"/>
      <c r="I399" s="72" t="s">
        <v>8</v>
      </c>
      <c r="J399" s="99"/>
      <c r="K399" s="114"/>
      <c r="L399" s="90"/>
      <c r="M399" s="91"/>
      <c r="N399" s="117"/>
      <c r="O399" s="8">
        <f>SUM(O400:O401)</f>
        <v>0</v>
      </c>
    </row>
    <row r="400" spans="6:15" s="70" customFormat="1" ht="12.75" customHeight="1" outlineLevel="1">
      <c r="F400" s="77">
        <v>333</v>
      </c>
      <c r="G400" s="78" t="s">
        <v>35</v>
      </c>
      <c r="H400" s="79" t="s">
        <v>559</v>
      </c>
      <c r="I400" s="80" t="s">
        <v>560</v>
      </c>
      <c r="J400" s="78" t="s">
        <v>110</v>
      </c>
      <c r="K400" s="81">
        <v>4</v>
      </c>
      <c r="L400" s="82">
        <v>0</v>
      </c>
      <c r="M400" s="83">
        <f>K400*(1+L400/100)</f>
        <v>4</v>
      </c>
      <c r="N400" s="84"/>
      <c r="O400" s="85">
        <f>M400*N400</f>
        <v>0</v>
      </c>
    </row>
    <row r="401" spans="6:15" s="70" customFormat="1" ht="12.75" customHeight="1" outlineLevel="1">
      <c r="F401" s="77">
        <v>334</v>
      </c>
      <c r="G401" s="78" t="s">
        <v>35</v>
      </c>
      <c r="H401" s="79" t="s">
        <v>561</v>
      </c>
      <c r="I401" s="80" t="s">
        <v>562</v>
      </c>
      <c r="J401" s="78" t="s">
        <v>59</v>
      </c>
      <c r="K401" s="81">
        <v>0.104</v>
      </c>
      <c r="L401" s="82">
        <v>0</v>
      </c>
      <c r="M401" s="83">
        <f>K401*(1+L401/100)</f>
        <v>0.104</v>
      </c>
      <c r="N401" s="84"/>
      <c r="O401" s="85">
        <f>M401*N401</f>
        <v>0</v>
      </c>
    </row>
    <row r="402" spans="6:15" s="70" customFormat="1" ht="12.75" customHeight="1" outlineLevel="1">
      <c r="F402" s="98"/>
      <c r="G402" s="99"/>
      <c r="H402" s="119"/>
      <c r="I402" s="120"/>
      <c r="J402" s="121"/>
      <c r="K402" s="122"/>
      <c r="L402" s="90"/>
      <c r="M402" s="91"/>
      <c r="N402" s="122"/>
      <c r="O402" s="115"/>
    </row>
    <row r="403" spans="6:15" s="70" customFormat="1" ht="15.75" customHeight="1" outlineLevel="1">
      <c r="F403" s="98"/>
      <c r="G403" s="99"/>
      <c r="H403" s="92"/>
      <c r="I403" s="72" t="s">
        <v>9</v>
      </c>
      <c r="J403" s="99"/>
      <c r="K403" s="114"/>
      <c r="L403" s="90"/>
      <c r="M403" s="91"/>
      <c r="N403" s="117"/>
      <c r="O403" s="8">
        <f>SUM(O404:O421)</f>
        <v>0</v>
      </c>
    </row>
    <row r="404" spans="6:15" s="70" customFormat="1" ht="12.75" customHeight="1" outlineLevel="1">
      <c r="F404" s="77">
        <v>335</v>
      </c>
      <c r="G404" s="78" t="s">
        <v>35</v>
      </c>
      <c r="H404" s="79" t="s">
        <v>563</v>
      </c>
      <c r="I404" s="80" t="s">
        <v>564</v>
      </c>
      <c r="J404" s="78" t="s">
        <v>69</v>
      </c>
      <c r="K404" s="81">
        <v>20</v>
      </c>
      <c r="L404" s="82">
        <v>0</v>
      </c>
      <c r="M404" s="83">
        <f>K404*(1+L404/100)</f>
        <v>20</v>
      </c>
      <c r="N404" s="84"/>
      <c r="O404" s="85">
        <f>M404*N404</f>
        <v>0</v>
      </c>
    </row>
    <row r="405" spans="6:15" s="70" customFormat="1" ht="12.75" customHeight="1" outlineLevel="1">
      <c r="F405" s="77">
        <v>336</v>
      </c>
      <c r="G405" s="78" t="s">
        <v>35</v>
      </c>
      <c r="H405" s="79" t="s">
        <v>565</v>
      </c>
      <c r="I405" s="80" t="s">
        <v>566</v>
      </c>
      <c r="J405" s="78" t="s">
        <v>69</v>
      </c>
      <c r="K405" s="81">
        <v>30</v>
      </c>
      <c r="L405" s="82">
        <v>0</v>
      </c>
      <c r="M405" s="83">
        <f aca="true" t="shared" si="26" ref="M405:M421">K405*(1+L405/100)</f>
        <v>30</v>
      </c>
      <c r="N405" s="84"/>
      <c r="O405" s="85">
        <f aca="true" t="shared" si="27" ref="O405:O421">M405*N405</f>
        <v>0</v>
      </c>
    </row>
    <row r="406" spans="6:15" s="70" customFormat="1" ht="12.75" customHeight="1" outlineLevel="1">
      <c r="F406" s="77">
        <v>337</v>
      </c>
      <c r="G406" s="78" t="s">
        <v>35</v>
      </c>
      <c r="H406" s="79" t="s">
        <v>567</v>
      </c>
      <c r="I406" s="80" t="s">
        <v>568</v>
      </c>
      <c r="J406" s="78" t="s">
        <v>69</v>
      </c>
      <c r="K406" s="81">
        <v>16</v>
      </c>
      <c r="L406" s="82">
        <v>0</v>
      </c>
      <c r="M406" s="83">
        <f t="shared" si="26"/>
        <v>16</v>
      </c>
      <c r="N406" s="84"/>
      <c r="O406" s="85">
        <f t="shared" si="27"/>
        <v>0</v>
      </c>
    </row>
    <row r="407" spans="6:15" s="70" customFormat="1" ht="12.75" customHeight="1" outlineLevel="1">
      <c r="F407" s="77">
        <v>338</v>
      </c>
      <c r="G407" s="78" t="s">
        <v>35</v>
      </c>
      <c r="H407" s="79" t="s">
        <v>567</v>
      </c>
      <c r="I407" s="80" t="s">
        <v>569</v>
      </c>
      <c r="J407" s="78" t="s">
        <v>69</v>
      </c>
      <c r="K407" s="81">
        <v>36</v>
      </c>
      <c r="L407" s="82">
        <v>0</v>
      </c>
      <c r="M407" s="83">
        <f t="shared" si="26"/>
        <v>36</v>
      </c>
      <c r="N407" s="84"/>
      <c r="O407" s="85">
        <f t="shared" si="27"/>
        <v>0</v>
      </c>
    </row>
    <row r="408" spans="6:15" s="70" customFormat="1" ht="12.75" customHeight="1" outlineLevel="1">
      <c r="F408" s="77">
        <v>339</v>
      </c>
      <c r="G408" s="78" t="s">
        <v>35</v>
      </c>
      <c r="H408" s="79" t="s">
        <v>570</v>
      </c>
      <c r="I408" s="80" t="s">
        <v>571</v>
      </c>
      <c r="J408" s="78" t="s">
        <v>43</v>
      </c>
      <c r="K408" s="81">
        <v>4</v>
      </c>
      <c r="L408" s="82">
        <v>0</v>
      </c>
      <c r="M408" s="83">
        <f t="shared" si="26"/>
        <v>4</v>
      </c>
      <c r="N408" s="84"/>
      <c r="O408" s="85">
        <f t="shared" si="27"/>
        <v>0</v>
      </c>
    </row>
    <row r="409" spans="6:15" s="70" customFormat="1" ht="12.75" customHeight="1" outlineLevel="1">
      <c r="F409" s="77">
        <v>340</v>
      </c>
      <c r="G409" s="78" t="s">
        <v>35</v>
      </c>
      <c r="H409" s="79" t="s">
        <v>572</v>
      </c>
      <c r="I409" s="80" t="s">
        <v>573</v>
      </c>
      <c r="J409" s="78" t="s">
        <v>69</v>
      </c>
      <c r="K409" s="81">
        <v>50</v>
      </c>
      <c r="L409" s="82">
        <v>0</v>
      </c>
      <c r="M409" s="83">
        <f t="shared" si="26"/>
        <v>50</v>
      </c>
      <c r="N409" s="84"/>
      <c r="O409" s="85">
        <f t="shared" si="27"/>
        <v>0</v>
      </c>
    </row>
    <row r="410" spans="6:15" s="70" customFormat="1" ht="12.75" customHeight="1" outlineLevel="1">
      <c r="F410" s="77">
        <v>341</v>
      </c>
      <c r="G410" s="78" t="s">
        <v>35</v>
      </c>
      <c r="H410" s="79" t="s">
        <v>574</v>
      </c>
      <c r="I410" s="80" t="s">
        <v>575</v>
      </c>
      <c r="J410" s="78" t="s">
        <v>69</v>
      </c>
      <c r="K410" s="81">
        <v>36</v>
      </c>
      <c r="L410" s="82">
        <v>0</v>
      </c>
      <c r="M410" s="83">
        <f t="shared" si="26"/>
        <v>36</v>
      </c>
      <c r="N410" s="84"/>
      <c r="O410" s="85">
        <f t="shared" si="27"/>
        <v>0</v>
      </c>
    </row>
    <row r="411" spans="6:15" s="70" customFormat="1" ht="12.75" customHeight="1" outlineLevel="1">
      <c r="F411" s="77">
        <v>342</v>
      </c>
      <c r="G411" s="78" t="s">
        <v>35</v>
      </c>
      <c r="H411" s="79" t="s">
        <v>576</v>
      </c>
      <c r="I411" s="80" t="s">
        <v>577</v>
      </c>
      <c r="J411" s="78" t="s">
        <v>43</v>
      </c>
      <c r="K411" s="81">
        <v>4</v>
      </c>
      <c r="L411" s="82">
        <v>0</v>
      </c>
      <c r="M411" s="83">
        <f t="shared" si="26"/>
        <v>4</v>
      </c>
      <c r="N411" s="84"/>
      <c r="O411" s="85">
        <f t="shared" si="27"/>
        <v>0</v>
      </c>
    </row>
    <row r="412" spans="6:15" s="70" customFormat="1" ht="12.75" customHeight="1" outlineLevel="1">
      <c r="F412" s="77">
        <v>343</v>
      </c>
      <c r="G412" s="78" t="s">
        <v>35</v>
      </c>
      <c r="H412" s="79" t="s">
        <v>578</v>
      </c>
      <c r="I412" s="80" t="s">
        <v>579</v>
      </c>
      <c r="J412" s="78" t="s">
        <v>43</v>
      </c>
      <c r="K412" s="81">
        <v>4</v>
      </c>
      <c r="L412" s="82">
        <v>0</v>
      </c>
      <c r="M412" s="83">
        <f t="shared" si="26"/>
        <v>4</v>
      </c>
      <c r="N412" s="84"/>
      <c r="O412" s="85">
        <f t="shared" si="27"/>
        <v>0</v>
      </c>
    </row>
    <row r="413" spans="6:15" s="70" customFormat="1" ht="12.75" customHeight="1" outlineLevel="1">
      <c r="F413" s="77">
        <v>344</v>
      </c>
      <c r="G413" s="78" t="s">
        <v>35</v>
      </c>
      <c r="H413" s="79" t="s">
        <v>580</v>
      </c>
      <c r="I413" s="80" t="s">
        <v>581</v>
      </c>
      <c r="J413" s="78" t="s">
        <v>59</v>
      </c>
      <c r="K413" s="81">
        <v>0.1149</v>
      </c>
      <c r="L413" s="82">
        <v>0</v>
      </c>
      <c r="M413" s="83">
        <f t="shared" si="26"/>
        <v>0.1149</v>
      </c>
      <c r="N413" s="84"/>
      <c r="O413" s="85">
        <f t="shared" si="27"/>
        <v>0</v>
      </c>
    </row>
    <row r="414" spans="6:15" s="70" customFormat="1" ht="12.75" customHeight="1" outlineLevel="1">
      <c r="F414" s="77">
        <v>345</v>
      </c>
      <c r="G414" s="78" t="s">
        <v>35</v>
      </c>
      <c r="H414" s="79" t="s">
        <v>582</v>
      </c>
      <c r="I414" s="80" t="s">
        <v>583</v>
      </c>
      <c r="J414" s="78" t="s">
        <v>69</v>
      </c>
      <c r="K414" s="81">
        <v>30</v>
      </c>
      <c r="L414" s="82">
        <v>0</v>
      </c>
      <c r="M414" s="83">
        <f t="shared" si="26"/>
        <v>30</v>
      </c>
      <c r="N414" s="84"/>
      <c r="O414" s="85">
        <f t="shared" si="27"/>
        <v>0</v>
      </c>
    </row>
    <row r="415" spans="6:15" s="70" customFormat="1" ht="12.75" customHeight="1" outlineLevel="1">
      <c r="F415" s="77">
        <v>346</v>
      </c>
      <c r="G415" s="78" t="s">
        <v>35</v>
      </c>
      <c r="H415" s="79" t="s">
        <v>584</v>
      </c>
      <c r="I415" s="80" t="s">
        <v>585</v>
      </c>
      <c r="J415" s="78" t="s">
        <v>43</v>
      </c>
      <c r="K415" s="81">
        <v>2</v>
      </c>
      <c r="L415" s="82">
        <v>0</v>
      </c>
      <c r="M415" s="83">
        <f t="shared" si="26"/>
        <v>2</v>
      </c>
      <c r="N415" s="84"/>
      <c r="O415" s="85">
        <f t="shared" si="27"/>
        <v>0</v>
      </c>
    </row>
    <row r="416" spans="6:15" s="70" customFormat="1" ht="12.75" customHeight="1" outlineLevel="1">
      <c r="F416" s="77">
        <v>347</v>
      </c>
      <c r="G416" s="78" t="s">
        <v>35</v>
      </c>
      <c r="H416" s="79" t="s">
        <v>586</v>
      </c>
      <c r="I416" s="80" t="s">
        <v>587</v>
      </c>
      <c r="J416" s="78" t="s">
        <v>59</v>
      </c>
      <c r="K416" s="81">
        <v>0.1737</v>
      </c>
      <c r="L416" s="82">
        <v>0</v>
      </c>
      <c r="M416" s="83">
        <f t="shared" si="26"/>
        <v>0.1737</v>
      </c>
      <c r="N416" s="84"/>
      <c r="O416" s="85">
        <f t="shared" si="27"/>
        <v>0</v>
      </c>
    </row>
    <row r="417" spans="6:15" s="70" customFormat="1" ht="12.75" customHeight="1" outlineLevel="1">
      <c r="F417" s="77">
        <v>348</v>
      </c>
      <c r="G417" s="78" t="s">
        <v>35</v>
      </c>
      <c r="H417" s="79" t="s">
        <v>588</v>
      </c>
      <c r="I417" s="80" t="s">
        <v>589</v>
      </c>
      <c r="J417" s="78" t="s">
        <v>38</v>
      </c>
      <c r="K417" s="81">
        <v>15</v>
      </c>
      <c r="L417" s="82">
        <v>0</v>
      </c>
      <c r="M417" s="83">
        <f t="shared" si="26"/>
        <v>15</v>
      </c>
      <c r="N417" s="84"/>
      <c r="O417" s="85">
        <f t="shared" si="27"/>
        <v>0</v>
      </c>
    </row>
    <row r="418" spans="6:15" s="70" customFormat="1" ht="12.75" customHeight="1" outlineLevel="1">
      <c r="F418" s="77">
        <v>349</v>
      </c>
      <c r="G418" s="78" t="s">
        <v>35</v>
      </c>
      <c r="H418" s="79" t="s">
        <v>590</v>
      </c>
      <c r="I418" s="80" t="s">
        <v>591</v>
      </c>
      <c r="J418" s="78" t="s">
        <v>69</v>
      </c>
      <c r="K418" s="81">
        <v>20</v>
      </c>
      <c r="L418" s="82">
        <v>0</v>
      </c>
      <c r="M418" s="83">
        <f t="shared" si="26"/>
        <v>20</v>
      </c>
      <c r="N418" s="84"/>
      <c r="O418" s="85">
        <f t="shared" si="27"/>
        <v>0</v>
      </c>
    </row>
    <row r="419" spans="6:15" s="70" customFormat="1" ht="12.75" customHeight="1" outlineLevel="1">
      <c r="F419" s="77">
        <v>350</v>
      </c>
      <c r="G419" s="78" t="s">
        <v>35</v>
      </c>
      <c r="H419" s="79" t="s">
        <v>592</v>
      </c>
      <c r="I419" s="80" t="s">
        <v>593</v>
      </c>
      <c r="J419" s="78" t="s">
        <v>69</v>
      </c>
      <c r="K419" s="81">
        <v>30</v>
      </c>
      <c r="L419" s="82">
        <v>0</v>
      </c>
      <c r="M419" s="83">
        <f t="shared" si="26"/>
        <v>30</v>
      </c>
      <c r="N419" s="84"/>
      <c r="O419" s="85">
        <f t="shared" si="27"/>
        <v>0</v>
      </c>
    </row>
    <row r="420" spans="6:15" s="70" customFormat="1" ht="12.75" customHeight="1" outlineLevel="1">
      <c r="F420" s="77">
        <v>351</v>
      </c>
      <c r="G420" s="78" t="s">
        <v>35</v>
      </c>
      <c r="H420" s="79" t="s">
        <v>594</v>
      </c>
      <c r="I420" s="80" t="s">
        <v>595</v>
      </c>
      <c r="J420" s="78" t="s">
        <v>69</v>
      </c>
      <c r="K420" s="81">
        <v>52</v>
      </c>
      <c r="L420" s="82">
        <v>0</v>
      </c>
      <c r="M420" s="83">
        <f t="shared" si="26"/>
        <v>52</v>
      </c>
      <c r="N420" s="84"/>
      <c r="O420" s="85">
        <f t="shared" si="27"/>
        <v>0</v>
      </c>
    </row>
    <row r="421" spans="6:15" s="70" customFormat="1" ht="12" outlineLevel="1">
      <c r="F421" s="77">
        <v>352</v>
      </c>
      <c r="G421" s="78" t="s">
        <v>35</v>
      </c>
      <c r="H421" s="79" t="s">
        <v>419</v>
      </c>
      <c r="I421" s="80" t="s">
        <v>420</v>
      </c>
      <c r="J421" s="78" t="s">
        <v>313</v>
      </c>
      <c r="K421" s="81">
        <v>30</v>
      </c>
      <c r="L421" s="82">
        <v>0</v>
      </c>
      <c r="M421" s="83">
        <f t="shared" si="26"/>
        <v>30</v>
      </c>
      <c r="N421" s="84"/>
      <c r="O421" s="85">
        <f t="shared" si="27"/>
        <v>0</v>
      </c>
    </row>
    <row r="422" spans="6:15" s="70" customFormat="1" ht="12.75" customHeight="1" outlineLevel="1">
      <c r="F422" s="98"/>
      <c r="G422" s="99"/>
      <c r="H422" s="92"/>
      <c r="I422" s="113"/>
      <c r="J422" s="123"/>
      <c r="K422" s="114"/>
      <c r="L422" s="90"/>
      <c r="M422" s="91"/>
      <c r="N422" s="117"/>
      <c r="O422" s="115"/>
    </row>
    <row r="423" spans="6:15" s="70" customFormat="1" ht="15.75" customHeight="1" outlineLevel="1">
      <c r="F423" s="98"/>
      <c r="G423" s="99"/>
      <c r="H423" s="92"/>
      <c r="I423" s="72" t="s">
        <v>10</v>
      </c>
      <c r="J423" s="99"/>
      <c r="K423" s="114"/>
      <c r="L423" s="90"/>
      <c r="M423" s="91"/>
      <c r="N423" s="117"/>
      <c r="O423" s="8">
        <f>SUM(O424:O430)</f>
        <v>0</v>
      </c>
    </row>
    <row r="424" spans="6:15" s="70" customFormat="1" ht="12.75" customHeight="1" outlineLevel="1">
      <c r="F424" s="77">
        <v>353</v>
      </c>
      <c r="G424" s="78" t="s">
        <v>35</v>
      </c>
      <c r="H424" s="79" t="s">
        <v>596</v>
      </c>
      <c r="I424" s="80" t="s">
        <v>597</v>
      </c>
      <c r="J424" s="78" t="s">
        <v>43</v>
      </c>
      <c r="K424" s="81">
        <v>5</v>
      </c>
      <c r="L424" s="82">
        <v>0</v>
      </c>
      <c r="M424" s="83">
        <f>K424*(1+L424/100)</f>
        <v>5</v>
      </c>
      <c r="N424" s="84"/>
      <c r="O424" s="85">
        <f>M424*N424</f>
        <v>0</v>
      </c>
    </row>
    <row r="425" spans="6:15" s="70" customFormat="1" ht="12.75" customHeight="1" outlineLevel="1">
      <c r="F425" s="77">
        <v>354</v>
      </c>
      <c r="G425" s="78" t="s">
        <v>35</v>
      </c>
      <c r="H425" s="79" t="s">
        <v>598</v>
      </c>
      <c r="I425" s="80" t="s">
        <v>599</v>
      </c>
      <c r="J425" s="78" t="s">
        <v>43</v>
      </c>
      <c r="K425" s="81">
        <v>10</v>
      </c>
      <c r="L425" s="82">
        <v>0</v>
      </c>
      <c r="M425" s="83">
        <f aca="true" t="shared" si="28" ref="M425:M430">K425*(1+L425/100)</f>
        <v>10</v>
      </c>
      <c r="N425" s="84"/>
      <c r="O425" s="85">
        <f aca="true" t="shared" si="29" ref="O425:O430">M425*N425</f>
        <v>0</v>
      </c>
    </row>
    <row r="426" spans="6:15" s="70" customFormat="1" ht="12.75" customHeight="1" outlineLevel="1">
      <c r="F426" s="77">
        <v>355</v>
      </c>
      <c r="G426" s="78" t="s">
        <v>35</v>
      </c>
      <c r="H426" s="79" t="s">
        <v>600</v>
      </c>
      <c r="I426" s="80" t="s">
        <v>601</v>
      </c>
      <c r="J426" s="78" t="s">
        <v>43</v>
      </c>
      <c r="K426" s="81">
        <v>4</v>
      </c>
      <c r="L426" s="82">
        <v>0</v>
      </c>
      <c r="M426" s="83">
        <f t="shared" si="28"/>
        <v>4</v>
      </c>
      <c r="N426" s="84"/>
      <c r="O426" s="85">
        <f t="shared" si="29"/>
        <v>0</v>
      </c>
    </row>
    <row r="427" spans="6:15" s="70" customFormat="1" ht="12.75" customHeight="1" outlineLevel="1">
      <c r="F427" s="77">
        <v>356</v>
      </c>
      <c r="G427" s="78" t="s">
        <v>35</v>
      </c>
      <c r="H427" s="79" t="s">
        <v>602</v>
      </c>
      <c r="I427" s="80" t="s">
        <v>603</v>
      </c>
      <c r="J427" s="78" t="s">
        <v>217</v>
      </c>
      <c r="K427" s="81">
        <v>2</v>
      </c>
      <c r="L427" s="82">
        <v>0</v>
      </c>
      <c r="M427" s="83">
        <f t="shared" si="28"/>
        <v>2</v>
      </c>
      <c r="N427" s="84"/>
      <c r="O427" s="85">
        <f t="shared" si="29"/>
        <v>0</v>
      </c>
    </row>
    <row r="428" spans="6:15" s="70" customFormat="1" ht="12.75" customHeight="1" outlineLevel="1">
      <c r="F428" s="77">
        <v>357</v>
      </c>
      <c r="G428" s="78" t="s">
        <v>35</v>
      </c>
      <c r="H428" s="79" t="s">
        <v>604</v>
      </c>
      <c r="I428" s="80" t="s">
        <v>605</v>
      </c>
      <c r="J428" s="78" t="s">
        <v>217</v>
      </c>
      <c r="K428" s="81">
        <v>2</v>
      </c>
      <c r="L428" s="82">
        <v>0</v>
      </c>
      <c r="M428" s="83">
        <f t="shared" si="28"/>
        <v>2</v>
      </c>
      <c r="N428" s="84"/>
      <c r="O428" s="85">
        <f t="shared" si="29"/>
        <v>0</v>
      </c>
    </row>
    <row r="429" spans="6:15" s="70" customFormat="1" ht="12.75" customHeight="1" outlineLevel="1">
      <c r="F429" s="77">
        <v>358</v>
      </c>
      <c r="G429" s="78" t="s">
        <v>35</v>
      </c>
      <c r="H429" s="79" t="s">
        <v>606</v>
      </c>
      <c r="I429" s="80" t="s">
        <v>607</v>
      </c>
      <c r="J429" s="78" t="s">
        <v>43</v>
      </c>
      <c r="K429" s="81">
        <v>8</v>
      </c>
      <c r="L429" s="82">
        <v>0</v>
      </c>
      <c r="M429" s="83">
        <f t="shared" si="28"/>
        <v>8</v>
      </c>
      <c r="N429" s="84"/>
      <c r="O429" s="85">
        <f t="shared" si="29"/>
        <v>0</v>
      </c>
    </row>
    <row r="430" spans="6:15" s="70" customFormat="1" ht="12.75" customHeight="1" outlineLevel="1">
      <c r="F430" s="77">
        <v>359</v>
      </c>
      <c r="G430" s="78" t="s">
        <v>35</v>
      </c>
      <c r="H430" s="79" t="s">
        <v>608</v>
      </c>
      <c r="I430" s="80" t="s">
        <v>609</v>
      </c>
      <c r="J430" s="78" t="s">
        <v>43</v>
      </c>
      <c r="K430" s="81">
        <v>2</v>
      </c>
      <c r="L430" s="82">
        <v>0</v>
      </c>
      <c r="M430" s="83">
        <f t="shared" si="28"/>
        <v>2</v>
      </c>
      <c r="N430" s="84"/>
      <c r="O430" s="85">
        <f t="shared" si="29"/>
        <v>0</v>
      </c>
    </row>
    <row r="431" spans="6:15" s="70" customFormat="1" ht="12.75" customHeight="1" outlineLevel="1">
      <c r="F431" s="98"/>
      <c r="G431" s="99"/>
      <c r="H431" s="92"/>
      <c r="I431" s="113"/>
      <c r="J431" s="99"/>
      <c r="K431" s="114"/>
      <c r="L431" s="90"/>
      <c r="M431" s="91"/>
      <c r="N431" s="117"/>
      <c r="O431" s="115"/>
    </row>
    <row r="432" spans="6:15" s="70" customFormat="1" ht="16.5" customHeight="1" outlineLevel="1">
      <c r="F432" s="98"/>
      <c r="G432" s="99"/>
      <c r="H432" s="92"/>
      <c r="I432" s="72" t="s">
        <v>11</v>
      </c>
      <c r="J432" s="99"/>
      <c r="K432" s="114"/>
      <c r="L432" s="90"/>
      <c r="M432" s="91"/>
      <c r="N432" s="90"/>
      <c r="O432" s="8">
        <f>SUM(O433:O475)</f>
        <v>0</v>
      </c>
    </row>
    <row r="433" spans="6:15" s="70" customFormat="1" ht="12.75" customHeight="1" outlineLevel="1">
      <c r="F433" s="77">
        <v>360</v>
      </c>
      <c r="G433" s="78" t="s">
        <v>192</v>
      </c>
      <c r="H433" s="79"/>
      <c r="I433" s="124" t="s">
        <v>610</v>
      </c>
      <c r="J433" s="78" t="s">
        <v>69</v>
      </c>
      <c r="K433" s="81">
        <v>98</v>
      </c>
      <c r="L433" s="82">
        <v>0</v>
      </c>
      <c r="M433" s="83">
        <f>K433*(1+L433/100)</f>
        <v>98</v>
      </c>
      <c r="N433" s="84"/>
      <c r="O433" s="85">
        <f>K433*N433</f>
        <v>0</v>
      </c>
    </row>
    <row r="434" spans="6:15" s="70" customFormat="1" ht="12.75" customHeight="1" outlineLevel="1">
      <c r="F434" s="77">
        <v>361</v>
      </c>
      <c r="G434" s="78" t="s">
        <v>192</v>
      </c>
      <c r="H434" s="79"/>
      <c r="I434" s="124" t="s">
        <v>611</v>
      </c>
      <c r="J434" s="78" t="s">
        <v>69</v>
      </c>
      <c r="K434" s="81">
        <v>408</v>
      </c>
      <c r="L434" s="82">
        <v>0</v>
      </c>
      <c r="M434" s="83">
        <f aca="true" t="shared" si="30" ref="M434:M475">K434*(1+L434/100)</f>
        <v>408</v>
      </c>
      <c r="N434" s="84"/>
      <c r="O434" s="85">
        <f aca="true" t="shared" si="31" ref="O434:O475">K434*N434</f>
        <v>0</v>
      </c>
    </row>
    <row r="435" spans="6:15" s="70" customFormat="1" ht="12.75" customHeight="1" outlineLevel="1">
      <c r="F435" s="77">
        <v>362</v>
      </c>
      <c r="G435" s="78" t="s">
        <v>192</v>
      </c>
      <c r="H435" s="79"/>
      <c r="I435" s="80" t="s">
        <v>612</v>
      </c>
      <c r="J435" s="78" t="s">
        <v>69</v>
      </c>
      <c r="K435" s="81">
        <v>476</v>
      </c>
      <c r="L435" s="82">
        <v>0</v>
      </c>
      <c r="M435" s="83">
        <f t="shared" si="30"/>
        <v>476</v>
      </c>
      <c r="N435" s="84"/>
      <c r="O435" s="85">
        <f t="shared" si="31"/>
        <v>0</v>
      </c>
    </row>
    <row r="436" spans="6:15" s="70" customFormat="1" ht="12.75" customHeight="1" outlineLevel="1">
      <c r="F436" s="77">
        <v>363</v>
      </c>
      <c r="G436" s="78" t="s">
        <v>192</v>
      </c>
      <c r="H436" s="79"/>
      <c r="I436" s="80" t="s">
        <v>613</v>
      </c>
      <c r="J436" s="78" t="s">
        <v>69</v>
      </c>
      <c r="K436" s="81">
        <v>32</v>
      </c>
      <c r="L436" s="82">
        <v>0</v>
      </c>
      <c r="M436" s="83">
        <f t="shared" si="30"/>
        <v>32</v>
      </c>
      <c r="N436" s="84"/>
      <c r="O436" s="85">
        <f t="shared" si="31"/>
        <v>0</v>
      </c>
    </row>
    <row r="437" spans="6:15" s="70" customFormat="1" ht="12.75" customHeight="1" outlineLevel="1">
      <c r="F437" s="77">
        <v>364</v>
      </c>
      <c r="G437" s="78" t="s">
        <v>192</v>
      </c>
      <c r="H437" s="79"/>
      <c r="I437" s="80" t="s">
        <v>614</v>
      </c>
      <c r="J437" s="78" t="s">
        <v>43</v>
      </c>
      <c r="K437" s="81">
        <v>1</v>
      </c>
      <c r="L437" s="82">
        <v>0</v>
      </c>
      <c r="M437" s="83">
        <f t="shared" si="30"/>
        <v>1</v>
      </c>
      <c r="N437" s="84"/>
      <c r="O437" s="85">
        <f t="shared" si="31"/>
        <v>0</v>
      </c>
    </row>
    <row r="438" spans="6:15" s="70" customFormat="1" ht="12.75" customHeight="1" outlineLevel="1">
      <c r="F438" s="77">
        <v>365</v>
      </c>
      <c r="G438" s="78" t="s">
        <v>192</v>
      </c>
      <c r="H438" s="79"/>
      <c r="I438" s="80" t="s">
        <v>615</v>
      </c>
      <c r="J438" s="78" t="s">
        <v>616</v>
      </c>
      <c r="K438" s="81">
        <v>2000</v>
      </c>
      <c r="L438" s="82">
        <v>0</v>
      </c>
      <c r="M438" s="83">
        <f t="shared" si="30"/>
        <v>2000</v>
      </c>
      <c r="N438" s="84"/>
      <c r="O438" s="85">
        <f t="shared" si="31"/>
        <v>0</v>
      </c>
    </row>
    <row r="439" spans="6:15" s="70" customFormat="1" ht="12.75" customHeight="1" outlineLevel="1">
      <c r="F439" s="77">
        <v>366</v>
      </c>
      <c r="G439" s="78" t="s">
        <v>192</v>
      </c>
      <c r="H439" s="79"/>
      <c r="I439" s="80" t="s">
        <v>617</v>
      </c>
      <c r="J439" s="78" t="s">
        <v>43</v>
      </c>
      <c r="K439" s="81">
        <v>58</v>
      </c>
      <c r="L439" s="82">
        <v>0</v>
      </c>
      <c r="M439" s="83">
        <f t="shared" si="30"/>
        <v>58</v>
      </c>
      <c r="N439" s="84"/>
      <c r="O439" s="85">
        <f t="shared" si="31"/>
        <v>0</v>
      </c>
    </row>
    <row r="440" spans="6:15" s="70" customFormat="1" ht="12.75" customHeight="1" outlineLevel="1">
      <c r="F440" s="77">
        <v>367</v>
      </c>
      <c r="G440" s="78" t="s">
        <v>192</v>
      </c>
      <c r="H440" s="79"/>
      <c r="I440" s="80" t="s">
        <v>618</v>
      </c>
      <c r="J440" s="78" t="s">
        <v>43</v>
      </c>
      <c r="K440" s="81">
        <v>10</v>
      </c>
      <c r="L440" s="82">
        <v>0</v>
      </c>
      <c r="M440" s="83">
        <f t="shared" si="30"/>
        <v>10</v>
      </c>
      <c r="N440" s="84"/>
      <c r="O440" s="85">
        <f t="shared" si="31"/>
        <v>0</v>
      </c>
    </row>
    <row r="441" spans="6:15" s="70" customFormat="1" ht="12.75" customHeight="1" outlineLevel="1">
      <c r="F441" s="77">
        <v>368</v>
      </c>
      <c r="G441" s="78" t="s">
        <v>192</v>
      </c>
      <c r="H441" s="79"/>
      <c r="I441" s="80" t="s">
        <v>619</v>
      </c>
      <c r="J441" s="78" t="s">
        <v>43</v>
      </c>
      <c r="K441" s="81">
        <v>2</v>
      </c>
      <c r="L441" s="82">
        <v>0</v>
      </c>
      <c r="M441" s="83">
        <f t="shared" si="30"/>
        <v>2</v>
      </c>
      <c r="N441" s="84"/>
      <c r="O441" s="85">
        <f t="shared" si="31"/>
        <v>0</v>
      </c>
    </row>
    <row r="442" spans="6:15" s="70" customFormat="1" ht="12.75" customHeight="1" outlineLevel="1">
      <c r="F442" s="77">
        <v>369</v>
      </c>
      <c r="G442" s="78" t="s">
        <v>192</v>
      </c>
      <c r="H442" s="79"/>
      <c r="I442" s="80" t="s">
        <v>620</v>
      </c>
      <c r="J442" s="78" t="s">
        <v>43</v>
      </c>
      <c r="K442" s="81">
        <v>405</v>
      </c>
      <c r="L442" s="82">
        <v>0</v>
      </c>
      <c r="M442" s="83">
        <f t="shared" si="30"/>
        <v>405</v>
      </c>
      <c r="N442" s="84"/>
      <c r="O442" s="85">
        <f t="shared" si="31"/>
        <v>0</v>
      </c>
    </row>
    <row r="443" spans="6:15" s="70" customFormat="1" ht="12.75" customHeight="1" outlineLevel="1">
      <c r="F443" s="77">
        <v>370</v>
      </c>
      <c r="G443" s="78" t="s">
        <v>192</v>
      </c>
      <c r="H443" s="79"/>
      <c r="I443" s="80" t="s">
        <v>621</v>
      </c>
      <c r="J443" s="78" t="s">
        <v>43</v>
      </c>
      <c r="K443" s="81">
        <v>16</v>
      </c>
      <c r="L443" s="82">
        <v>0</v>
      </c>
      <c r="M443" s="83">
        <f t="shared" si="30"/>
        <v>16</v>
      </c>
      <c r="N443" s="84"/>
      <c r="O443" s="85">
        <f t="shared" si="31"/>
        <v>0</v>
      </c>
    </row>
    <row r="444" spans="6:15" s="70" customFormat="1" ht="12.75" customHeight="1" outlineLevel="1">
      <c r="F444" s="77">
        <v>371</v>
      </c>
      <c r="G444" s="78" t="s">
        <v>192</v>
      </c>
      <c r="H444" s="79"/>
      <c r="I444" s="80" t="s">
        <v>622</v>
      </c>
      <c r="J444" s="78" t="s">
        <v>43</v>
      </c>
      <c r="K444" s="81">
        <v>9</v>
      </c>
      <c r="L444" s="82">
        <v>0</v>
      </c>
      <c r="M444" s="83">
        <f t="shared" si="30"/>
        <v>9</v>
      </c>
      <c r="N444" s="84"/>
      <c r="O444" s="85">
        <f t="shared" si="31"/>
        <v>0</v>
      </c>
    </row>
    <row r="445" spans="6:15" s="70" customFormat="1" ht="12.75" customHeight="1" outlineLevel="1">
      <c r="F445" s="77">
        <v>372</v>
      </c>
      <c r="G445" s="78" t="s">
        <v>192</v>
      </c>
      <c r="H445" s="79"/>
      <c r="I445" s="80" t="s">
        <v>623</v>
      </c>
      <c r="J445" s="78" t="s">
        <v>43</v>
      </c>
      <c r="K445" s="81">
        <v>119</v>
      </c>
      <c r="L445" s="82">
        <v>0</v>
      </c>
      <c r="M445" s="83">
        <f t="shared" si="30"/>
        <v>119</v>
      </c>
      <c r="N445" s="84"/>
      <c r="O445" s="85">
        <f t="shared" si="31"/>
        <v>0</v>
      </c>
    </row>
    <row r="446" spans="6:15" s="70" customFormat="1" ht="12.75" customHeight="1" outlineLevel="1">
      <c r="F446" s="77">
        <v>373</v>
      </c>
      <c r="G446" s="78" t="s">
        <v>192</v>
      </c>
      <c r="H446" s="79"/>
      <c r="I446" s="80" t="s">
        <v>624</v>
      </c>
      <c r="J446" s="78" t="s">
        <v>43</v>
      </c>
      <c r="K446" s="81">
        <f>K447</f>
        <v>1014</v>
      </c>
      <c r="L446" s="82">
        <v>0</v>
      </c>
      <c r="M446" s="83">
        <f t="shared" si="30"/>
        <v>1014</v>
      </c>
      <c r="N446" s="84"/>
      <c r="O446" s="85">
        <f t="shared" si="31"/>
        <v>0</v>
      </c>
    </row>
    <row r="447" spans="6:15" s="70" customFormat="1" ht="12.75" customHeight="1" outlineLevel="1">
      <c r="F447" s="77">
        <v>374</v>
      </c>
      <c r="G447" s="78" t="s">
        <v>192</v>
      </c>
      <c r="H447" s="79"/>
      <c r="I447" s="80" t="s">
        <v>625</v>
      </c>
      <c r="J447" s="78" t="s">
        <v>69</v>
      </c>
      <c r="K447" s="81">
        <f>K433+K434+K435+K436</f>
        <v>1014</v>
      </c>
      <c r="L447" s="82">
        <v>0</v>
      </c>
      <c r="M447" s="83">
        <f t="shared" si="30"/>
        <v>1014</v>
      </c>
      <c r="N447" s="84"/>
      <c r="O447" s="85">
        <f t="shared" si="31"/>
        <v>0</v>
      </c>
    </row>
    <row r="448" spans="6:15" s="70" customFormat="1" ht="12.75" customHeight="1" outlineLevel="1">
      <c r="F448" s="77">
        <v>375</v>
      </c>
      <c r="G448" s="78" t="s">
        <v>192</v>
      </c>
      <c r="H448" s="79"/>
      <c r="I448" s="80" t="s">
        <v>626</v>
      </c>
      <c r="J448" s="78" t="s">
        <v>69</v>
      </c>
      <c r="K448" s="81">
        <f>K447</f>
        <v>1014</v>
      </c>
      <c r="L448" s="82">
        <v>0</v>
      </c>
      <c r="M448" s="83">
        <f t="shared" si="30"/>
        <v>1014</v>
      </c>
      <c r="N448" s="84"/>
      <c r="O448" s="85">
        <f t="shared" si="31"/>
        <v>0</v>
      </c>
    </row>
    <row r="449" spans="6:15" s="70" customFormat="1" ht="12.75" customHeight="1" outlineLevel="1">
      <c r="F449" s="77">
        <v>376</v>
      </c>
      <c r="G449" s="78" t="s">
        <v>192</v>
      </c>
      <c r="H449" s="79"/>
      <c r="I449" s="80" t="s">
        <v>627</v>
      </c>
      <c r="J449" s="78" t="s">
        <v>43</v>
      </c>
      <c r="K449" s="81">
        <v>4</v>
      </c>
      <c r="L449" s="82">
        <v>0</v>
      </c>
      <c r="M449" s="83">
        <f t="shared" si="30"/>
        <v>4</v>
      </c>
      <c r="N449" s="84"/>
      <c r="O449" s="85">
        <f t="shared" si="31"/>
        <v>0</v>
      </c>
    </row>
    <row r="450" spans="6:15" s="70" customFormat="1" ht="12.75" customHeight="1" outlineLevel="1">
      <c r="F450" s="77">
        <v>377</v>
      </c>
      <c r="G450" s="78" t="s">
        <v>192</v>
      </c>
      <c r="H450" s="79"/>
      <c r="I450" s="80" t="s">
        <v>628</v>
      </c>
      <c r="J450" s="78" t="s">
        <v>43</v>
      </c>
      <c r="K450" s="81">
        <v>20</v>
      </c>
      <c r="L450" s="82">
        <v>0</v>
      </c>
      <c r="M450" s="83">
        <f t="shared" si="30"/>
        <v>20</v>
      </c>
      <c r="N450" s="84"/>
      <c r="O450" s="85">
        <f t="shared" si="31"/>
        <v>0</v>
      </c>
    </row>
    <row r="451" spans="6:15" s="70" customFormat="1" ht="12.75" customHeight="1" outlineLevel="1">
      <c r="F451" s="77">
        <v>378</v>
      </c>
      <c r="G451" s="78" t="s">
        <v>192</v>
      </c>
      <c r="H451" s="79"/>
      <c r="I451" s="80" t="s">
        <v>629</v>
      </c>
      <c r="J451" s="78" t="s">
        <v>43</v>
      </c>
      <c r="K451" s="81">
        <v>4</v>
      </c>
      <c r="L451" s="82">
        <v>0</v>
      </c>
      <c r="M451" s="83">
        <f t="shared" si="30"/>
        <v>4</v>
      </c>
      <c r="N451" s="84"/>
      <c r="O451" s="85">
        <f t="shared" si="31"/>
        <v>0</v>
      </c>
    </row>
    <row r="452" spans="6:15" s="70" customFormat="1" ht="12.75" customHeight="1" outlineLevel="1">
      <c r="F452" s="77">
        <v>379</v>
      </c>
      <c r="G452" s="78" t="s">
        <v>192</v>
      </c>
      <c r="H452" s="79"/>
      <c r="I452" s="80" t="s">
        <v>630</v>
      </c>
      <c r="J452" s="78" t="s">
        <v>43</v>
      </c>
      <c r="K452" s="81">
        <v>3</v>
      </c>
      <c r="L452" s="82">
        <v>0</v>
      </c>
      <c r="M452" s="83">
        <f t="shared" si="30"/>
        <v>3</v>
      </c>
      <c r="N452" s="84"/>
      <c r="O452" s="85">
        <f t="shared" si="31"/>
        <v>0</v>
      </c>
    </row>
    <row r="453" spans="6:15" s="70" customFormat="1" ht="12.75" customHeight="1" outlineLevel="1">
      <c r="F453" s="77">
        <v>380</v>
      </c>
      <c r="G453" s="78" t="s">
        <v>192</v>
      </c>
      <c r="H453" s="79"/>
      <c r="I453" s="80" t="s">
        <v>631</v>
      </c>
      <c r="J453" s="78" t="s">
        <v>43</v>
      </c>
      <c r="K453" s="81">
        <v>1</v>
      </c>
      <c r="L453" s="82">
        <v>0</v>
      </c>
      <c r="M453" s="83">
        <f t="shared" si="30"/>
        <v>1</v>
      </c>
      <c r="N453" s="84"/>
      <c r="O453" s="85">
        <f t="shared" si="31"/>
        <v>0</v>
      </c>
    </row>
    <row r="454" spans="6:15" s="70" customFormat="1" ht="12.75" customHeight="1" outlineLevel="1">
      <c r="F454" s="77">
        <v>381</v>
      </c>
      <c r="G454" s="78" t="s">
        <v>192</v>
      </c>
      <c r="H454" s="79"/>
      <c r="I454" s="80" t="s">
        <v>632</v>
      </c>
      <c r="J454" s="78" t="s">
        <v>43</v>
      </c>
      <c r="K454" s="81">
        <v>8</v>
      </c>
      <c r="L454" s="82">
        <v>0</v>
      </c>
      <c r="M454" s="83">
        <f t="shared" si="30"/>
        <v>8</v>
      </c>
      <c r="N454" s="84"/>
      <c r="O454" s="85">
        <f t="shared" si="31"/>
        <v>0</v>
      </c>
    </row>
    <row r="455" spans="6:15" s="70" customFormat="1" ht="12.75" customHeight="1" outlineLevel="1">
      <c r="F455" s="77">
        <v>382</v>
      </c>
      <c r="G455" s="78" t="s">
        <v>192</v>
      </c>
      <c r="H455" s="79"/>
      <c r="I455" s="80" t="s">
        <v>633</v>
      </c>
      <c r="J455" s="78" t="s">
        <v>43</v>
      </c>
      <c r="K455" s="81">
        <v>3</v>
      </c>
      <c r="L455" s="82">
        <v>0</v>
      </c>
      <c r="M455" s="83">
        <f t="shared" si="30"/>
        <v>3</v>
      </c>
      <c r="N455" s="84"/>
      <c r="O455" s="85">
        <f t="shared" si="31"/>
        <v>0</v>
      </c>
    </row>
    <row r="456" spans="6:15" s="70" customFormat="1" ht="12.75" customHeight="1" outlineLevel="1">
      <c r="F456" s="77">
        <v>383</v>
      </c>
      <c r="G456" s="78" t="s">
        <v>192</v>
      </c>
      <c r="H456" s="79"/>
      <c r="I456" s="80" t="s">
        <v>634</v>
      </c>
      <c r="J456" s="78" t="s">
        <v>43</v>
      </c>
      <c r="K456" s="81">
        <v>1</v>
      </c>
      <c r="L456" s="82">
        <v>0</v>
      </c>
      <c r="M456" s="83">
        <f t="shared" si="30"/>
        <v>1</v>
      </c>
      <c r="N456" s="84"/>
      <c r="O456" s="85">
        <f t="shared" si="31"/>
        <v>0</v>
      </c>
    </row>
    <row r="457" spans="6:15" s="70" customFormat="1" ht="12.75" customHeight="1" outlineLevel="1">
      <c r="F457" s="77">
        <v>384</v>
      </c>
      <c r="G457" s="78" t="s">
        <v>192</v>
      </c>
      <c r="H457" s="79"/>
      <c r="I457" s="80" t="s">
        <v>635</v>
      </c>
      <c r="J457" s="78" t="s">
        <v>43</v>
      </c>
      <c r="K457" s="81">
        <v>3</v>
      </c>
      <c r="L457" s="82">
        <v>0</v>
      </c>
      <c r="M457" s="83">
        <f t="shared" si="30"/>
        <v>3</v>
      </c>
      <c r="N457" s="84"/>
      <c r="O457" s="85">
        <f t="shared" si="31"/>
        <v>0</v>
      </c>
    </row>
    <row r="458" spans="6:15" s="70" customFormat="1" ht="12.75" customHeight="1" outlineLevel="1">
      <c r="F458" s="77">
        <v>385</v>
      </c>
      <c r="G458" s="78" t="s">
        <v>192</v>
      </c>
      <c r="H458" s="79"/>
      <c r="I458" s="80" t="s">
        <v>636</v>
      </c>
      <c r="J458" s="78" t="s">
        <v>43</v>
      </c>
      <c r="K458" s="81">
        <v>1</v>
      </c>
      <c r="L458" s="82">
        <v>0</v>
      </c>
      <c r="M458" s="83">
        <f t="shared" si="30"/>
        <v>1</v>
      </c>
      <c r="N458" s="84"/>
      <c r="O458" s="85">
        <f t="shared" si="31"/>
        <v>0</v>
      </c>
    </row>
    <row r="459" spans="6:15" s="70" customFormat="1" ht="22.8" outlineLevel="1">
      <c r="F459" s="77">
        <v>386</v>
      </c>
      <c r="G459" s="78" t="s">
        <v>192</v>
      </c>
      <c r="H459" s="79"/>
      <c r="I459" s="80" t="s">
        <v>637</v>
      </c>
      <c r="J459" s="78" t="s">
        <v>43</v>
      </c>
      <c r="K459" s="81">
        <v>4</v>
      </c>
      <c r="L459" s="82">
        <v>0</v>
      </c>
      <c r="M459" s="83">
        <f t="shared" si="30"/>
        <v>4</v>
      </c>
      <c r="N459" s="84"/>
      <c r="O459" s="85">
        <f t="shared" si="31"/>
        <v>0</v>
      </c>
    </row>
    <row r="460" spans="6:15" s="70" customFormat="1" ht="12.75" customHeight="1" outlineLevel="1">
      <c r="F460" s="77">
        <v>387</v>
      </c>
      <c r="G460" s="78" t="s">
        <v>192</v>
      </c>
      <c r="H460" s="79"/>
      <c r="I460" s="80" t="s">
        <v>638</v>
      </c>
      <c r="J460" s="78" t="s">
        <v>43</v>
      </c>
      <c r="K460" s="81">
        <v>4</v>
      </c>
      <c r="L460" s="82">
        <v>0</v>
      </c>
      <c r="M460" s="83">
        <f t="shared" si="30"/>
        <v>4</v>
      </c>
      <c r="N460" s="84"/>
      <c r="O460" s="85">
        <f t="shared" si="31"/>
        <v>0</v>
      </c>
    </row>
    <row r="461" spans="6:15" s="70" customFormat="1" ht="12" outlineLevel="1">
      <c r="F461" s="77">
        <v>388</v>
      </c>
      <c r="G461" s="78" t="s">
        <v>192</v>
      </c>
      <c r="H461" s="79"/>
      <c r="I461" s="80" t="s">
        <v>639</v>
      </c>
      <c r="J461" s="78" t="s">
        <v>69</v>
      </c>
      <c r="K461" s="81">
        <v>440</v>
      </c>
      <c r="L461" s="82">
        <v>0</v>
      </c>
      <c r="M461" s="83">
        <f t="shared" si="30"/>
        <v>440</v>
      </c>
      <c r="N461" s="84"/>
      <c r="O461" s="85">
        <f t="shared" si="31"/>
        <v>0</v>
      </c>
    </row>
    <row r="462" spans="6:15" s="70" customFormat="1" ht="12" outlineLevel="1">
      <c r="F462" s="77">
        <v>389</v>
      </c>
      <c r="G462" s="78" t="s">
        <v>192</v>
      </c>
      <c r="H462" s="79"/>
      <c r="I462" s="80" t="s">
        <v>640</v>
      </c>
      <c r="J462" s="78" t="s">
        <v>43</v>
      </c>
      <c r="K462" s="81">
        <v>12</v>
      </c>
      <c r="L462" s="82">
        <v>0</v>
      </c>
      <c r="M462" s="83">
        <f t="shared" si="30"/>
        <v>12</v>
      </c>
      <c r="N462" s="84"/>
      <c r="O462" s="85">
        <f t="shared" si="31"/>
        <v>0</v>
      </c>
    </row>
    <row r="463" spans="6:15" s="70" customFormat="1" ht="57" outlineLevel="1">
      <c r="F463" s="77">
        <v>390</v>
      </c>
      <c r="G463" s="78" t="s">
        <v>192</v>
      </c>
      <c r="H463" s="79"/>
      <c r="I463" s="80" t="s">
        <v>641</v>
      </c>
      <c r="J463" s="78" t="s">
        <v>43</v>
      </c>
      <c r="K463" s="81">
        <v>5</v>
      </c>
      <c r="L463" s="82">
        <v>0</v>
      </c>
      <c r="M463" s="83">
        <f t="shared" si="30"/>
        <v>5</v>
      </c>
      <c r="N463" s="84"/>
      <c r="O463" s="85">
        <f t="shared" si="31"/>
        <v>0</v>
      </c>
    </row>
    <row r="464" spans="6:15" s="70" customFormat="1" ht="57" outlineLevel="1">
      <c r="F464" s="77">
        <v>391</v>
      </c>
      <c r="G464" s="78" t="s">
        <v>192</v>
      </c>
      <c r="H464" s="79"/>
      <c r="I464" s="80" t="s">
        <v>642</v>
      </c>
      <c r="J464" s="78" t="s">
        <v>43</v>
      </c>
      <c r="K464" s="81">
        <v>1</v>
      </c>
      <c r="L464" s="82">
        <v>0</v>
      </c>
      <c r="M464" s="83">
        <f t="shared" si="30"/>
        <v>1</v>
      </c>
      <c r="N464" s="84"/>
      <c r="O464" s="85">
        <f t="shared" si="31"/>
        <v>0</v>
      </c>
    </row>
    <row r="465" spans="6:15" s="70" customFormat="1" ht="57" outlineLevel="1">
      <c r="F465" s="77">
        <v>392</v>
      </c>
      <c r="G465" s="78" t="s">
        <v>192</v>
      </c>
      <c r="H465" s="79"/>
      <c r="I465" s="80" t="s">
        <v>643</v>
      </c>
      <c r="J465" s="78" t="s">
        <v>43</v>
      </c>
      <c r="K465" s="81">
        <v>2</v>
      </c>
      <c r="L465" s="82">
        <v>0</v>
      </c>
      <c r="M465" s="83">
        <f t="shared" si="30"/>
        <v>2</v>
      </c>
      <c r="N465" s="84"/>
      <c r="O465" s="85">
        <f t="shared" si="31"/>
        <v>0</v>
      </c>
    </row>
    <row r="466" spans="6:15" s="70" customFormat="1" ht="12.75" customHeight="1" outlineLevel="1">
      <c r="F466" s="77">
        <v>393</v>
      </c>
      <c r="G466" s="78" t="s">
        <v>192</v>
      </c>
      <c r="H466" s="79"/>
      <c r="I466" s="80" t="s">
        <v>644</v>
      </c>
      <c r="J466" s="78" t="s">
        <v>43</v>
      </c>
      <c r="K466" s="81">
        <v>2</v>
      </c>
      <c r="L466" s="82">
        <v>0</v>
      </c>
      <c r="M466" s="83">
        <f t="shared" si="30"/>
        <v>2</v>
      </c>
      <c r="N466" s="84"/>
      <c r="O466" s="85">
        <f t="shared" si="31"/>
        <v>0</v>
      </c>
    </row>
    <row r="467" spans="6:15" s="70" customFormat="1" ht="12.75" customHeight="1" outlineLevel="1">
      <c r="F467" s="77">
        <v>394</v>
      </c>
      <c r="G467" s="78" t="s">
        <v>192</v>
      </c>
      <c r="H467" s="79"/>
      <c r="I467" s="80" t="s">
        <v>645</v>
      </c>
      <c r="J467" s="78" t="s">
        <v>69</v>
      </c>
      <c r="K467" s="81">
        <v>500</v>
      </c>
      <c r="L467" s="82">
        <v>0</v>
      </c>
      <c r="M467" s="83">
        <f t="shared" si="30"/>
        <v>500</v>
      </c>
      <c r="N467" s="84"/>
      <c r="O467" s="85">
        <f t="shared" si="31"/>
        <v>0</v>
      </c>
    </row>
    <row r="468" spans="6:15" s="70" customFormat="1" ht="12.75" customHeight="1" outlineLevel="1">
      <c r="F468" s="77">
        <v>395</v>
      </c>
      <c r="G468" s="78" t="s">
        <v>192</v>
      </c>
      <c r="H468" s="79"/>
      <c r="I468" s="80" t="s">
        <v>646</v>
      </c>
      <c r="J468" s="78" t="s">
        <v>43</v>
      </c>
      <c r="K468" s="81">
        <v>1</v>
      </c>
      <c r="L468" s="82">
        <v>0</v>
      </c>
      <c r="M468" s="83">
        <f t="shared" si="30"/>
        <v>1</v>
      </c>
      <c r="N468" s="84"/>
      <c r="O468" s="85">
        <f t="shared" si="31"/>
        <v>0</v>
      </c>
    </row>
    <row r="469" spans="6:15" s="70" customFormat="1" ht="12.75" customHeight="1" outlineLevel="1">
      <c r="F469" s="77">
        <v>396</v>
      </c>
      <c r="G469" s="78" t="s">
        <v>192</v>
      </c>
      <c r="H469" s="79"/>
      <c r="I469" s="80" t="s">
        <v>647</v>
      </c>
      <c r="J469" s="78" t="s">
        <v>43</v>
      </c>
      <c r="K469" s="81">
        <v>1</v>
      </c>
      <c r="L469" s="82">
        <v>0</v>
      </c>
      <c r="M469" s="83">
        <f t="shared" si="30"/>
        <v>1</v>
      </c>
      <c r="N469" s="84"/>
      <c r="O469" s="85">
        <f t="shared" si="31"/>
        <v>0</v>
      </c>
    </row>
    <row r="470" spans="6:15" s="70" customFormat="1" ht="12.75" customHeight="1" outlineLevel="1">
      <c r="F470" s="77">
        <v>397</v>
      </c>
      <c r="G470" s="78" t="s">
        <v>192</v>
      </c>
      <c r="H470" s="79"/>
      <c r="I470" s="80" t="s">
        <v>648</v>
      </c>
      <c r="J470" s="78" t="s">
        <v>43</v>
      </c>
      <c r="K470" s="81">
        <v>1</v>
      </c>
      <c r="L470" s="82">
        <v>0</v>
      </c>
      <c r="M470" s="83">
        <f t="shared" si="30"/>
        <v>1</v>
      </c>
      <c r="N470" s="84"/>
      <c r="O470" s="85">
        <f t="shared" si="31"/>
        <v>0</v>
      </c>
    </row>
    <row r="471" spans="6:15" s="70" customFormat="1" ht="12.75" customHeight="1" outlineLevel="1">
      <c r="F471" s="77">
        <v>398</v>
      </c>
      <c r="G471" s="78" t="s">
        <v>192</v>
      </c>
      <c r="H471" s="79"/>
      <c r="I471" s="80" t="s">
        <v>649</v>
      </c>
      <c r="J471" s="78" t="s">
        <v>43</v>
      </c>
      <c r="K471" s="81">
        <v>1</v>
      </c>
      <c r="L471" s="82">
        <v>0</v>
      </c>
      <c r="M471" s="83">
        <f t="shared" si="30"/>
        <v>1</v>
      </c>
      <c r="N471" s="84"/>
      <c r="O471" s="85">
        <f t="shared" si="31"/>
        <v>0</v>
      </c>
    </row>
    <row r="472" spans="6:15" s="70" customFormat="1" ht="12.75" customHeight="1" outlineLevel="1">
      <c r="F472" s="77">
        <v>399</v>
      </c>
      <c r="G472" s="78" t="s">
        <v>192</v>
      </c>
      <c r="H472" s="79"/>
      <c r="I472" s="80" t="s">
        <v>650</v>
      </c>
      <c r="J472" s="78" t="s">
        <v>43</v>
      </c>
      <c r="K472" s="81">
        <v>1</v>
      </c>
      <c r="L472" s="82">
        <v>0</v>
      </c>
      <c r="M472" s="83">
        <f t="shared" si="30"/>
        <v>1</v>
      </c>
      <c r="N472" s="84"/>
      <c r="O472" s="85">
        <f t="shared" si="31"/>
        <v>0</v>
      </c>
    </row>
    <row r="473" spans="6:15" s="70" customFormat="1" ht="12.75" customHeight="1" outlineLevel="1">
      <c r="F473" s="77">
        <v>400</v>
      </c>
      <c r="G473" s="78" t="s">
        <v>192</v>
      </c>
      <c r="H473" s="79"/>
      <c r="I473" s="80" t="s">
        <v>651</v>
      </c>
      <c r="J473" s="78" t="s">
        <v>652</v>
      </c>
      <c r="K473" s="81">
        <v>1</v>
      </c>
      <c r="L473" s="82">
        <v>0</v>
      </c>
      <c r="M473" s="83">
        <f t="shared" si="30"/>
        <v>1</v>
      </c>
      <c r="N473" s="84"/>
      <c r="O473" s="85">
        <f t="shared" si="31"/>
        <v>0</v>
      </c>
    </row>
    <row r="474" spans="6:15" s="70" customFormat="1" ht="12.75" customHeight="1" outlineLevel="1">
      <c r="F474" s="77">
        <v>401</v>
      </c>
      <c r="G474" s="78" t="s">
        <v>192</v>
      </c>
      <c r="H474" s="79"/>
      <c r="I474" s="80" t="s">
        <v>653</v>
      </c>
      <c r="J474" s="78" t="s">
        <v>652</v>
      </c>
      <c r="K474" s="81">
        <v>1</v>
      </c>
      <c r="L474" s="82">
        <v>0</v>
      </c>
      <c r="M474" s="83">
        <f t="shared" si="30"/>
        <v>1</v>
      </c>
      <c r="N474" s="84"/>
      <c r="O474" s="85">
        <f t="shared" si="31"/>
        <v>0</v>
      </c>
    </row>
    <row r="475" spans="6:15" s="70" customFormat="1" ht="12.75" customHeight="1" outlineLevel="1">
      <c r="F475" s="77">
        <v>402</v>
      </c>
      <c r="G475" s="78" t="s">
        <v>192</v>
      </c>
      <c r="H475" s="79"/>
      <c r="I475" s="80" t="s">
        <v>654</v>
      </c>
      <c r="J475" s="78" t="s">
        <v>652</v>
      </c>
      <c r="K475" s="81">
        <v>1</v>
      </c>
      <c r="L475" s="82">
        <v>0</v>
      </c>
      <c r="M475" s="83">
        <f t="shared" si="30"/>
        <v>1</v>
      </c>
      <c r="N475" s="84"/>
      <c r="O475" s="85">
        <f t="shared" si="31"/>
        <v>0</v>
      </c>
    </row>
    <row r="476" spans="6:15" s="70" customFormat="1" ht="12.75" customHeight="1" outlineLevel="1">
      <c r="F476" s="98"/>
      <c r="G476" s="99"/>
      <c r="H476" s="92"/>
      <c r="I476" s="113"/>
      <c r="J476" s="99"/>
      <c r="K476" s="114"/>
      <c r="L476" s="90"/>
      <c r="M476" s="91"/>
      <c r="N476" s="117"/>
      <c r="O476" s="115"/>
    </row>
    <row r="477" spans="6:15" s="70" customFormat="1" ht="16.5" customHeight="1" outlineLevel="1">
      <c r="F477" s="98"/>
      <c r="G477" s="99"/>
      <c r="H477" s="92"/>
      <c r="I477" s="72" t="s">
        <v>12</v>
      </c>
      <c r="J477" s="99"/>
      <c r="K477" s="114"/>
      <c r="L477" s="90"/>
      <c r="M477" s="91"/>
      <c r="N477" s="90"/>
      <c r="O477" s="8">
        <f>SUM(O478:O497)</f>
        <v>0</v>
      </c>
    </row>
    <row r="478" spans="6:15" s="70" customFormat="1" ht="12.75" customHeight="1" outlineLevel="1">
      <c r="F478" s="77">
        <v>403</v>
      </c>
      <c r="G478" s="78" t="s">
        <v>192</v>
      </c>
      <c r="H478" s="79"/>
      <c r="I478" s="80" t="s">
        <v>655</v>
      </c>
      <c r="J478" s="78" t="s">
        <v>217</v>
      </c>
      <c r="K478" s="81">
        <v>3</v>
      </c>
      <c r="L478" s="82">
        <v>0</v>
      </c>
      <c r="M478" s="83">
        <f>K478*(1+L478/100)</f>
        <v>3</v>
      </c>
      <c r="N478" s="84"/>
      <c r="O478" s="85">
        <f>K478*N478</f>
        <v>0</v>
      </c>
    </row>
    <row r="479" spans="6:15" s="70" customFormat="1" ht="12.75" customHeight="1" outlineLevel="1">
      <c r="F479" s="77">
        <v>404</v>
      </c>
      <c r="G479" s="78" t="s">
        <v>192</v>
      </c>
      <c r="H479" s="79"/>
      <c r="I479" s="80" t="s">
        <v>656</v>
      </c>
      <c r="J479" s="78" t="s">
        <v>217</v>
      </c>
      <c r="K479" s="81">
        <v>3</v>
      </c>
      <c r="L479" s="82">
        <v>0</v>
      </c>
      <c r="M479" s="83">
        <f aca="true" t="shared" si="32" ref="M479:M497">K479*(1+L479/100)</f>
        <v>3</v>
      </c>
      <c r="N479" s="84"/>
      <c r="O479" s="85">
        <f aca="true" t="shared" si="33" ref="O479:O497">K479*N479</f>
        <v>0</v>
      </c>
    </row>
    <row r="480" spans="6:15" s="70" customFormat="1" ht="12.75" customHeight="1" outlineLevel="1">
      <c r="F480" s="77">
        <v>405</v>
      </c>
      <c r="G480" s="78" t="s">
        <v>192</v>
      </c>
      <c r="H480" s="79"/>
      <c r="I480" s="80" t="s">
        <v>657</v>
      </c>
      <c r="J480" s="78" t="s">
        <v>217</v>
      </c>
      <c r="K480" s="81">
        <v>3</v>
      </c>
      <c r="L480" s="82">
        <v>0</v>
      </c>
      <c r="M480" s="83">
        <f t="shared" si="32"/>
        <v>3</v>
      </c>
      <c r="N480" s="84"/>
      <c r="O480" s="85">
        <f t="shared" si="33"/>
        <v>0</v>
      </c>
    </row>
    <row r="481" spans="6:15" s="70" customFormat="1" ht="12.75" customHeight="1" outlineLevel="1">
      <c r="F481" s="77">
        <v>406</v>
      </c>
      <c r="G481" s="78" t="s">
        <v>192</v>
      </c>
      <c r="H481" s="79"/>
      <c r="I481" s="80" t="s">
        <v>658</v>
      </c>
      <c r="J481" s="78" t="s">
        <v>113</v>
      </c>
      <c r="K481" s="81">
        <v>1</v>
      </c>
      <c r="L481" s="82">
        <v>0</v>
      </c>
      <c r="M481" s="83">
        <f t="shared" si="32"/>
        <v>1</v>
      </c>
      <c r="N481" s="84"/>
      <c r="O481" s="85">
        <f t="shared" si="33"/>
        <v>0</v>
      </c>
    </row>
    <row r="482" spans="6:15" s="70" customFormat="1" ht="12.75" customHeight="1" outlineLevel="1">
      <c r="F482" s="77">
        <v>407</v>
      </c>
      <c r="G482" s="78" t="s">
        <v>192</v>
      </c>
      <c r="H482" s="79"/>
      <c r="I482" s="80" t="s">
        <v>659</v>
      </c>
      <c r="J482" s="78" t="s">
        <v>113</v>
      </c>
      <c r="K482" s="81">
        <v>1</v>
      </c>
      <c r="L482" s="82">
        <v>0</v>
      </c>
      <c r="M482" s="83">
        <f t="shared" si="32"/>
        <v>1</v>
      </c>
      <c r="N482" s="84"/>
      <c r="O482" s="85">
        <f t="shared" si="33"/>
        <v>0</v>
      </c>
    </row>
    <row r="483" spans="6:15" s="70" customFormat="1" ht="12.75" customHeight="1" outlineLevel="1">
      <c r="F483" s="77">
        <v>408</v>
      </c>
      <c r="G483" s="78" t="s">
        <v>192</v>
      </c>
      <c r="H483" s="79"/>
      <c r="I483" s="80" t="s">
        <v>660</v>
      </c>
      <c r="J483" s="78" t="s">
        <v>69</v>
      </c>
      <c r="K483" s="81">
        <v>90</v>
      </c>
      <c r="L483" s="82">
        <v>0</v>
      </c>
      <c r="M483" s="83">
        <f t="shared" si="32"/>
        <v>90</v>
      </c>
      <c r="N483" s="84"/>
      <c r="O483" s="85">
        <f t="shared" si="33"/>
        <v>0</v>
      </c>
    </row>
    <row r="484" spans="6:15" s="70" customFormat="1" ht="12.75" customHeight="1" outlineLevel="1">
      <c r="F484" s="77">
        <v>409</v>
      </c>
      <c r="G484" s="78" t="s">
        <v>192</v>
      </c>
      <c r="H484" s="79"/>
      <c r="I484" s="80" t="s">
        <v>661</v>
      </c>
      <c r="J484" s="78" t="s">
        <v>69</v>
      </c>
      <c r="K484" s="81">
        <v>185</v>
      </c>
      <c r="L484" s="82">
        <v>0</v>
      </c>
      <c r="M484" s="83">
        <f t="shared" si="32"/>
        <v>185</v>
      </c>
      <c r="N484" s="84"/>
      <c r="O484" s="85">
        <f t="shared" si="33"/>
        <v>0</v>
      </c>
    </row>
    <row r="485" spans="6:15" s="70" customFormat="1" ht="12.75" customHeight="1" outlineLevel="1">
      <c r="F485" s="77">
        <v>410</v>
      </c>
      <c r="G485" s="78" t="s">
        <v>192</v>
      </c>
      <c r="H485" s="79"/>
      <c r="I485" s="80" t="s">
        <v>662</v>
      </c>
      <c r="J485" s="78" t="s">
        <v>69</v>
      </c>
      <c r="K485" s="81">
        <v>85</v>
      </c>
      <c r="L485" s="82">
        <v>0</v>
      </c>
      <c r="M485" s="83">
        <f t="shared" si="32"/>
        <v>85</v>
      </c>
      <c r="N485" s="84"/>
      <c r="O485" s="85">
        <f t="shared" si="33"/>
        <v>0</v>
      </c>
    </row>
    <row r="486" spans="6:15" s="70" customFormat="1" ht="12.75" customHeight="1" outlineLevel="1">
      <c r="F486" s="77">
        <v>411</v>
      </c>
      <c r="G486" s="78" t="s">
        <v>192</v>
      </c>
      <c r="H486" s="79"/>
      <c r="I486" s="80" t="s">
        <v>663</v>
      </c>
      <c r="J486" s="78" t="s">
        <v>69</v>
      </c>
      <c r="K486" s="81">
        <v>20</v>
      </c>
      <c r="L486" s="82">
        <v>0</v>
      </c>
      <c r="M486" s="83">
        <f t="shared" si="32"/>
        <v>20</v>
      </c>
      <c r="N486" s="84"/>
      <c r="O486" s="85">
        <f t="shared" si="33"/>
        <v>0</v>
      </c>
    </row>
    <row r="487" spans="6:15" s="70" customFormat="1" ht="12.75" customHeight="1" outlineLevel="1">
      <c r="F487" s="77">
        <v>412</v>
      </c>
      <c r="G487" s="78" t="s">
        <v>192</v>
      </c>
      <c r="H487" s="79"/>
      <c r="I487" s="80" t="s">
        <v>664</v>
      </c>
      <c r="J487" s="78" t="s">
        <v>217</v>
      </c>
      <c r="K487" s="81">
        <v>500</v>
      </c>
      <c r="L487" s="82">
        <v>0</v>
      </c>
      <c r="M487" s="83">
        <f t="shared" si="32"/>
        <v>500</v>
      </c>
      <c r="N487" s="84"/>
      <c r="O487" s="85">
        <f t="shared" si="33"/>
        <v>0</v>
      </c>
    </row>
    <row r="488" spans="6:15" s="70" customFormat="1" ht="12.75" customHeight="1" outlineLevel="1">
      <c r="F488" s="77">
        <v>413</v>
      </c>
      <c r="G488" s="78" t="s">
        <v>192</v>
      </c>
      <c r="H488" s="79"/>
      <c r="I488" s="80" t="s">
        <v>665</v>
      </c>
      <c r="J488" s="78" t="s">
        <v>217</v>
      </c>
      <c r="K488" s="81">
        <v>2</v>
      </c>
      <c r="L488" s="82">
        <v>0</v>
      </c>
      <c r="M488" s="83">
        <f t="shared" si="32"/>
        <v>2</v>
      </c>
      <c r="N488" s="84"/>
      <c r="O488" s="85">
        <f t="shared" si="33"/>
        <v>0</v>
      </c>
    </row>
    <row r="489" spans="6:15" s="70" customFormat="1" ht="12.75" customHeight="1" outlineLevel="1">
      <c r="F489" s="77">
        <v>414</v>
      </c>
      <c r="G489" s="78" t="s">
        <v>192</v>
      </c>
      <c r="H489" s="79"/>
      <c r="I489" s="80" t="s">
        <v>666</v>
      </c>
      <c r="J489" s="78" t="s">
        <v>113</v>
      </c>
      <c r="K489" s="81">
        <v>1</v>
      </c>
      <c r="L489" s="82">
        <v>0</v>
      </c>
      <c r="M489" s="83">
        <f t="shared" si="32"/>
        <v>1</v>
      </c>
      <c r="N489" s="84"/>
      <c r="O489" s="85">
        <f t="shared" si="33"/>
        <v>0</v>
      </c>
    </row>
    <row r="490" spans="6:15" s="70" customFormat="1" ht="12.75" customHeight="1" outlineLevel="1">
      <c r="F490" s="77">
        <v>415</v>
      </c>
      <c r="G490" s="78" t="s">
        <v>192</v>
      </c>
      <c r="H490" s="79"/>
      <c r="I490" s="80" t="s">
        <v>667</v>
      </c>
      <c r="J490" s="78" t="s">
        <v>113</v>
      </c>
      <c r="K490" s="81">
        <v>1</v>
      </c>
      <c r="L490" s="82">
        <v>0</v>
      </c>
      <c r="M490" s="83">
        <f t="shared" si="32"/>
        <v>1</v>
      </c>
      <c r="N490" s="84"/>
      <c r="O490" s="85">
        <f t="shared" si="33"/>
        <v>0</v>
      </c>
    </row>
    <row r="491" spans="6:15" s="70" customFormat="1" ht="12.75" customHeight="1" outlineLevel="1">
      <c r="F491" s="77">
        <v>416</v>
      </c>
      <c r="G491" s="78" t="s">
        <v>192</v>
      </c>
      <c r="H491" s="79"/>
      <c r="I491" s="80" t="s">
        <v>668</v>
      </c>
      <c r="J491" s="78" t="s">
        <v>113</v>
      </c>
      <c r="K491" s="81">
        <v>1</v>
      </c>
      <c r="L491" s="82">
        <v>0</v>
      </c>
      <c r="M491" s="83">
        <f t="shared" si="32"/>
        <v>1</v>
      </c>
      <c r="N491" s="84"/>
      <c r="O491" s="85">
        <f t="shared" si="33"/>
        <v>0</v>
      </c>
    </row>
    <row r="492" spans="6:15" s="70" customFormat="1" ht="12.75" customHeight="1" outlineLevel="1">
      <c r="F492" s="77">
        <v>417</v>
      </c>
      <c r="G492" s="78" t="s">
        <v>192</v>
      </c>
      <c r="H492" s="79"/>
      <c r="I492" s="80" t="s">
        <v>669</v>
      </c>
      <c r="J492" s="78" t="s">
        <v>113</v>
      </c>
      <c r="K492" s="81">
        <v>1</v>
      </c>
      <c r="L492" s="82">
        <v>0</v>
      </c>
      <c r="M492" s="83">
        <f t="shared" si="32"/>
        <v>1</v>
      </c>
      <c r="N492" s="84"/>
      <c r="O492" s="85">
        <f t="shared" si="33"/>
        <v>0</v>
      </c>
    </row>
    <row r="493" spans="6:15" s="70" customFormat="1" ht="12.75" customHeight="1" outlineLevel="1">
      <c r="F493" s="77">
        <v>418</v>
      </c>
      <c r="G493" s="78" t="s">
        <v>192</v>
      </c>
      <c r="H493" s="79"/>
      <c r="I493" s="80" t="s">
        <v>670</v>
      </c>
      <c r="J493" s="78" t="s">
        <v>113</v>
      </c>
      <c r="K493" s="81">
        <v>1</v>
      </c>
      <c r="L493" s="82">
        <v>0</v>
      </c>
      <c r="M493" s="83">
        <f t="shared" si="32"/>
        <v>1</v>
      </c>
      <c r="N493" s="84"/>
      <c r="O493" s="85">
        <f t="shared" si="33"/>
        <v>0</v>
      </c>
    </row>
    <row r="494" spans="6:15" s="70" customFormat="1" ht="12.75" customHeight="1" outlineLevel="1">
      <c r="F494" s="77">
        <v>419</v>
      </c>
      <c r="G494" s="78" t="s">
        <v>192</v>
      </c>
      <c r="H494" s="79"/>
      <c r="I494" s="80" t="s">
        <v>671</v>
      </c>
      <c r="J494" s="78" t="s">
        <v>113</v>
      </c>
      <c r="K494" s="81">
        <v>1</v>
      </c>
      <c r="L494" s="82">
        <v>0</v>
      </c>
      <c r="M494" s="83">
        <f t="shared" si="32"/>
        <v>1</v>
      </c>
      <c r="N494" s="84"/>
      <c r="O494" s="85">
        <f t="shared" si="33"/>
        <v>0</v>
      </c>
    </row>
    <row r="495" spans="6:15" s="70" customFormat="1" ht="12.75" customHeight="1" outlineLevel="1">
      <c r="F495" s="77">
        <v>420</v>
      </c>
      <c r="G495" s="78" t="s">
        <v>192</v>
      </c>
      <c r="H495" s="79"/>
      <c r="I495" s="80" t="s">
        <v>672</v>
      </c>
      <c r="J495" s="78" t="s">
        <v>113</v>
      </c>
      <c r="K495" s="81">
        <v>1</v>
      </c>
      <c r="L495" s="82">
        <v>0</v>
      </c>
      <c r="M495" s="83">
        <f t="shared" si="32"/>
        <v>1</v>
      </c>
      <c r="N495" s="84"/>
      <c r="O495" s="85">
        <f t="shared" si="33"/>
        <v>0</v>
      </c>
    </row>
    <row r="496" spans="6:15" s="70" customFormat="1" ht="12.75" customHeight="1" outlineLevel="1">
      <c r="F496" s="77">
        <v>421</v>
      </c>
      <c r="G496" s="78" t="s">
        <v>192</v>
      </c>
      <c r="H496" s="79"/>
      <c r="I496" s="80" t="s">
        <v>673</v>
      </c>
      <c r="J496" s="78" t="s">
        <v>113</v>
      </c>
      <c r="K496" s="81">
        <v>1</v>
      </c>
      <c r="L496" s="82">
        <v>0</v>
      </c>
      <c r="M496" s="83">
        <f t="shared" si="32"/>
        <v>1</v>
      </c>
      <c r="N496" s="84"/>
      <c r="O496" s="85">
        <f t="shared" si="33"/>
        <v>0</v>
      </c>
    </row>
    <row r="497" spans="6:15" s="70" customFormat="1" ht="12.75" customHeight="1" outlineLevel="1">
      <c r="F497" s="77">
        <v>422</v>
      </c>
      <c r="G497" s="78" t="s">
        <v>35</v>
      </c>
      <c r="H497" s="79"/>
      <c r="I497" s="80" t="s">
        <v>674</v>
      </c>
      <c r="J497" s="78" t="s">
        <v>113</v>
      </c>
      <c r="K497" s="81">
        <v>1</v>
      </c>
      <c r="L497" s="82">
        <v>0</v>
      </c>
      <c r="M497" s="83">
        <f t="shared" si="32"/>
        <v>1</v>
      </c>
      <c r="N497" s="117"/>
      <c r="O497" s="85">
        <f t="shared" si="33"/>
        <v>0</v>
      </c>
    </row>
    <row r="498" spans="6:15" s="70" customFormat="1" ht="12.75" customHeight="1" outlineLevel="1">
      <c r="F498" s="98"/>
      <c r="G498" s="99"/>
      <c r="H498" s="92"/>
      <c r="I498" s="113"/>
      <c r="J498" s="99"/>
      <c r="K498" s="114"/>
      <c r="L498" s="90"/>
      <c r="M498" s="91"/>
      <c r="N498" s="117"/>
      <c r="O498" s="115"/>
    </row>
    <row r="499" spans="6:15" s="70" customFormat="1" ht="12.75" customHeight="1" outlineLevel="1">
      <c r="F499" s="98"/>
      <c r="G499" s="99"/>
      <c r="H499" s="92"/>
      <c r="I499" s="72" t="s">
        <v>13</v>
      </c>
      <c r="J499" s="99"/>
      <c r="K499" s="114"/>
      <c r="L499" s="90"/>
      <c r="M499" s="91"/>
      <c r="N499" s="90"/>
      <c r="O499" s="8">
        <f>SUM(O500:O568)</f>
        <v>0</v>
      </c>
    </row>
    <row r="500" spans="6:15" s="70" customFormat="1" ht="13.2" outlineLevel="1">
      <c r="F500" s="103"/>
      <c r="G500" s="104"/>
      <c r="H500" s="125">
        <v>100</v>
      </c>
      <c r="I500" s="126" t="s">
        <v>675</v>
      </c>
      <c r="J500" s="127"/>
      <c r="K500" s="128"/>
      <c r="L500" s="129"/>
      <c r="M500" s="89"/>
      <c r="N500" s="130"/>
      <c r="O500" s="131"/>
    </row>
    <row r="501" spans="6:15" s="70" customFormat="1" ht="22.8" outlineLevel="1">
      <c r="F501" s="77">
        <v>423</v>
      </c>
      <c r="G501" s="78" t="s">
        <v>192</v>
      </c>
      <c r="H501" s="132"/>
      <c r="I501" s="133" t="s">
        <v>676</v>
      </c>
      <c r="J501" s="134" t="s">
        <v>217</v>
      </c>
      <c r="K501" s="135">
        <v>1</v>
      </c>
      <c r="L501" s="82">
        <v>0</v>
      </c>
      <c r="M501" s="135">
        <f>K501*(1+L501/100)</f>
        <v>1</v>
      </c>
      <c r="N501" s="84"/>
      <c r="O501" s="85">
        <f aca="true" t="shared" si="34" ref="O501:O564">K501*N501</f>
        <v>0</v>
      </c>
    </row>
    <row r="502" spans="6:15" s="70" customFormat="1" ht="12" outlineLevel="1">
      <c r="F502" s="77">
        <v>424</v>
      </c>
      <c r="G502" s="78" t="s">
        <v>192</v>
      </c>
      <c r="H502" s="132"/>
      <c r="I502" s="133" t="s">
        <v>677</v>
      </c>
      <c r="J502" s="134" t="s">
        <v>217</v>
      </c>
      <c r="K502" s="135">
        <v>1</v>
      </c>
      <c r="L502" s="82">
        <v>0</v>
      </c>
      <c r="M502" s="135">
        <f aca="true" t="shared" si="35" ref="M502:M565">K502*(1+L502/100)</f>
        <v>1</v>
      </c>
      <c r="N502" s="84"/>
      <c r="O502" s="85">
        <f t="shared" si="34"/>
        <v>0</v>
      </c>
    </row>
    <row r="503" spans="6:15" s="70" customFormat="1" ht="12" outlineLevel="1">
      <c r="F503" s="77">
        <v>425</v>
      </c>
      <c r="G503" s="78" t="s">
        <v>192</v>
      </c>
      <c r="H503" s="132"/>
      <c r="I503" s="133" t="s">
        <v>678</v>
      </c>
      <c r="J503" s="134" t="s">
        <v>217</v>
      </c>
      <c r="K503" s="135">
        <v>1</v>
      </c>
      <c r="L503" s="82">
        <v>0</v>
      </c>
      <c r="M503" s="135">
        <f t="shared" si="35"/>
        <v>1</v>
      </c>
      <c r="N503" s="84"/>
      <c r="O503" s="85">
        <f t="shared" si="34"/>
        <v>0</v>
      </c>
    </row>
    <row r="504" spans="6:15" s="70" customFormat="1" ht="12" outlineLevel="1">
      <c r="F504" s="77">
        <v>426</v>
      </c>
      <c r="G504" s="78" t="s">
        <v>192</v>
      </c>
      <c r="H504" s="132"/>
      <c r="I504" s="133" t="s">
        <v>679</v>
      </c>
      <c r="J504" s="134" t="s">
        <v>217</v>
      </c>
      <c r="K504" s="135">
        <v>2</v>
      </c>
      <c r="L504" s="82">
        <v>0</v>
      </c>
      <c r="M504" s="135">
        <f t="shared" si="35"/>
        <v>2</v>
      </c>
      <c r="N504" s="84"/>
      <c r="O504" s="85">
        <f t="shared" si="34"/>
        <v>0</v>
      </c>
    </row>
    <row r="505" spans="6:15" s="70" customFormat="1" ht="12" outlineLevel="1">
      <c r="F505" s="77">
        <v>427</v>
      </c>
      <c r="G505" s="78" t="s">
        <v>192</v>
      </c>
      <c r="H505" s="132"/>
      <c r="I505" s="133" t="s">
        <v>680</v>
      </c>
      <c r="J505" s="134" t="s">
        <v>217</v>
      </c>
      <c r="K505" s="135">
        <v>4</v>
      </c>
      <c r="L505" s="82">
        <v>0</v>
      </c>
      <c r="M505" s="135">
        <f t="shared" si="35"/>
        <v>4</v>
      </c>
      <c r="N505" s="84"/>
      <c r="O505" s="85">
        <f t="shared" si="34"/>
        <v>0</v>
      </c>
    </row>
    <row r="506" spans="6:15" s="70" customFormat="1" ht="12" outlineLevel="1">
      <c r="F506" s="77">
        <v>428</v>
      </c>
      <c r="G506" s="78" t="s">
        <v>192</v>
      </c>
      <c r="H506" s="132"/>
      <c r="I506" s="133" t="s">
        <v>681</v>
      </c>
      <c r="J506" s="134" t="s">
        <v>217</v>
      </c>
      <c r="K506" s="135">
        <v>1</v>
      </c>
      <c r="L506" s="82">
        <v>0</v>
      </c>
      <c r="M506" s="135">
        <f t="shared" si="35"/>
        <v>1</v>
      </c>
      <c r="N506" s="84"/>
      <c r="O506" s="85">
        <f t="shared" si="34"/>
        <v>0</v>
      </c>
    </row>
    <row r="507" spans="6:15" s="70" customFormat="1" ht="12" outlineLevel="1">
      <c r="F507" s="77">
        <v>429</v>
      </c>
      <c r="G507" s="78" t="s">
        <v>192</v>
      </c>
      <c r="H507" s="132"/>
      <c r="I507" s="133" t="s">
        <v>682</v>
      </c>
      <c r="J507" s="134" t="s">
        <v>217</v>
      </c>
      <c r="K507" s="135">
        <v>1</v>
      </c>
      <c r="L507" s="82">
        <v>0</v>
      </c>
      <c r="M507" s="135">
        <f t="shared" si="35"/>
        <v>1</v>
      </c>
      <c r="N507" s="84"/>
      <c r="O507" s="85">
        <f t="shared" si="34"/>
        <v>0</v>
      </c>
    </row>
    <row r="508" spans="6:15" s="70" customFormat="1" ht="12" outlineLevel="1">
      <c r="F508" s="77">
        <v>430</v>
      </c>
      <c r="G508" s="78" t="s">
        <v>192</v>
      </c>
      <c r="H508" s="132"/>
      <c r="I508" s="133" t="s">
        <v>683</v>
      </c>
      <c r="J508" s="134" t="s">
        <v>217</v>
      </c>
      <c r="K508" s="135">
        <v>1</v>
      </c>
      <c r="L508" s="82">
        <v>0</v>
      </c>
      <c r="M508" s="135">
        <f t="shared" si="35"/>
        <v>1</v>
      </c>
      <c r="N508" s="84"/>
      <c r="O508" s="85">
        <f t="shared" si="34"/>
        <v>0</v>
      </c>
    </row>
    <row r="509" spans="6:15" s="70" customFormat="1" ht="12" outlineLevel="1">
      <c r="F509" s="77">
        <v>431</v>
      </c>
      <c r="G509" s="78" t="s">
        <v>192</v>
      </c>
      <c r="H509" s="132"/>
      <c r="I509" s="133" t="s">
        <v>684</v>
      </c>
      <c r="J509" s="134" t="s">
        <v>217</v>
      </c>
      <c r="K509" s="135">
        <v>1</v>
      </c>
      <c r="L509" s="82">
        <v>0</v>
      </c>
      <c r="M509" s="135">
        <f t="shared" si="35"/>
        <v>1</v>
      </c>
      <c r="N509" s="84"/>
      <c r="O509" s="85">
        <f t="shared" si="34"/>
        <v>0</v>
      </c>
    </row>
    <row r="510" spans="6:15" s="70" customFormat="1" ht="12" outlineLevel="1">
      <c r="F510" s="77">
        <v>432</v>
      </c>
      <c r="G510" s="78" t="s">
        <v>192</v>
      </c>
      <c r="H510" s="132"/>
      <c r="I510" s="133" t="s">
        <v>685</v>
      </c>
      <c r="J510" s="134" t="s">
        <v>217</v>
      </c>
      <c r="K510" s="135">
        <v>4</v>
      </c>
      <c r="L510" s="82">
        <v>0</v>
      </c>
      <c r="M510" s="135">
        <f t="shared" si="35"/>
        <v>4</v>
      </c>
      <c r="N510" s="84"/>
      <c r="O510" s="85">
        <f t="shared" si="34"/>
        <v>0</v>
      </c>
    </row>
    <row r="511" spans="6:15" s="70" customFormat="1" ht="12" outlineLevel="1">
      <c r="F511" s="77">
        <v>433</v>
      </c>
      <c r="G511" s="78" t="s">
        <v>192</v>
      </c>
      <c r="H511" s="132"/>
      <c r="I511" s="133" t="s">
        <v>686</v>
      </c>
      <c r="J511" s="134" t="s">
        <v>217</v>
      </c>
      <c r="K511" s="135">
        <v>2</v>
      </c>
      <c r="L511" s="82">
        <v>0</v>
      </c>
      <c r="M511" s="135">
        <f t="shared" si="35"/>
        <v>2</v>
      </c>
      <c r="N511" s="84"/>
      <c r="O511" s="85">
        <f t="shared" si="34"/>
        <v>0</v>
      </c>
    </row>
    <row r="512" spans="6:15" s="70" customFormat="1" ht="12" outlineLevel="1">
      <c r="F512" s="77">
        <v>434</v>
      </c>
      <c r="G512" s="78" t="s">
        <v>192</v>
      </c>
      <c r="H512" s="132"/>
      <c r="I512" s="133" t="s">
        <v>687</v>
      </c>
      <c r="J512" s="134" t="s">
        <v>217</v>
      </c>
      <c r="K512" s="135">
        <v>1</v>
      </c>
      <c r="L512" s="82">
        <v>0</v>
      </c>
      <c r="M512" s="135">
        <f t="shared" si="35"/>
        <v>1</v>
      </c>
      <c r="N512" s="84"/>
      <c r="O512" s="85">
        <f t="shared" si="34"/>
        <v>0</v>
      </c>
    </row>
    <row r="513" spans="6:15" s="70" customFormat="1" ht="12" outlineLevel="1">
      <c r="F513" s="77">
        <v>435</v>
      </c>
      <c r="G513" s="78" t="s">
        <v>192</v>
      </c>
      <c r="H513" s="132"/>
      <c r="I513" s="133" t="s">
        <v>688</v>
      </c>
      <c r="J513" s="134" t="s">
        <v>217</v>
      </c>
      <c r="K513" s="135">
        <v>2</v>
      </c>
      <c r="L513" s="82">
        <v>0</v>
      </c>
      <c r="M513" s="135">
        <f t="shared" si="35"/>
        <v>2</v>
      </c>
      <c r="N513" s="84"/>
      <c r="O513" s="85">
        <f t="shared" si="34"/>
        <v>0</v>
      </c>
    </row>
    <row r="514" spans="6:15" s="70" customFormat="1" ht="12" outlineLevel="1">
      <c r="F514" s="77"/>
      <c r="G514" s="78"/>
      <c r="H514" s="132"/>
      <c r="I514" s="133"/>
      <c r="J514" s="134"/>
      <c r="K514" s="135"/>
      <c r="L514" s="82"/>
      <c r="M514" s="135"/>
      <c r="N514" s="84"/>
      <c r="O514" s="85"/>
    </row>
    <row r="515" spans="6:15" s="70" customFormat="1" ht="13.2" outlineLevel="1">
      <c r="F515" s="77"/>
      <c r="G515" s="78"/>
      <c r="H515" s="136">
        <v>200</v>
      </c>
      <c r="I515" s="137" t="s">
        <v>689</v>
      </c>
      <c r="J515" s="138"/>
      <c r="K515" s="139"/>
      <c r="L515" s="82"/>
      <c r="M515" s="135"/>
      <c r="N515" s="84"/>
      <c r="O515" s="85"/>
    </row>
    <row r="516" spans="6:15" s="70" customFormat="1" ht="12" outlineLevel="1">
      <c r="F516" s="77">
        <v>436</v>
      </c>
      <c r="G516" s="78" t="s">
        <v>192</v>
      </c>
      <c r="H516" s="140"/>
      <c r="I516" s="141" t="s">
        <v>690</v>
      </c>
      <c r="J516" s="134" t="s">
        <v>217</v>
      </c>
      <c r="K516" s="135">
        <v>1</v>
      </c>
      <c r="L516" s="82">
        <v>0</v>
      </c>
      <c r="M516" s="135">
        <f t="shared" si="35"/>
        <v>1</v>
      </c>
      <c r="N516" s="84"/>
      <c r="O516" s="85">
        <f t="shared" si="34"/>
        <v>0</v>
      </c>
    </row>
    <row r="517" spans="6:15" s="70" customFormat="1" ht="12" outlineLevel="1">
      <c r="F517" s="77">
        <v>437</v>
      </c>
      <c r="G517" s="78" t="s">
        <v>192</v>
      </c>
      <c r="H517" s="140"/>
      <c r="I517" s="141" t="s">
        <v>691</v>
      </c>
      <c r="J517" s="134" t="s">
        <v>217</v>
      </c>
      <c r="K517" s="135">
        <v>1</v>
      </c>
      <c r="L517" s="82">
        <v>0</v>
      </c>
      <c r="M517" s="135">
        <f t="shared" si="35"/>
        <v>1</v>
      </c>
      <c r="N517" s="84"/>
      <c r="O517" s="85">
        <f t="shared" si="34"/>
        <v>0</v>
      </c>
    </row>
    <row r="518" spans="6:15" s="70" customFormat="1" ht="12" outlineLevel="1">
      <c r="F518" s="77">
        <v>438</v>
      </c>
      <c r="G518" s="78" t="s">
        <v>192</v>
      </c>
      <c r="H518" s="140"/>
      <c r="I518" s="141" t="s">
        <v>692</v>
      </c>
      <c r="J518" s="134" t="s">
        <v>217</v>
      </c>
      <c r="K518" s="135">
        <v>4</v>
      </c>
      <c r="L518" s="82">
        <v>0</v>
      </c>
      <c r="M518" s="135">
        <f t="shared" si="35"/>
        <v>4</v>
      </c>
      <c r="N518" s="84"/>
      <c r="O518" s="85">
        <f t="shared" si="34"/>
        <v>0</v>
      </c>
    </row>
    <row r="519" spans="6:15" s="70" customFormat="1" ht="12" outlineLevel="1">
      <c r="F519" s="77">
        <v>439</v>
      </c>
      <c r="G519" s="78" t="s">
        <v>192</v>
      </c>
      <c r="H519" s="140"/>
      <c r="I519" s="141" t="s">
        <v>693</v>
      </c>
      <c r="J519" s="134" t="s">
        <v>217</v>
      </c>
      <c r="K519" s="135">
        <v>2</v>
      </c>
      <c r="L519" s="82">
        <v>0</v>
      </c>
      <c r="M519" s="135">
        <f t="shared" si="35"/>
        <v>2</v>
      </c>
      <c r="N519" s="84"/>
      <c r="O519" s="85">
        <f t="shared" si="34"/>
        <v>0</v>
      </c>
    </row>
    <row r="520" spans="6:15" s="70" customFormat="1" ht="12" outlineLevel="1">
      <c r="F520" s="77">
        <v>440</v>
      </c>
      <c r="G520" s="78" t="s">
        <v>192</v>
      </c>
      <c r="H520" s="140"/>
      <c r="I520" s="141" t="s">
        <v>694</v>
      </c>
      <c r="J520" s="134" t="s">
        <v>217</v>
      </c>
      <c r="K520" s="135">
        <v>5</v>
      </c>
      <c r="L520" s="82">
        <v>0</v>
      </c>
      <c r="M520" s="135">
        <f t="shared" si="35"/>
        <v>5</v>
      </c>
      <c r="N520" s="84"/>
      <c r="O520" s="85">
        <f t="shared" si="34"/>
        <v>0</v>
      </c>
    </row>
    <row r="521" spans="6:15" s="70" customFormat="1" ht="12" outlineLevel="1">
      <c r="F521" s="77">
        <v>441</v>
      </c>
      <c r="G521" s="78" t="s">
        <v>192</v>
      </c>
      <c r="H521" s="140"/>
      <c r="I521" s="141" t="s">
        <v>695</v>
      </c>
      <c r="J521" s="134" t="s">
        <v>217</v>
      </c>
      <c r="K521" s="135">
        <v>1</v>
      </c>
      <c r="L521" s="82">
        <v>0</v>
      </c>
      <c r="M521" s="135">
        <f t="shared" si="35"/>
        <v>1</v>
      </c>
      <c r="N521" s="84"/>
      <c r="O521" s="85">
        <f t="shared" si="34"/>
        <v>0</v>
      </c>
    </row>
    <row r="522" spans="6:15" s="70" customFormat="1" ht="12" outlineLevel="1">
      <c r="F522" s="77">
        <v>442</v>
      </c>
      <c r="G522" s="78" t="s">
        <v>192</v>
      </c>
      <c r="H522" s="140"/>
      <c r="I522" s="141" t="s">
        <v>696</v>
      </c>
      <c r="J522" s="134" t="s">
        <v>217</v>
      </c>
      <c r="K522" s="135">
        <v>1</v>
      </c>
      <c r="L522" s="82">
        <v>0</v>
      </c>
      <c r="M522" s="135">
        <f t="shared" si="35"/>
        <v>1</v>
      </c>
      <c r="N522" s="84"/>
      <c r="O522" s="85">
        <f t="shared" si="34"/>
        <v>0</v>
      </c>
    </row>
    <row r="523" spans="6:15" s="70" customFormat="1" ht="12" outlineLevel="1">
      <c r="F523" s="77">
        <v>443</v>
      </c>
      <c r="G523" s="78" t="s">
        <v>192</v>
      </c>
      <c r="H523" s="140"/>
      <c r="I523" s="141" t="s">
        <v>697</v>
      </c>
      <c r="J523" s="134" t="s">
        <v>217</v>
      </c>
      <c r="K523" s="135">
        <v>1</v>
      </c>
      <c r="L523" s="82">
        <v>0</v>
      </c>
      <c r="M523" s="135">
        <f t="shared" si="35"/>
        <v>1</v>
      </c>
      <c r="N523" s="84"/>
      <c r="O523" s="85">
        <f t="shared" si="34"/>
        <v>0</v>
      </c>
    </row>
    <row r="524" spans="6:15" s="70" customFormat="1" ht="12" outlineLevel="1">
      <c r="F524" s="77">
        <v>444</v>
      </c>
      <c r="G524" s="78" t="s">
        <v>192</v>
      </c>
      <c r="H524" s="140"/>
      <c r="I524" s="141" t="s">
        <v>698</v>
      </c>
      <c r="J524" s="134" t="s">
        <v>217</v>
      </c>
      <c r="K524" s="135">
        <v>1</v>
      </c>
      <c r="L524" s="82">
        <v>0</v>
      </c>
      <c r="M524" s="135">
        <f t="shared" si="35"/>
        <v>1</v>
      </c>
      <c r="N524" s="84"/>
      <c r="O524" s="85">
        <f t="shared" si="34"/>
        <v>0</v>
      </c>
    </row>
    <row r="525" spans="6:15" s="70" customFormat="1" ht="12" outlineLevel="1">
      <c r="F525" s="77">
        <v>445</v>
      </c>
      <c r="G525" s="78" t="s">
        <v>192</v>
      </c>
      <c r="H525" s="140"/>
      <c r="I525" s="141" t="s">
        <v>699</v>
      </c>
      <c r="J525" s="134" t="s">
        <v>217</v>
      </c>
      <c r="K525" s="135">
        <v>3</v>
      </c>
      <c r="L525" s="82">
        <v>0</v>
      </c>
      <c r="M525" s="135">
        <f t="shared" si="35"/>
        <v>3</v>
      </c>
      <c r="N525" s="84"/>
      <c r="O525" s="85">
        <f t="shared" si="34"/>
        <v>0</v>
      </c>
    </row>
    <row r="526" spans="6:15" s="70" customFormat="1" ht="12" outlineLevel="1">
      <c r="F526" s="77">
        <v>446</v>
      </c>
      <c r="G526" s="78" t="s">
        <v>192</v>
      </c>
      <c r="H526" s="140"/>
      <c r="I526" s="141" t="s">
        <v>700</v>
      </c>
      <c r="J526" s="134" t="s">
        <v>217</v>
      </c>
      <c r="K526" s="135">
        <v>1</v>
      </c>
      <c r="L526" s="82">
        <v>0</v>
      </c>
      <c r="M526" s="135">
        <f t="shared" si="35"/>
        <v>1</v>
      </c>
      <c r="N526" s="84"/>
      <c r="O526" s="85">
        <f t="shared" si="34"/>
        <v>0</v>
      </c>
    </row>
    <row r="527" spans="6:15" s="70" customFormat="1" ht="12" outlineLevel="1">
      <c r="F527" s="77">
        <v>447</v>
      </c>
      <c r="G527" s="78" t="s">
        <v>192</v>
      </c>
      <c r="H527" s="140"/>
      <c r="I527" s="141" t="s">
        <v>701</v>
      </c>
      <c r="J527" s="134" t="s">
        <v>217</v>
      </c>
      <c r="K527" s="135">
        <v>2</v>
      </c>
      <c r="L527" s="82">
        <v>0</v>
      </c>
      <c r="M527" s="135">
        <f t="shared" si="35"/>
        <v>2</v>
      </c>
      <c r="N527" s="84"/>
      <c r="O527" s="85">
        <f t="shared" si="34"/>
        <v>0</v>
      </c>
    </row>
    <row r="528" spans="6:15" s="70" customFormat="1" ht="12" outlineLevel="1">
      <c r="F528" s="77">
        <v>448</v>
      </c>
      <c r="G528" s="78" t="s">
        <v>192</v>
      </c>
      <c r="H528" s="140"/>
      <c r="I528" s="141" t="s">
        <v>702</v>
      </c>
      <c r="J528" s="134" t="s">
        <v>217</v>
      </c>
      <c r="K528" s="135">
        <v>3</v>
      </c>
      <c r="L528" s="82">
        <v>0</v>
      </c>
      <c r="M528" s="135">
        <f t="shared" si="35"/>
        <v>3</v>
      </c>
      <c r="N528" s="84"/>
      <c r="O528" s="85">
        <f t="shared" si="34"/>
        <v>0</v>
      </c>
    </row>
    <row r="529" spans="6:15" s="70" customFormat="1" ht="12" outlineLevel="1">
      <c r="F529" s="77">
        <v>449</v>
      </c>
      <c r="G529" s="78" t="s">
        <v>192</v>
      </c>
      <c r="H529" s="140"/>
      <c r="I529" s="141" t="s">
        <v>703</v>
      </c>
      <c r="J529" s="134" t="s">
        <v>217</v>
      </c>
      <c r="K529" s="135">
        <v>1</v>
      </c>
      <c r="L529" s="82">
        <v>0</v>
      </c>
      <c r="M529" s="135">
        <f t="shared" si="35"/>
        <v>1</v>
      </c>
      <c r="N529" s="84"/>
      <c r="O529" s="85">
        <f t="shared" si="34"/>
        <v>0</v>
      </c>
    </row>
    <row r="530" spans="6:15" s="70" customFormat="1" ht="12" outlineLevel="1">
      <c r="F530" s="77">
        <v>450</v>
      </c>
      <c r="G530" s="78" t="s">
        <v>192</v>
      </c>
      <c r="H530" s="140"/>
      <c r="I530" s="141" t="s">
        <v>704</v>
      </c>
      <c r="J530" s="134" t="s">
        <v>217</v>
      </c>
      <c r="K530" s="135">
        <v>1</v>
      </c>
      <c r="L530" s="82">
        <v>0</v>
      </c>
      <c r="M530" s="135">
        <f t="shared" si="35"/>
        <v>1</v>
      </c>
      <c r="N530" s="84"/>
      <c r="O530" s="85">
        <f t="shared" si="34"/>
        <v>0</v>
      </c>
    </row>
    <row r="531" spans="6:15" s="70" customFormat="1" ht="12" outlineLevel="1">
      <c r="F531" s="77"/>
      <c r="G531" s="78"/>
      <c r="H531" s="140"/>
      <c r="I531" s="141"/>
      <c r="J531" s="134"/>
      <c r="K531" s="135"/>
      <c r="L531" s="82"/>
      <c r="M531" s="135"/>
      <c r="N531" s="84"/>
      <c r="O531" s="85"/>
    </row>
    <row r="532" spans="6:15" s="70" customFormat="1" ht="13.2" outlineLevel="1">
      <c r="F532" s="77"/>
      <c r="G532" s="78"/>
      <c r="H532" s="136">
        <v>300</v>
      </c>
      <c r="I532" s="137" t="s">
        <v>705</v>
      </c>
      <c r="J532" s="142"/>
      <c r="K532" s="139"/>
      <c r="L532" s="82"/>
      <c r="M532" s="135"/>
      <c r="N532" s="84"/>
      <c r="O532" s="85"/>
    </row>
    <row r="533" spans="6:15" s="70" customFormat="1" ht="12" outlineLevel="1">
      <c r="F533" s="77">
        <v>451</v>
      </c>
      <c r="G533" s="78" t="s">
        <v>192</v>
      </c>
      <c r="H533" s="140"/>
      <c r="I533" s="141" t="s">
        <v>692</v>
      </c>
      <c r="J533" s="134" t="s">
        <v>217</v>
      </c>
      <c r="K533" s="135">
        <v>1</v>
      </c>
      <c r="L533" s="82">
        <v>0</v>
      </c>
      <c r="M533" s="135">
        <f t="shared" si="35"/>
        <v>1</v>
      </c>
      <c r="N533" s="84"/>
      <c r="O533" s="85">
        <f t="shared" si="34"/>
        <v>0</v>
      </c>
    </row>
    <row r="534" spans="6:15" s="70" customFormat="1" ht="12" outlineLevel="1">
      <c r="F534" s="77">
        <v>452</v>
      </c>
      <c r="G534" s="78" t="s">
        <v>192</v>
      </c>
      <c r="H534" s="140"/>
      <c r="I534" s="141" t="s">
        <v>693</v>
      </c>
      <c r="J534" s="134" t="s">
        <v>217</v>
      </c>
      <c r="K534" s="135">
        <v>1</v>
      </c>
      <c r="L534" s="82">
        <v>0</v>
      </c>
      <c r="M534" s="135">
        <f t="shared" si="35"/>
        <v>1</v>
      </c>
      <c r="N534" s="84"/>
      <c r="O534" s="85">
        <f t="shared" si="34"/>
        <v>0</v>
      </c>
    </row>
    <row r="535" spans="6:15" s="70" customFormat="1" ht="12" outlineLevel="1">
      <c r="F535" s="77">
        <v>453</v>
      </c>
      <c r="G535" s="78" t="s">
        <v>192</v>
      </c>
      <c r="H535" s="140"/>
      <c r="I535" s="141" t="s">
        <v>694</v>
      </c>
      <c r="J535" s="134" t="s">
        <v>217</v>
      </c>
      <c r="K535" s="135">
        <v>3</v>
      </c>
      <c r="L535" s="82">
        <v>0</v>
      </c>
      <c r="M535" s="135">
        <f t="shared" si="35"/>
        <v>3</v>
      </c>
      <c r="N535" s="84"/>
      <c r="O535" s="85">
        <f t="shared" si="34"/>
        <v>0</v>
      </c>
    </row>
    <row r="536" spans="6:15" s="70" customFormat="1" ht="12" outlineLevel="1">
      <c r="F536" s="77">
        <v>454</v>
      </c>
      <c r="G536" s="78" t="s">
        <v>192</v>
      </c>
      <c r="H536" s="140"/>
      <c r="I536" s="141" t="s">
        <v>706</v>
      </c>
      <c r="J536" s="134" t="s">
        <v>217</v>
      </c>
      <c r="K536" s="135">
        <v>1</v>
      </c>
      <c r="L536" s="82">
        <v>0</v>
      </c>
      <c r="M536" s="135">
        <f t="shared" si="35"/>
        <v>1</v>
      </c>
      <c r="N536" s="84"/>
      <c r="O536" s="85">
        <f t="shared" si="34"/>
        <v>0</v>
      </c>
    </row>
    <row r="537" spans="6:15" s="70" customFormat="1" ht="12" outlineLevel="1">
      <c r="F537" s="77">
        <v>455</v>
      </c>
      <c r="G537" s="78" t="s">
        <v>192</v>
      </c>
      <c r="H537" s="140"/>
      <c r="I537" s="141" t="s">
        <v>707</v>
      </c>
      <c r="J537" s="134" t="s">
        <v>217</v>
      </c>
      <c r="K537" s="135">
        <v>3</v>
      </c>
      <c r="L537" s="82">
        <v>0</v>
      </c>
      <c r="M537" s="135">
        <f t="shared" si="35"/>
        <v>3</v>
      </c>
      <c r="N537" s="84"/>
      <c r="O537" s="85">
        <f t="shared" si="34"/>
        <v>0</v>
      </c>
    </row>
    <row r="538" spans="6:15" s="70" customFormat="1" ht="12" outlineLevel="1">
      <c r="F538" s="77">
        <v>456</v>
      </c>
      <c r="G538" s="78" t="s">
        <v>192</v>
      </c>
      <c r="H538" s="140"/>
      <c r="I538" s="141" t="s">
        <v>708</v>
      </c>
      <c r="J538" s="134" t="s">
        <v>217</v>
      </c>
      <c r="K538" s="135">
        <v>1</v>
      </c>
      <c r="L538" s="82">
        <v>0</v>
      </c>
      <c r="M538" s="135">
        <f t="shared" si="35"/>
        <v>1</v>
      </c>
      <c r="N538" s="84"/>
      <c r="O538" s="85">
        <f t="shared" si="34"/>
        <v>0</v>
      </c>
    </row>
    <row r="539" spans="6:15" s="70" customFormat="1" ht="12" outlineLevel="1">
      <c r="F539" s="77">
        <v>457</v>
      </c>
      <c r="G539" s="78" t="s">
        <v>192</v>
      </c>
      <c r="H539" s="140"/>
      <c r="I539" s="141" t="s">
        <v>701</v>
      </c>
      <c r="J539" s="134" t="s">
        <v>217</v>
      </c>
      <c r="K539" s="135">
        <v>2</v>
      </c>
      <c r="L539" s="82">
        <v>0</v>
      </c>
      <c r="M539" s="135">
        <f t="shared" si="35"/>
        <v>2</v>
      </c>
      <c r="N539" s="84"/>
      <c r="O539" s="85">
        <f t="shared" si="34"/>
        <v>0</v>
      </c>
    </row>
    <row r="540" spans="6:15" s="70" customFormat="1" ht="12" outlineLevel="1">
      <c r="F540" s="77">
        <v>458</v>
      </c>
      <c r="G540" s="78" t="s">
        <v>192</v>
      </c>
      <c r="H540" s="140"/>
      <c r="I540" s="141" t="s">
        <v>702</v>
      </c>
      <c r="J540" s="134" t="s">
        <v>217</v>
      </c>
      <c r="K540" s="135">
        <v>2</v>
      </c>
      <c r="L540" s="82">
        <v>0</v>
      </c>
      <c r="M540" s="135">
        <f t="shared" si="35"/>
        <v>2</v>
      </c>
      <c r="N540" s="84"/>
      <c r="O540" s="85">
        <f t="shared" si="34"/>
        <v>0</v>
      </c>
    </row>
    <row r="541" spans="6:15" s="70" customFormat="1" ht="12" outlineLevel="1">
      <c r="F541" s="77"/>
      <c r="G541" s="78"/>
      <c r="H541" s="140"/>
      <c r="I541" s="141"/>
      <c r="J541" s="134"/>
      <c r="K541" s="135"/>
      <c r="L541" s="82"/>
      <c r="M541" s="135"/>
      <c r="N541" s="84"/>
      <c r="O541" s="85"/>
    </row>
    <row r="542" spans="6:15" s="70" customFormat="1" ht="13.2" outlineLevel="1">
      <c r="F542" s="77"/>
      <c r="G542" s="78"/>
      <c r="H542" s="136">
        <v>400</v>
      </c>
      <c r="I542" s="137" t="s">
        <v>709</v>
      </c>
      <c r="J542" s="142"/>
      <c r="K542" s="139"/>
      <c r="L542" s="82"/>
      <c r="M542" s="135"/>
      <c r="N542" s="84"/>
      <c r="O542" s="85"/>
    </row>
    <row r="543" spans="6:15" s="70" customFormat="1" ht="12" outlineLevel="1">
      <c r="F543" s="77">
        <v>459</v>
      </c>
      <c r="G543" s="78" t="s">
        <v>192</v>
      </c>
      <c r="H543" s="134"/>
      <c r="I543" s="143" t="s">
        <v>710</v>
      </c>
      <c r="J543" s="144" t="s">
        <v>69</v>
      </c>
      <c r="K543" s="145">
        <v>20</v>
      </c>
      <c r="L543" s="82">
        <v>0</v>
      </c>
      <c r="M543" s="135">
        <f t="shared" si="35"/>
        <v>20</v>
      </c>
      <c r="N543" s="84"/>
      <c r="O543" s="85">
        <f t="shared" si="34"/>
        <v>0</v>
      </c>
    </row>
    <row r="544" spans="6:15" s="70" customFormat="1" ht="12" outlineLevel="1">
      <c r="F544" s="77">
        <v>460</v>
      </c>
      <c r="G544" s="78" t="s">
        <v>192</v>
      </c>
      <c r="H544" s="134"/>
      <c r="I544" s="146" t="s">
        <v>711</v>
      </c>
      <c r="J544" s="134" t="s">
        <v>69</v>
      </c>
      <c r="K544" s="135">
        <v>25</v>
      </c>
      <c r="L544" s="82">
        <v>0</v>
      </c>
      <c r="M544" s="135">
        <f t="shared" si="35"/>
        <v>25</v>
      </c>
      <c r="N544" s="84"/>
      <c r="O544" s="85">
        <f t="shared" si="34"/>
        <v>0</v>
      </c>
    </row>
    <row r="545" spans="6:15" s="70" customFormat="1" ht="12" outlineLevel="1">
      <c r="F545" s="77">
        <v>461</v>
      </c>
      <c r="G545" s="78" t="s">
        <v>192</v>
      </c>
      <c r="H545" s="134"/>
      <c r="I545" s="146" t="s">
        <v>712</v>
      </c>
      <c r="J545" s="134" t="s">
        <v>367</v>
      </c>
      <c r="K545" s="135">
        <v>5</v>
      </c>
      <c r="L545" s="82">
        <v>0</v>
      </c>
      <c r="M545" s="135">
        <f t="shared" si="35"/>
        <v>5</v>
      </c>
      <c r="N545" s="84"/>
      <c r="O545" s="85">
        <f t="shared" si="34"/>
        <v>0</v>
      </c>
    </row>
    <row r="546" spans="6:15" s="70" customFormat="1" ht="12" outlineLevel="1">
      <c r="F546" s="77"/>
      <c r="G546" s="78"/>
      <c r="H546" s="147"/>
      <c r="I546" s="148"/>
      <c r="J546" s="147"/>
      <c r="K546" s="149"/>
      <c r="L546" s="82"/>
      <c r="M546" s="135"/>
      <c r="N546" s="84"/>
      <c r="O546" s="85"/>
    </row>
    <row r="547" spans="6:15" s="70" customFormat="1" ht="13.2" outlineLevel="1">
      <c r="F547" s="77"/>
      <c r="G547" s="78"/>
      <c r="H547" s="136">
        <v>500</v>
      </c>
      <c r="I547" s="137" t="s">
        <v>713</v>
      </c>
      <c r="J547" s="142"/>
      <c r="K547" s="139"/>
      <c r="L547" s="82"/>
      <c r="M547" s="135"/>
      <c r="N547" s="84"/>
      <c r="O547" s="85"/>
    </row>
    <row r="548" spans="6:15" s="70" customFormat="1" ht="12" outlineLevel="1">
      <c r="F548" s="77">
        <v>462</v>
      </c>
      <c r="G548" s="78" t="s">
        <v>192</v>
      </c>
      <c r="H548" s="150"/>
      <c r="I548" s="151" t="s">
        <v>714</v>
      </c>
      <c r="J548" s="134" t="s">
        <v>69</v>
      </c>
      <c r="K548" s="135">
        <v>25</v>
      </c>
      <c r="L548" s="82">
        <v>0</v>
      </c>
      <c r="M548" s="135">
        <f t="shared" si="35"/>
        <v>25</v>
      </c>
      <c r="N548" s="84"/>
      <c r="O548" s="85">
        <f t="shared" si="34"/>
        <v>0</v>
      </c>
    </row>
    <row r="549" spans="6:15" s="70" customFormat="1" ht="12" outlineLevel="1">
      <c r="F549" s="77">
        <v>463</v>
      </c>
      <c r="G549" s="78" t="s">
        <v>192</v>
      </c>
      <c r="H549" s="150"/>
      <c r="I549" s="151" t="s">
        <v>715</v>
      </c>
      <c r="J549" s="134" t="s">
        <v>69</v>
      </c>
      <c r="K549" s="135">
        <v>80</v>
      </c>
      <c r="L549" s="82">
        <v>0</v>
      </c>
      <c r="M549" s="135">
        <f t="shared" si="35"/>
        <v>80</v>
      </c>
      <c r="N549" s="84"/>
      <c r="O549" s="85">
        <f t="shared" si="34"/>
        <v>0</v>
      </c>
    </row>
    <row r="550" spans="6:15" s="70" customFormat="1" ht="12" outlineLevel="1">
      <c r="F550" s="77">
        <v>464</v>
      </c>
      <c r="G550" s="78" t="s">
        <v>192</v>
      </c>
      <c r="H550" s="150"/>
      <c r="I550" s="151" t="s">
        <v>716</v>
      </c>
      <c r="J550" s="134" t="s">
        <v>69</v>
      </c>
      <c r="K550" s="135">
        <v>75</v>
      </c>
      <c r="L550" s="82">
        <v>0</v>
      </c>
      <c r="M550" s="135">
        <f t="shared" si="35"/>
        <v>75</v>
      </c>
      <c r="N550" s="84"/>
      <c r="O550" s="85">
        <f t="shared" si="34"/>
        <v>0</v>
      </c>
    </row>
    <row r="551" spans="6:15" s="70" customFormat="1" ht="12" outlineLevel="1">
      <c r="F551" s="77">
        <v>465</v>
      </c>
      <c r="G551" s="78" t="s">
        <v>192</v>
      </c>
      <c r="H551" s="150"/>
      <c r="I551" s="151" t="s">
        <v>717</v>
      </c>
      <c r="J551" s="134" t="s">
        <v>69</v>
      </c>
      <c r="K551" s="135">
        <v>60</v>
      </c>
      <c r="L551" s="82">
        <v>0</v>
      </c>
      <c r="M551" s="135">
        <f t="shared" si="35"/>
        <v>60</v>
      </c>
      <c r="N551" s="84"/>
      <c r="O551" s="85">
        <f t="shared" si="34"/>
        <v>0</v>
      </c>
    </row>
    <row r="552" spans="6:15" s="70" customFormat="1" ht="12" outlineLevel="1">
      <c r="F552" s="77">
        <v>466</v>
      </c>
      <c r="G552" s="78" t="s">
        <v>192</v>
      </c>
      <c r="H552" s="150"/>
      <c r="I552" s="151" t="s">
        <v>718</v>
      </c>
      <c r="J552" s="134" t="s">
        <v>69</v>
      </c>
      <c r="K552" s="135">
        <v>25</v>
      </c>
      <c r="L552" s="82">
        <v>0</v>
      </c>
      <c r="M552" s="135">
        <f t="shared" si="35"/>
        <v>25</v>
      </c>
      <c r="N552" s="84"/>
      <c r="O552" s="85">
        <f t="shared" si="34"/>
        <v>0</v>
      </c>
    </row>
    <row r="553" spans="6:15" s="70" customFormat="1" ht="12" outlineLevel="1">
      <c r="F553" s="77">
        <v>467</v>
      </c>
      <c r="G553" s="78" t="s">
        <v>192</v>
      </c>
      <c r="H553" s="150"/>
      <c r="I553" s="151" t="s">
        <v>719</v>
      </c>
      <c r="J553" s="134" t="s">
        <v>69</v>
      </c>
      <c r="K553" s="135">
        <v>100</v>
      </c>
      <c r="L553" s="82">
        <v>0</v>
      </c>
      <c r="M553" s="135">
        <f t="shared" si="35"/>
        <v>100</v>
      </c>
      <c r="N553" s="84"/>
      <c r="O553" s="85">
        <f t="shared" si="34"/>
        <v>0</v>
      </c>
    </row>
    <row r="554" spans="6:15" s="70" customFormat="1" ht="12" outlineLevel="1">
      <c r="F554" s="77">
        <v>468</v>
      </c>
      <c r="G554" s="78" t="s">
        <v>192</v>
      </c>
      <c r="H554" s="150"/>
      <c r="I554" s="151" t="s">
        <v>720</v>
      </c>
      <c r="J554" s="134" t="s">
        <v>69</v>
      </c>
      <c r="K554" s="135">
        <v>400</v>
      </c>
      <c r="L554" s="82">
        <v>0</v>
      </c>
      <c r="M554" s="135">
        <f t="shared" si="35"/>
        <v>400</v>
      </c>
      <c r="N554" s="84"/>
      <c r="O554" s="85">
        <f t="shared" si="34"/>
        <v>0</v>
      </c>
    </row>
    <row r="555" spans="6:15" s="70" customFormat="1" ht="12" outlineLevel="1">
      <c r="F555" s="77"/>
      <c r="G555" s="78"/>
      <c r="H555" s="152"/>
      <c r="I555" s="153"/>
      <c r="J555" s="154"/>
      <c r="K555" s="155"/>
      <c r="L555" s="82"/>
      <c r="M555" s="135"/>
      <c r="N555" s="84"/>
      <c r="O555" s="85"/>
    </row>
    <row r="556" spans="6:15" s="70" customFormat="1" ht="13.2" outlineLevel="1">
      <c r="F556" s="77"/>
      <c r="G556" s="78"/>
      <c r="H556" s="134">
        <v>600</v>
      </c>
      <c r="I556" s="137" t="s">
        <v>721</v>
      </c>
      <c r="J556" s="142"/>
      <c r="K556" s="139"/>
      <c r="L556" s="82"/>
      <c r="M556" s="135"/>
      <c r="N556" s="84"/>
      <c r="O556" s="85"/>
    </row>
    <row r="557" spans="6:15" s="70" customFormat="1" ht="12" outlineLevel="1">
      <c r="F557" s="77">
        <v>469</v>
      </c>
      <c r="G557" s="78" t="s">
        <v>192</v>
      </c>
      <c r="H557" s="134"/>
      <c r="I557" s="146" t="s">
        <v>722</v>
      </c>
      <c r="J557" s="134" t="s">
        <v>723</v>
      </c>
      <c r="K557" s="135">
        <v>50</v>
      </c>
      <c r="L557" s="82">
        <v>0</v>
      </c>
      <c r="M557" s="135">
        <f t="shared" si="35"/>
        <v>50</v>
      </c>
      <c r="N557" s="84"/>
      <c r="O557" s="85">
        <f t="shared" si="34"/>
        <v>0</v>
      </c>
    </row>
    <row r="558" spans="6:15" s="70" customFormat="1" ht="12" outlineLevel="1">
      <c r="F558" s="77">
        <v>470</v>
      </c>
      <c r="G558" s="78" t="s">
        <v>192</v>
      </c>
      <c r="H558" s="134"/>
      <c r="I558" s="146" t="s">
        <v>724</v>
      </c>
      <c r="J558" s="134" t="s">
        <v>723</v>
      </c>
      <c r="K558" s="135">
        <v>5</v>
      </c>
      <c r="L558" s="82">
        <v>0</v>
      </c>
      <c r="M558" s="135">
        <f t="shared" si="35"/>
        <v>5</v>
      </c>
      <c r="N558" s="84"/>
      <c r="O558" s="85">
        <f t="shared" si="34"/>
        <v>0</v>
      </c>
    </row>
    <row r="559" spans="6:15" s="70" customFormat="1" ht="12" outlineLevel="1">
      <c r="F559" s="77">
        <v>471</v>
      </c>
      <c r="G559" s="78" t="s">
        <v>192</v>
      </c>
      <c r="H559" s="134"/>
      <c r="I559" s="124" t="s">
        <v>725</v>
      </c>
      <c r="J559" s="134" t="s">
        <v>723</v>
      </c>
      <c r="K559" s="135">
        <v>8</v>
      </c>
      <c r="L559" s="82">
        <v>0</v>
      </c>
      <c r="M559" s="135">
        <f t="shared" si="35"/>
        <v>8</v>
      </c>
      <c r="N559" s="84"/>
      <c r="O559" s="85">
        <f t="shared" si="34"/>
        <v>0</v>
      </c>
    </row>
    <row r="560" spans="6:15" s="70" customFormat="1" ht="12" outlineLevel="1">
      <c r="F560" s="77">
        <v>472</v>
      </c>
      <c r="G560" s="78" t="s">
        <v>192</v>
      </c>
      <c r="H560" s="134"/>
      <c r="I560" s="146" t="s">
        <v>726</v>
      </c>
      <c r="J560" s="134" t="s">
        <v>723</v>
      </c>
      <c r="K560" s="135">
        <v>32</v>
      </c>
      <c r="L560" s="82">
        <v>0</v>
      </c>
      <c r="M560" s="135">
        <f t="shared" si="35"/>
        <v>32</v>
      </c>
      <c r="N560" s="84"/>
      <c r="O560" s="85">
        <f t="shared" si="34"/>
        <v>0</v>
      </c>
    </row>
    <row r="561" spans="6:15" s="70" customFormat="1" ht="12" outlineLevel="1">
      <c r="F561" s="77">
        <v>473</v>
      </c>
      <c r="G561" s="78" t="s">
        <v>192</v>
      </c>
      <c r="H561" s="134"/>
      <c r="I561" s="146" t="s">
        <v>727</v>
      </c>
      <c r="J561" s="134" t="s">
        <v>723</v>
      </c>
      <c r="K561" s="135">
        <v>8</v>
      </c>
      <c r="L561" s="82">
        <v>0</v>
      </c>
      <c r="M561" s="135">
        <f t="shared" si="35"/>
        <v>8</v>
      </c>
      <c r="N561" s="84"/>
      <c r="O561" s="85">
        <f t="shared" si="34"/>
        <v>0</v>
      </c>
    </row>
    <row r="562" spans="6:15" s="70" customFormat="1" ht="12" outlineLevel="1">
      <c r="F562" s="77">
        <v>474</v>
      </c>
      <c r="G562" s="78" t="s">
        <v>192</v>
      </c>
      <c r="H562" s="134"/>
      <c r="I562" s="146" t="s">
        <v>728</v>
      </c>
      <c r="J562" s="134" t="s">
        <v>723</v>
      </c>
      <c r="K562" s="135">
        <v>1</v>
      </c>
      <c r="L562" s="82">
        <v>0</v>
      </c>
      <c r="M562" s="135">
        <f t="shared" si="35"/>
        <v>1</v>
      </c>
      <c r="N562" s="84"/>
      <c r="O562" s="85">
        <f t="shared" si="34"/>
        <v>0</v>
      </c>
    </row>
    <row r="563" spans="6:15" s="70" customFormat="1" ht="12" outlineLevel="1">
      <c r="F563" s="77">
        <v>475</v>
      </c>
      <c r="G563" s="78" t="s">
        <v>192</v>
      </c>
      <c r="H563" s="134"/>
      <c r="I563" s="124" t="s">
        <v>729</v>
      </c>
      <c r="J563" s="134" t="s">
        <v>113</v>
      </c>
      <c r="K563" s="135">
        <v>1</v>
      </c>
      <c r="L563" s="82">
        <v>0</v>
      </c>
      <c r="M563" s="135">
        <f t="shared" si="35"/>
        <v>1</v>
      </c>
      <c r="N563" s="84"/>
      <c r="O563" s="85">
        <f t="shared" si="34"/>
        <v>0</v>
      </c>
    </row>
    <row r="564" spans="6:15" s="70" customFormat="1" ht="12" outlineLevel="1">
      <c r="F564" s="77">
        <v>476</v>
      </c>
      <c r="G564" s="78" t="s">
        <v>192</v>
      </c>
      <c r="H564" s="134"/>
      <c r="I564" s="124" t="s">
        <v>730</v>
      </c>
      <c r="J564" s="134" t="s">
        <v>113</v>
      </c>
      <c r="K564" s="135">
        <v>1</v>
      </c>
      <c r="L564" s="82">
        <v>0</v>
      </c>
      <c r="M564" s="135">
        <f t="shared" si="35"/>
        <v>1</v>
      </c>
      <c r="N564" s="84"/>
      <c r="O564" s="85">
        <f t="shared" si="34"/>
        <v>0</v>
      </c>
    </row>
    <row r="565" spans="6:15" s="70" customFormat="1" ht="12" outlineLevel="1">
      <c r="F565" s="77">
        <v>477</v>
      </c>
      <c r="G565" s="78" t="s">
        <v>192</v>
      </c>
      <c r="H565" s="134"/>
      <c r="I565" s="124" t="s">
        <v>731</v>
      </c>
      <c r="J565" s="134" t="s">
        <v>113</v>
      </c>
      <c r="K565" s="135">
        <v>1</v>
      </c>
      <c r="L565" s="82">
        <v>0</v>
      </c>
      <c r="M565" s="135">
        <f t="shared" si="35"/>
        <v>1</v>
      </c>
      <c r="N565" s="84"/>
      <c r="O565" s="85">
        <f>K565*N565</f>
        <v>0</v>
      </c>
    </row>
    <row r="566" spans="6:15" s="70" customFormat="1" ht="12" outlineLevel="1">
      <c r="F566" s="77">
        <v>478</v>
      </c>
      <c r="G566" s="78" t="s">
        <v>192</v>
      </c>
      <c r="H566" s="134"/>
      <c r="I566" s="124" t="s">
        <v>732</v>
      </c>
      <c r="J566" s="134" t="s">
        <v>723</v>
      </c>
      <c r="K566" s="135">
        <v>5</v>
      </c>
      <c r="L566" s="82">
        <v>0</v>
      </c>
      <c r="M566" s="135">
        <f>K566*(1+L566/100)</f>
        <v>5</v>
      </c>
      <c r="N566" s="84"/>
      <c r="O566" s="85">
        <f>K566*N566</f>
        <v>0</v>
      </c>
    </row>
    <row r="567" spans="6:15" s="70" customFormat="1" ht="12" outlineLevel="1">
      <c r="F567" s="77">
        <v>479</v>
      </c>
      <c r="G567" s="78" t="s">
        <v>192</v>
      </c>
      <c r="H567" s="134"/>
      <c r="I567" s="124" t="s">
        <v>674</v>
      </c>
      <c r="J567" s="134" t="s">
        <v>113</v>
      </c>
      <c r="K567" s="135">
        <v>1</v>
      </c>
      <c r="L567" s="82">
        <v>0</v>
      </c>
      <c r="M567" s="135">
        <f>K567*(1+L567/100)</f>
        <v>1</v>
      </c>
      <c r="N567" s="84"/>
      <c r="O567" s="85">
        <f>K567*N567</f>
        <v>0</v>
      </c>
    </row>
    <row r="568" spans="6:15" s="70" customFormat="1" ht="12" outlineLevel="1">
      <c r="F568" s="77">
        <v>480</v>
      </c>
      <c r="G568" s="78" t="s">
        <v>192</v>
      </c>
      <c r="H568" s="134"/>
      <c r="I568" s="124" t="s">
        <v>733</v>
      </c>
      <c r="J568" s="134" t="s">
        <v>113</v>
      </c>
      <c r="K568" s="135">
        <v>1</v>
      </c>
      <c r="L568" s="82">
        <v>0</v>
      </c>
      <c r="M568" s="135">
        <f>K568*(1+L568/100)</f>
        <v>1</v>
      </c>
      <c r="N568" s="84"/>
      <c r="O568" s="85">
        <f>K568*N568</f>
        <v>0</v>
      </c>
    </row>
    <row r="569" spans="6:15" s="70" customFormat="1" ht="12" outlineLevel="1">
      <c r="F569" s="98"/>
      <c r="G569" s="99"/>
      <c r="H569" s="156"/>
      <c r="I569" s="157"/>
      <c r="J569" s="156"/>
      <c r="K569" s="158"/>
      <c r="L569" s="90"/>
      <c r="M569" s="158"/>
      <c r="N569" s="117"/>
      <c r="O569" s="115"/>
    </row>
    <row r="570" spans="6:15" s="70" customFormat="1" ht="16.5" customHeight="1" outlineLevel="1">
      <c r="F570" s="71"/>
      <c r="G570" s="50"/>
      <c r="H570" s="72"/>
      <c r="I570" s="72" t="s">
        <v>14</v>
      </c>
      <c r="J570" s="50"/>
      <c r="K570" s="73"/>
      <c r="L570" s="74"/>
      <c r="M570" s="75"/>
      <c r="N570" s="74"/>
      <c r="O570" s="8">
        <f>SUBTOTAL(9,O571:O579)</f>
        <v>0</v>
      </c>
    </row>
    <row r="571" spans="6:15" s="70" customFormat="1" ht="12" outlineLevel="1">
      <c r="F571" s="77">
        <v>481</v>
      </c>
      <c r="G571" s="78" t="s">
        <v>35</v>
      </c>
      <c r="H571" s="79" t="s">
        <v>734</v>
      </c>
      <c r="I571" s="80" t="s">
        <v>735</v>
      </c>
      <c r="J571" s="78" t="s">
        <v>38</v>
      </c>
      <c r="K571" s="81">
        <f>83.04+30.05+1.48+1.13</f>
        <v>115.7</v>
      </c>
      <c r="L571" s="82">
        <v>0</v>
      </c>
      <c r="M571" s="83">
        <f aca="true" t="shared" si="36" ref="M571:M579">K571*(1+L571/100)</f>
        <v>115.7</v>
      </c>
      <c r="N571" s="84"/>
      <c r="O571" s="85">
        <f aca="true" t="shared" si="37" ref="O571:O579">M571*N571</f>
        <v>0</v>
      </c>
    </row>
    <row r="572" spans="6:15" s="70" customFormat="1" ht="22.8" outlineLevel="1">
      <c r="F572" s="77">
        <v>482</v>
      </c>
      <c r="G572" s="78" t="s">
        <v>35</v>
      </c>
      <c r="H572" s="79" t="s">
        <v>736</v>
      </c>
      <c r="I572" s="80" t="s">
        <v>737</v>
      </c>
      <c r="J572" s="78" t="s">
        <v>38</v>
      </c>
      <c r="K572" s="81">
        <v>163.14</v>
      </c>
      <c r="L572" s="82">
        <v>0</v>
      </c>
      <c r="M572" s="83">
        <f t="shared" si="36"/>
        <v>163.14</v>
      </c>
      <c r="N572" s="84"/>
      <c r="O572" s="85">
        <f t="shared" si="37"/>
        <v>0</v>
      </c>
    </row>
    <row r="573" spans="6:15" s="70" customFormat="1" ht="12" outlineLevel="1">
      <c r="F573" s="77">
        <v>483</v>
      </c>
      <c r="G573" s="78" t="s">
        <v>35</v>
      </c>
      <c r="H573" s="79" t="s">
        <v>738</v>
      </c>
      <c r="I573" s="80" t="s">
        <v>739</v>
      </c>
      <c r="J573" s="78" t="s">
        <v>38</v>
      </c>
      <c r="K573" s="81">
        <f>(3.5*0.6)+(2.3*0.7)+(1.5*0.4)+(1.85*0.7)</f>
        <v>5.605</v>
      </c>
      <c r="L573" s="82">
        <v>0</v>
      </c>
      <c r="M573" s="83">
        <f t="shared" si="36"/>
        <v>5.605</v>
      </c>
      <c r="N573" s="84"/>
      <c r="O573" s="85">
        <f t="shared" si="37"/>
        <v>0</v>
      </c>
    </row>
    <row r="574" spans="6:15" s="70" customFormat="1" ht="22.8" outlineLevel="1">
      <c r="F574" s="77">
        <v>484</v>
      </c>
      <c r="G574" s="78" t="s">
        <v>35</v>
      </c>
      <c r="H574" s="79" t="s">
        <v>736</v>
      </c>
      <c r="I574" s="80" t="s">
        <v>740</v>
      </c>
      <c r="J574" s="78" t="s">
        <v>38</v>
      </c>
      <c r="K574" s="81">
        <v>7.3</v>
      </c>
      <c r="L574" s="82">
        <v>0</v>
      </c>
      <c r="M574" s="83">
        <f>K574*(1+L574/100)</f>
        <v>7.3</v>
      </c>
      <c r="N574" s="84"/>
      <c r="O574" s="85">
        <f>M574*N574</f>
        <v>0</v>
      </c>
    </row>
    <row r="575" spans="6:15" s="70" customFormat="1" ht="12" outlineLevel="1">
      <c r="F575" s="77">
        <v>485</v>
      </c>
      <c r="G575" s="78" t="s">
        <v>35</v>
      </c>
      <c r="H575" s="79" t="s">
        <v>741</v>
      </c>
      <c r="I575" s="80" t="s">
        <v>742</v>
      </c>
      <c r="J575" s="78" t="s">
        <v>38</v>
      </c>
      <c r="K575" s="81">
        <f>374.52+7.3</f>
        <v>381.82</v>
      </c>
      <c r="L575" s="82">
        <v>0</v>
      </c>
      <c r="M575" s="83">
        <f t="shared" si="36"/>
        <v>381.82</v>
      </c>
      <c r="N575" s="84"/>
      <c r="O575" s="85">
        <f t="shared" si="37"/>
        <v>0</v>
      </c>
    </row>
    <row r="576" spans="6:15" s="70" customFormat="1" ht="159.6" outlineLevel="1">
      <c r="F576" s="77">
        <v>486</v>
      </c>
      <c r="G576" s="78" t="s">
        <v>60</v>
      </c>
      <c r="H576" s="79" t="s">
        <v>743</v>
      </c>
      <c r="I576" s="80" t="s">
        <v>744</v>
      </c>
      <c r="J576" s="78" t="s">
        <v>38</v>
      </c>
      <c r="K576" s="81">
        <f>11.73+3.1+13.32+17.58+79.41+21.72+3.29+1.4+2.3+2.54+1.76+7.31+1.5+2.36+1.5+2.29+6.36+7.3</f>
        <v>186.77</v>
      </c>
      <c r="L576" s="82">
        <v>10</v>
      </c>
      <c r="M576" s="83">
        <f t="shared" si="36"/>
        <v>205.44700000000003</v>
      </c>
      <c r="N576" s="84"/>
      <c r="O576" s="85">
        <f t="shared" si="37"/>
        <v>0</v>
      </c>
    </row>
    <row r="577" spans="6:15" s="70" customFormat="1" ht="216.6" outlineLevel="1">
      <c r="F577" s="77">
        <v>487</v>
      </c>
      <c r="G577" s="78" t="s">
        <v>60</v>
      </c>
      <c r="H577" s="79" t="s">
        <v>745</v>
      </c>
      <c r="I577" s="80" t="s">
        <v>746</v>
      </c>
      <c r="J577" s="78" t="s">
        <v>38</v>
      </c>
      <c r="K577" s="81">
        <f>17.05+19.17+20.4+26.72+27.13+22.34+1.31+20.41</f>
        <v>154.53</v>
      </c>
      <c r="L577" s="82">
        <v>10</v>
      </c>
      <c r="M577" s="83">
        <f t="shared" si="36"/>
        <v>169.983</v>
      </c>
      <c r="N577" s="84"/>
      <c r="O577" s="85">
        <f>M577*N577</f>
        <v>0</v>
      </c>
    </row>
    <row r="578" spans="6:15" s="70" customFormat="1" ht="216.6" outlineLevel="1">
      <c r="F578" s="77">
        <v>488</v>
      </c>
      <c r="G578" s="78" t="s">
        <v>60</v>
      </c>
      <c r="H578" s="79" t="s">
        <v>747</v>
      </c>
      <c r="I578" s="80" t="s">
        <v>748</v>
      </c>
      <c r="J578" s="78" t="s">
        <v>38</v>
      </c>
      <c r="K578" s="81">
        <f>34.21+6.31</f>
        <v>40.52</v>
      </c>
      <c r="L578" s="82">
        <v>10</v>
      </c>
      <c r="M578" s="83">
        <f>K578*(1+L578/100)</f>
        <v>44.57200000000001</v>
      </c>
      <c r="N578" s="84"/>
      <c r="O578" s="85">
        <f>M578*N578</f>
        <v>0</v>
      </c>
    </row>
    <row r="579" spans="6:15" s="70" customFormat="1" ht="12.75" customHeight="1" outlineLevel="1">
      <c r="F579" s="77">
        <v>489</v>
      </c>
      <c r="G579" s="78" t="s">
        <v>35</v>
      </c>
      <c r="H579" s="79" t="s">
        <v>749</v>
      </c>
      <c r="I579" s="80" t="s">
        <v>750</v>
      </c>
      <c r="J579" s="78" t="s">
        <v>367</v>
      </c>
      <c r="K579" s="81">
        <v>2.34</v>
      </c>
      <c r="L579" s="82">
        <v>0</v>
      </c>
      <c r="M579" s="83">
        <f t="shared" si="36"/>
        <v>2.34</v>
      </c>
      <c r="N579" s="84"/>
      <c r="O579" s="85">
        <f t="shared" si="37"/>
        <v>0</v>
      </c>
    </row>
    <row r="580" spans="6:15" s="70" customFormat="1" ht="12.75" customHeight="1" outlineLevel="1">
      <c r="F580" s="98"/>
      <c r="G580" s="99"/>
      <c r="H580" s="92"/>
      <c r="I580" s="113"/>
      <c r="J580" s="99"/>
      <c r="K580" s="114"/>
      <c r="L580" s="90"/>
      <c r="M580" s="91"/>
      <c r="N580" s="90"/>
      <c r="O580" s="91"/>
    </row>
    <row r="581" spans="6:15" s="70" customFormat="1" ht="12.75" customHeight="1" outlineLevel="1">
      <c r="F581" s="71"/>
      <c r="G581" s="50"/>
      <c r="H581" s="72"/>
      <c r="I581" s="72" t="s">
        <v>15</v>
      </c>
      <c r="J581" s="50"/>
      <c r="K581" s="75"/>
      <c r="L581" s="74"/>
      <c r="M581" s="75"/>
      <c r="N581" s="74"/>
      <c r="O581" s="8">
        <f>SUM(O582:O583)</f>
        <v>0</v>
      </c>
    </row>
    <row r="582" spans="6:15" s="70" customFormat="1" ht="12.75" customHeight="1" outlineLevel="1">
      <c r="F582" s="77">
        <v>490</v>
      </c>
      <c r="G582" s="78" t="s">
        <v>35</v>
      </c>
      <c r="H582" s="79" t="s">
        <v>751</v>
      </c>
      <c r="I582" s="80" t="s">
        <v>752</v>
      </c>
      <c r="J582" s="78" t="s">
        <v>69</v>
      </c>
      <c r="K582" s="83">
        <v>16.08</v>
      </c>
      <c r="L582" s="82">
        <v>0</v>
      </c>
      <c r="M582" s="83">
        <f>K582*(1+L582/100)</f>
        <v>16.08</v>
      </c>
      <c r="N582" s="84"/>
      <c r="O582" s="85">
        <f>M582*N582</f>
        <v>0</v>
      </c>
    </row>
    <row r="583" spans="6:15" s="70" customFormat="1" ht="12.75" customHeight="1" outlineLevel="1">
      <c r="F583" s="77">
        <v>491</v>
      </c>
      <c r="G583" s="78" t="s">
        <v>35</v>
      </c>
      <c r="H583" s="79" t="s">
        <v>753</v>
      </c>
      <c r="I583" s="80" t="s">
        <v>754</v>
      </c>
      <c r="J583" s="78" t="s">
        <v>69</v>
      </c>
      <c r="K583" s="83">
        <v>16.08</v>
      </c>
      <c r="L583" s="82">
        <v>5</v>
      </c>
      <c r="M583" s="83">
        <f>K583*(1+L583/100)</f>
        <v>16.884</v>
      </c>
      <c r="N583" s="84"/>
      <c r="O583" s="85">
        <f>M583*N583</f>
        <v>0</v>
      </c>
    </row>
    <row r="584" spans="6:15" s="70" customFormat="1" ht="12.75" customHeight="1" outlineLevel="1">
      <c r="F584" s="98"/>
      <c r="G584" s="99"/>
      <c r="H584" s="92"/>
      <c r="I584" s="113"/>
      <c r="J584" s="99"/>
      <c r="K584" s="114"/>
      <c r="L584" s="90"/>
      <c r="M584" s="91"/>
      <c r="N584" s="90"/>
      <c r="O584" s="91"/>
    </row>
    <row r="585" spans="6:15" s="70" customFormat="1" ht="16.5" customHeight="1" outlineLevel="1">
      <c r="F585" s="71"/>
      <c r="G585" s="50"/>
      <c r="H585" s="72"/>
      <c r="I585" s="72" t="s">
        <v>755</v>
      </c>
      <c r="J585" s="50"/>
      <c r="K585" s="73"/>
      <c r="L585" s="74"/>
      <c r="M585" s="75"/>
      <c r="N585" s="74"/>
      <c r="O585" s="8">
        <f>SUM(O586:O619)</f>
        <v>0</v>
      </c>
    </row>
    <row r="586" spans="6:15" s="70" customFormat="1" ht="22.8" outlineLevel="1">
      <c r="F586" s="77">
        <v>492</v>
      </c>
      <c r="G586" s="78" t="s">
        <v>35</v>
      </c>
      <c r="H586" s="79" t="s">
        <v>756</v>
      </c>
      <c r="I586" s="80" t="s">
        <v>757</v>
      </c>
      <c r="J586" s="78" t="s">
        <v>38</v>
      </c>
      <c r="K586" s="81">
        <f>0.75*2.1+1.5*1.5*5+2.1*2.1*4+5.7*2.1+2.1*2*2.2</f>
        <v>51.675000000000004</v>
      </c>
      <c r="L586" s="82">
        <v>0</v>
      </c>
      <c r="M586" s="83">
        <f aca="true" t="shared" si="38" ref="M586:M619">K586*(1+L586/100)</f>
        <v>51.675000000000004</v>
      </c>
      <c r="N586" s="84"/>
      <c r="O586" s="85">
        <f aca="true" t="shared" si="39" ref="O586:O619">M586*N586</f>
        <v>0</v>
      </c>
    </row>
    <row r="587" spans="6:15" s="70" customFormat="1" ht="22.8" outlineLevel="1">
      <c r="F587" s="77">
        <v>493</v>
      </c>
      <c r="G587" s="78" t="s">
        <v>35</v>
      </c>
      <c r="H587" s="79" t="s">
        <v>758</v>
      </c>
      <c r="I587" s="80" t="s">
        <v>759</v>
      </c>
      <c r="J587" s="78" t="s">
        <v>38</v>
      </c>
      <c r="K587" s="81">
        <f>(2.3+2.8)*2.6</f>
        <v>13.26</v>
      </c>
      <c r="L587" s="82">
        <v>0</v>
      </c>
      <c r="M587" s="83">
        <f t="shared" si="38"/>
        <v>13.26</v>
      </c>
      <c r="N587" s="84"/>
      <c r="O587" s="85">
        <f t="shared" si="39"/>
        <v>0</v>
      </c>
    </row>
    <row r="588" spans="6:15" s="70" customFormat="1" ht="16.5" customHeight="1" outlineLevel="1">
      <c r="F588" s="77">
        <v>494</v>
      </c>
      <c r="G588" s="78" t="s">
        <v>35</v>
      </c>
      <c r="H588" s="79" t="s">
        <v>760</v>
      </c>
      <c r="I588" s="80" t="s">
        <v>761</v>
      </c>
      <c r="J588" s="78" t="s">
        <v>43</v>
      </c>
      <c r="K588" s="81">
        <v>25</v>
      </c>
      <c r="L588" s="82">
        <v>0</v>
      </c>
      <c r="M588" s="83">
        <f t="shared" si="38"/>
        <v>25</v>
      </c>
      <c r="N588" s="84"/>
      <c r="O588" s="85">
        <f t="shared" si="39"/>
        <v>0</v>
      </c>
    </row>
    <row r="589" spans="6:15" s="70" customFormat="1" ht="22.8" outlineLevel="1">
      <c r="F589" s="77">
        <v>495</v>
      </c>
      <c r="G589" s="78" t="s">
        <v>35</v>
      </c>
      <c r="H589" s="79" t="s">
        <v>762</v>
      </c>
      <c r="I589" s="80" t="s">
        <v>763</v>
      </c>
      <c r="J589" s="78" t="s">
        <v>43</v>
      </c>
      <c r="K589" s="81">
        <v>8</v>
      </c>
      <c r="L589" s="82">
        <v>0</v>
      </c>
      <c r="M589" s="83">
        <f t="shared" si="38"/>
        <v>8</v>
      </c>
      <c r="N589" s="84"/>
      <c r="O589" s="85">
        <f t="shared" si="39"/>
        <v>0</v>
      </c>
    </row>
    <row r="590" spans="6:15" s="70" customFormat="1" ht="12" outlineLevel="1">
      <c r="F590" s="77">
        <v>496</v>
      </c>
      <c r="G590" s="78" t="s">
        <v>35</v>
      </c>
      <c r="H590" s="79" t="s">
        <v>764</v>
      </c>
      <c r="I590" s="80" t="s">
        <v>765</v>
      </c>
      <c r="J590" s="78" t="s">
        <v>69</v>
      </c>
      <c r="K590" s="81">
        <v>4.25</v>
      </c>
      <c r="L590" s="82">
        <v>0</v>
      </c>
      <c r="M590" s="83">
        <f t="shared" si="38"/>
        <v>4.25</v>
      </c>
      <c r="N590" s="84"/>
      <c r="O590" s="85">
        <f t="shared" si="39"/>
        <v>0</v>
      </c>
    </row>
    <row r="591" spans="6:15" s="70" customFormat="1" ht="12" outlineLevel="1">
      <c r="F591" s="77">
        <v>497</v>
      </c>
      <c r="G591" s="78" t="s">
        <v>35</v>
      </c>
      <c r="H591" s="79" t="s">
        <v>766</v>
      </c>
      <c r="I591" s="80" t="s">
        <v>767</v>
      </c>
      <c r="J591" s="78" t="s">
        <v>43</v>
      </c>
      <c r="K591" s="81">
        <v>9</v>
      </c>
      <c r="L591" s="82">
        <v>0</v>
      </c>
      <c r="M591" s="83">
        <f>K591*(1+L591/100)</f>
        <v>9</v>
      </c>
      <c r="N591" s="84"/>
      <c r="O591" s="85">
        <f>M591*N591</f>
        <v>0</v>
      </c>
    </row>
    <row r="592" spans="6:15" s="76" customFormat="1" ht="22.8" outlineLevel="2">
      <c r="F592" s="77">
        <v>498</v>
      </c>
      <c r="G592" s="78" t="s">
        <v>35</v>
      </c>
      <c r="H592" s="79" t="s">
        <v>768</v>
      </c>
      <c r="I592" s="80" t="s">
        <v>769</v>
      </c>
      <c r="J592" s="78" t="s">
        <v>43</v>
      </c>
      <c r="K592" s="81">
        <v>2</v>
      </c>
      <c r="L592" s="82">
        <v>0</v>
      </c>
      <c r="M592" s="83">
        <f t="shared" si="38"/>
        <v>2</v>
      </c>
      <c r="N592" s="84"/>
      <c r="O592" s="85">
        <f t="shared" si="39"/>
        <v>0</v>
      </c>
    </row>
    <row r="593" spans="6:15" s="76" customFormat="1" ht="22.8" outlineLevel="2">
      <c r="F593" s="77">
        <v>499</v>
      </c>
      <c r="G593" s="78" t="s">
        <v>35</v>
      </c>
      <c r="H593" s="79" t="s">
        <v>770</v>
      </c>
      <c r="I593" s="80" t="s">
        <v>771</v>
      </c>
      <c r="J593" s="78" t="s">
        <v>43</v>
      </c>
      <c r="K593" s="81">
        <v>6</v>
      </c>
      <c r="L593" s="82">
        <v>0</v>
      </c>
      <c r="M593" s="83">
        <f t="shared" si="38"/>
        <v>6</v>
      </c>
      <c r="N593" s="84"/>
      <c r="O593" s="85">
        <f t="shared" si="39"/>
        <v>0</v>
      </c>
    </row>
    <row r="594" spans="6:15" s="76" customFormat="1" ht="22.8" outlineLevel="2">
      <c r="F594" s="77">
        <v>500</v>
      </c>
      <c r="G594" s="78" t="s">
        <v>35</v>
      </c>
      <c r="H594" s="79" t="s">
        <v>772</v>
      </c>
      <c r="I594" s="80" t="s">
        <v>773</v>
      </c>
      <c r="J594" s="78" t="s">
        <v>43</v>
      </c>
      <c r="K594" s="81">
        <v>1</v>
      </c>
      <c r="L594" s="82">
        <v>0</v>
      </c>
      <c r="M594" s="83">
        <f t="shared" si="38"/>
        <v>1</v>
      </c>
      <c r="N594" s="84"/>
      <c r="O594" s="85">
        <f t="shared" si="39"/>
        <v>0</v>
      </c>
    </row>
    <row r="595" spans="6:15" s="76" customFormat="1" ht="22.8" outlineLevel="2">
      <c r="F595" s="77">
        <v>501</v>
      </c>
      <c r="G595" s="78" t="s">
        <v>35</v>
      </c>
      <c r="H595" s="79" t="s">
        <v>774</v>
      </c>
      <c r="I595" s="80" t="s">
        <v>775</v>
      </c>
      <c r="J595" s="78" t="s">
        <v>43</v>
      </c>
      <c r="K595" s="81">
        <v>1</v>
      </c>
      <c r="L595" s="82">
        <v>0</v>
      </c>
      <c r="M595" s="83">
        <f t="shared" si="38"/>
        <v>1</v>
      </c>
      <c r="N595" s="84"/>
      <c r="O595" s="85">
        <f t="shared" si="39"/>
        <v>0</v>
      </c>
    </row>
    <row r="596" spans="6:15" s="76" customFormat="1" ht="22.8" outlineLevel="2">
      <c r="F596" s="77">
        <v>502</v>
      </c>
      <c r="G596" s="78" t="s">
        <v>35</v>
      </c>
      <c r="H596" s="79" t="s">
        <v>776</v>
      </c>
      <c r="I596" s="80" t="s">
        <v>777</v>
      </c>
      <c r="J596" s="78" t="s">
        <v>43</v>
      </c>
      <c r="K596" s="81">
        <v>2</v>
      </c>
      <c r="L596" s="82">
        <v>0</v>
      </c>
      <c r="M596" s="83">
        <f t="shared" si="38"/>
        <v>2</v>
      </c>
      <c r="N596" s="84"/>
      <c r="O596" s="85">
        <f t="shared" si="39"/>
        <v>0</v>
      </c>
    </row>
    <row r="597" spans="6:15" s="76" customFormat="1" ht="22.8" outlineLevel="2">
      <c r="F597" s="77">
        <v>503</v>
      </c>
      <c r="G597" s="78" t="s">
        <v>35</v>
      </c>
      <c r="H597" s="79" t="s">
        <v>776</v>
      </c>
      <c r="I597" s="80" t="s">
        <v>778</v>
      </c>
      <c r="J597" s="78" t="s">
        <v>43</v>
      </c>
      <c r="K597" s="81">
        <v>1</v>
      </c>
      <c r="L597" s="82">
        <v>0</v>
      </c>
      <c r="M597" s="83">
        <f t="shared" si="38"/>
        <v>1</v>
      </c>
      <c r="N597" s="84"/>
      <c r="O597" s="85">
        <f>M597*N597</f>
        <v>0</v>
      </c>
    </row>
    <row r="598" spans="6:15" s="76" customFormat="1" ht="22.8" outlineLevel="2">
      <c r="F598" s="77">
        <v>504</v>
      </c>
      <c r="G598" s="78" t="s">
        <v>35</v>
      </c>
      <c r="H598" s="79" t="s">
        <v>776</v>
      </c>
      <c r="I598" s="80" t="s">
        <v>779</v>
      </c>
      <c r="J598" s="78" t="s">
        <v>43</v>
      </c>
      <c r="K598" s="81">
        <v>2</v>
      </c>
      <c r="L598" s="82">
        <v>0</v>
      </c>
      <c r="M598" s="83">
        <f t="shared" si="38"/>
        <v>2</v>
      </c>
      <c r="N598" s="84"/>
      <c r="O598" s="85">
        <f>M598*N598</f>
        <v>0</v>
      </c>
    </row>
    <row r="599" spans="6:15" s="76" customFormat="1" ht="22.8" outlineLevel="2">
      <c r="F599" s="77">
        <v>505</v>
      </c>
      <c r="G599" s="78" t="s">
        <v>35</v>
      </c>
      <c r="H599" s="79" t="s">
        <v>780</v>
      </c>
      <c r="I599" s="80" t="s">
        <v>781</v>
      </c>
      <c r="J599" s="78" t="s">
        <v>43</v>
      </c>
      <c r="K599" s="81">
        <v>1</v>
      </c>
      <c r="L599" s="82">
        <v>0</v>
      </c>
      <c r="M599" s="83">
        <f t="shared" si="38"/>
        <v>1</v>
      </c>
      <c r="N599" s="84"/>
      <c r="O599" s="85">
        <f t="shared" si="39"/>
        <v>0</v>
      </c>
    </row>
    <row r="600" spans="6:15" s="76" customFormat="1" ht="22.8" outlineLevel="2">
      <c r="F600" s="77">
        <v>506</v>
      </c>
      <c r="G600" s="78" t="s">
        <v>35</v>
      </c>
      <c r="H600" s="79" t="s">
        <v>780</v>
      </c>
      <c r="I600" s="80" t="s">
        <v>782</v>
      </c>
      <c r="J600" s="78" t="s">
        <v>43</v>
      </c>
      <c r="K600" s="81">
        <v>1</v>
      </c>
      <c r="L600" s="82">
        <v>0</v>
      </c>
      <c r="M600" s="83">
        <f t="shared" si="38"/>
        <v>1</v>
      </c>
      <c r="N600" s="84"/>
      <c r="O600" s="85">
        <f t="shared" si="39"/>
        <v>0</v>
      </c>
    </row>
    <row r="601" spans="6:15" s="76" customFormat="1" ht="22.8" outlineLevel="2">
      <c r="F601" s="77">
        <v>507</v>
      </c>
      <c r="G601" s="78" t="s">
        <v>35</v>
      </c>
      <c r="H601" s="79" t="s">
        <v>783</v>
      </c>
      <c r="I601" s="80" t="s">
        <v>784</v>
      </c>
      <c r="J601" s="78" t="s">
        <v>43</v>
      </c>
      <c r="K601" s="81">
        <v>4</v>
      </c>
      <c r="L601" s="82">
        <v>0</v>
      </c>
      <c r="M601" s="83">
        <f t="shared" si="38"/>
        <v>4</v>
      </c>
      <c r="N601" s="84"/>
      <c r="O601" s="85">
        <f t="shared" si="39"/>
        <v>0</v>
      </c>
    </row>
    <row r="602" spans="6:15" s="76" customFormat="1" ht="34.2" outlineLevel="2">
      <c r="F602" s="77">
        <v>508</v>
      </c>
      <c r="G602" s="78" t="s">
        <v>35</v>
      </c>
      <c r="H602" s="79" t="s">
        <v>785</v>
      </c>
      <c r="I602" s="80" t="s">
        <v>786</v>
      </c>
      <c r="J602" s="78" t="s">
        <v>43</v>
      </c>
      <c r="K602" s="81">
        <v>1</v>
      </c>
      <c r="L602" s="82">
        <v>0</v>
      </c>
      <c r="M602" s="83">
        <f t="shared" si="38"/>
        <v>1</v>
      </c>
      <c r="N602" s="84"/>
      <c r="O602" s="85">
        <f t="shared" si="39"/>
        <v>0</v>
      </c>
    </row>
    <row r="603" spans="6:15" s="76" customFormat="1" ht="22.8" outlineLevel="2">
      <c r="F603" s="77">
        <v>509</v>
      </c>
      <c r="G603" s="78" t="s">
        <v>35</v>
      </c>
      <c r="H603" s="79" t="s">
        <v>783</v>
      </c>
      <c r="I603" s="80" t="s">
        <v>787</v>
      </c>
      <c r="J603" s="78" t="s">
        <v>43</v>
      </c>
      <c r="K603" s="81">
        <v>1</v>
      </c>
      <c r="L603" s="82">
        <v>0</v>
      </c>
      <c r="M603" s="83">
        <f t="shared" si="38"/>
        <v>1</v>
      </c>
      <c r="N603" s="84"/>
      <c r="O603" s="85">
        <f t="shared" si="39"/>
        <v>0</v>
      </c>
    </row>
    <row r="604" spans="6:15" s="76" customFormat="1" ht="22.8" outlineLevel="2">
      <c r="F604" s="77">
        <v>510</v>
      </c>
      <c r="G604" s="78" t="s">
        <v>35</v>
      </c>
      <c r="H604" s="79" t="s">
        <v>783</v>
      </c>
      <c r="I604" s="80" t="s">
        <v>788</v>
      </c>
      <c r="J604" s="78" t="s">
        <v>43</v>
      </c>
      <c r="K604" s="81">
        <v>11</v>
      </c>
      <c r="L604" s="82">
        <v>0</v>
      </c>
      <c r="M604" s="83">
        <f t="shared" si="38"/>
        <v>11</v>
      </c>
      <c r="N604" s="84"/>
      <c r="O604" s="85">
        <f t="shared" si="39"/>
        <v>0</v>
      </c>
    </row>
    <row r="605" spans="6:15" s="76" customFormat="1" ht="22.8" outlineLevel="2">
      <c r="F605" s="77">
        <v>511</v>
      </c>
      <c r="G605" s="78" t="s">
        <v>35</v>
      </c>
      <c r="H605" s="79" t="s">
        <v>783</v>
      </c>
      <c r="I605" s="80" t="s">
        <v>789</v>
      </c>
      <c r="J605" s="78" t="s">
        <v>43</v>
      </c>
      <c r="K605" s="81">
        <v>2</v>
      </c>
      <c r="L605" s="82">
        <v>0</v>
      </c>
      <c r="M605" s="83">
        <f t="shared" si="38"/>
        <v>2</v>
      </c>
      <c r="N605" s="84"/>
      <c r="O605" s="85">
        <f t="shared" si="39"/>
        <v>0</v>
      </c>
    </row>
    <row r="606" spans="6:15" s="76" customFormat="1" ht="22.8" outlineLevel="2">
      <c r="F606" s="311">
        <v>512</v>
      </c>
      <c r="G606" s="312" t="s">
        <v>35</v>
      </c>
      <c r="H606" s="313" t="s">
        <v>790</v>
      </c>
      <c r="I606" s="314" t="s">
        <v>791</v>
      </c>
      <c r="J606" s="312" t="s">
        <v>217</v>
      </c>
      <c r="K606" s="315">
        <v>15</v>
      </c>
      <c r="L606" s="316">
        <v>0</v>
      </c>
      <c r="M606" s="317">
        <f t="shared" si="38"/>
        <v>15</v>
      </c>
      <c r="N606" s="318"/>
      <c r="O606" s="319">
        <f t="shared" si="39"/>
        <v>0</v>
      </c>
    </row>
    <row r="607" spans="6:15" s="76" customFormat="1" ht="22.8" outlineLevel="2">
      <c r="F607" s="77">
        <v>513</v>
      </c>
      <c r="G607" s="159" t="s">
        <v>35</v>
      </c>
      <c r="H607" s="160" t="s">
        <v>792</v>
      </c>
      <c r="I607" s="161" t="s">
        <v>793</v>
      </c>
      <c r="J607" s="159" t="s">
        <v>217</v>
      </c>
      <c r="K607" s="162">
        <v>2</v>
      </c>
      <c r="L607" s="163">
        <v>0</v>
      </c>
      <c r="M607" s="164">
        <f t="shared" si="38"/>
        <v>2</v>
      </c>
      <c r="N607" s="165"/>
      <c r="O607" s="166">
        <f t="shared" si="39"/>
        <v>0</v>
      </c>
    </row>
    <row r="608" spans="6:15" s="76" customFormat="1" ht="22.8" outlineLevel="2">
      <c r="F608" s="77">
        <v>514</v>
      </c>
      <c r="G608" s="159" t="s">
        <v>35</v>
      </c>
      <c r="H608" s="160" t="s">
        <v>794</v>
      </c>
      <c r="I608" s="80" t="s">
        <v>795</v>
      </c>
      <c r="J608" s="159" t="s">
        <v>217</v>
      </c>
      <c r="K608" s="162">
        <v>1</v>
      </c>
      <c r="L608" s="163">
        <v>0</v>
      </c>
      <c r="M608" s="164">
        <f t="shared" si="38"/>
        <v>1</v>
      </c>
      <c r="N608" s="165"/>
      <c r="O608" s="166">
        <f t="shared" si="39"/>
        <v>0</v>
      </c>
    </row>
    <row r="609" spans="6:15" s="76" customFormat="1" ht="22.8" outlineLevel="2">
      <c r="F609" s="77">
        <v>515</v>
      </c>
      <c r="G609" s="159" t="s">
        <v>35</v>
      </c>
      <c r="H609" s="160" t="s">
        <v>796</v>
      </c>
      <c r="I609" s="161" t="s">
        <v>797</v>
      </c>
      <c r="J609" s="159" t="s">
        <v>217</v>
      </c>
      <c r="K609" s="162">
        <v>2</v>
      </c>
      <c r="L609" s="163">
        <v>0</v>
      </c>
      <c r="M609" s="164">
        <f t="shared" si="38"/>
        <v>2</v>
      </c>
      <c r="N609" s="165"/>
      <c r="O609" s="166">
        <f t="shared" si="39"/>
        <v>0</v>
      </c>
    </row>
    <row r="610" spans="6:15" s="76" customFormat="1" ht="22.8" outlineLevel="2">
      <c r="F610" s="77">
        <v>516</v>
      </c>
      <c r="G610" s="159" t="s">
        <v>35</v>
      </c>
      <c r="H610" s="160" t="s">
        <v>798</v>
      </c>
      <c r="I610" s="161" t="s">
        <v>795</v>
      </c>
      <c r="J610" s="159" t="s">
        <v>217</v>
      </c>
      <c r="K610" s="162">
        <v>3</v>
      </c>
      <c r="L610" s="163">
        <v>0</v>
      </c>
      <c r="M610" s="164">
        <f t="shared" si="38"/>
        <v>3</v>
      </c>
      <c r="N610" s="165"/>
      <c r="O610" s="166">
        <f t="shared" si="39"/>
        <v>0</v>
      </c>
    </row>
    <row r="611" spans="6:15" s="76" customFormat="1" ht="22.8" outlineLevel="2">
      <c r="F611" s="77">
        <v>517</v>
      </c>
      <c r="G611" s="159" t="s">
        <v>35</v>
      </c>
      <c r="H611" s="160" t="s">
        <v>799</v>
      </c>
      <c r="I611" s="161" t="s">
        <v>800</v>
      </c>
      <c r="J611" s="159" t="s">
        <v>217</v>
      </c>
      <c r="K611" s="162">
        <v>2</v>
      </c>
      <c r="L611" s="163">
        <v>0</v>
      </c>
      <c r="M611" s="164">
        <f t="shared" si="38"/>
        <v>2</v>
      </c>
      <c r="N611" s="165"/>
      <c r="O611" s="166">
        <f t="shared" si="39"/>
        <v>0</v>
      </c>
    </row>
    <row r="612" spans="6:15" s="76" customFormat="1" ht="22.8" outlineLevel="2">
      <c r="F612" s="77">
        <v>518</v>
      </c>
      <c r="G612" s="159" t="s">
        <v>35</v>
      </c>
      <c r="H612" s="160" t="s">
        <v>801</v>
      </c>
      <c r="I612" s="161" t="s">
        <v>800</v>
      </c>
      <c r="J612" s="159" t="s">
        <v>217</v>
      </c>
      <c r="K612" s="162">
        <v>2</v>
      </c>
      <c r="L612" s="163">
        <v>0</v>
      </c>
      <c r="M612" s="164">
        <f t="shared" si="38"/>
        <v>2</v>
      </c>
      <c r="N612" s="165"/>
      <c r="O612" s="166">
        <f t="shared" si="39"/>
        <v>0</v>
      </c>
    </row>
    <row r="613" spans="6:15" s="76" customFormat="1" ht="22.8" outlineLevel="2">
      <c r="F613" s="77">
        <v>519</v>
      </c>
      <c r="G613" s="159" t="s">
        <v>35</v>
      </c>
      <c r="H613" s="160" t="s">
        <v>802</v>
      </c>
      <c r="I613" s="161" t="s">
        <v>803</v>
      </c>
      <c r="J613" s="159" t="s">
        <v>217</v>
      </c>
      <c r="K613" s="162">
        <v>1</v>
      </c>
      <c r="L613" s="163">
        <v>0</v>
      </c>
      <c r="M613" s="164">
        <f t="shared" si="38"/>
        <v>1</v>
      </c>
      <c r="N613" s="165"/>
      <c r="O613" s="166">
        <f t="shared" si="39"/>
        <v>0</v>
      </c>
    </row>
    <row r="614" spans="6:15" s="76" customFormat="1" ht="22.8" outlineLevel="2">
      <c r="F614" s="77">
        <v>520</v>
      </c>
      <c r="G614" s="159" t="s">
        <v>35</v>
      </c>
      <c r="H614" s="160" t="s">
        <v>804</v>
      </c>
      <c r="I614" s="161" t="s">
        <v>800</v>
      </c>
      <c r="J614" s="159" t="s">
        <v>217</v>
      </c>
      <c r="K614" s="162">
        <v>1</v>
      </c>
      <c r="L614" s="163">
        <v>0</v>
      </c>
      <c r="M614" s="164">
        <f t="shared" si="38"/>
        <v>1</v>
      </c>
      <c r="N614" s="165"/>
      <c r="O614" s="166">
        <f t="shared" si="39"/>
        <v>0</v>
      </c>
    </row>
    <row r="615" spans="6:15" s="76" customFormat="1" ht="22.8" outlineLevel="2">
      <c r="F615" s="77">
        <v>521</v>
      </c>
      <c r="G615" s="159" t="s">
        <v>35</v>
      </c>
      <c r="H615" s="160" t="s">
        <v>805</v>
      </c>
      <c r="I615" s="161" t="s">
        <v>806</v>
      </c>
      <c r="J615" s="159" t="s">
        <v>217</v>
      </c>
      <c r="K615" s="162">
        <v>1</v>
      </c>
      <c r="L615" s="163">
        <v>0</v>
      </c>
      <c r="M615" s="164">
        <f t="shared" si="38"/>
        <v>1</v>
      </c>
      <c r="N615" s="165"/>
      <c r="O615" s="166">
        <f t="shared" si="39"/>
        <v>0</v>
      </c>
    </row>
    <row r="616" spans="6:15" s="76" customFormat="1" ht="22.8" outlineLevel="2">
      <c r="F616" s="77">
        <v>522</v>
      </c>
      <c r="G616" s="159" t="s">
        <v>35</v>
      </c>
      <c r="H616" s="160" t="s">
        <v>807</v>
      </c>
      <c r="I616" s="161" t="s">
        <v>808</v>
      </c>
      <c r="J616" s="159" t="s">
        <v>217</v>
      </c>
      <c r="K616" s="162">
        <v>1</v>
      </c>
      <c r="L616" s="163">
        <v>0</v>
      </c>
      <c r="M616" s="164">
        <f t="shared" si="38"/>
        <v>1</v>
      </c>
      <c r="N616" s="165"/>
      <c r="O616" s="166">
        <f t="shared" si="39"/>
        <v>0</v>
      </c>
    </row>
    <row r="617" spans="6:15" s="76" customFormat="1" ht="22.8" outlineLevel="2">
      <c r="F617" s="77">
        <v>523</v>
      </c>
      <c r="G617" s="159" t="s">
        <v>35</v>
      </c>
      <c r="H617" s="160" t="s">
        <v>809</v>
      </c>
      <c r="I617" s="161" t="s">
        <v>810</v>
      </c>
      <c r="J617" s="159" t="s">
        <v>217</v>
      </c>
      <c r="K617" s="162">
        <v>1</v>
      </c>
      <c r="L617" s="163">
        <v>0</v>
      </c>
      <c r="M617" s="164">
        <f t="shared" si="38"/>
        <v>1</v>
      </c>
      <c r="N617" s="165"/>
      <c r="O617" s="166">
        <f t="shared" si="39"/>
        <v>0</v>
      </c>
    </row>
    <row r="618" spans="6:15" s="76" customFormat="1" ht="22.8" outlineLevel="2">
      <c r="F618" s="77">
        <v>524</v>
      </c>
      <c r="G618" s="159" t="s">
        <v>35</v>
      </c>
      <c r="H618" s="160" t="s">
        <v>811</v>
      </c>
      <c r="I618" s="161" t="s">
        <v>812</v>
      </c>
      <c r="J618" s="159" t="s">
        <v>217</v>
      </c>
      <c r="K618" s="162">
        <v>1</v>
      </c>
      <c r="L618" s="163">
        <v>0</v>
      </c>
      <c r="M618" s="164">
        <f t="shared" si="38"/>
        <v>1</v>
      </c>
      <c r="N618" s="165"/>
      <c r="O618" s="166">
        <f t="shared" si="39"/>
        <v>0</v>
      </c>
    </row>
    <row r="619" spans="6:15" s="76" customFormat="1" ht="11.4" outlineLevel="2">
      <c r="F619" s="77">
        <v>525</v>
      </c>
      <c r="G619" s="78" t="s">
        <v>35</v>
      </c>
      <c r="H619" s="79" t="s">
        <v>813</v>
      </c>
      <c r="I619" s="80" t="s">
        <v>814</v>
      </c>
      <c r="J619" s="78" t="s">
        <v>367</v>
      </c>
      <c r="K619" s="81">
        <v>2.5</v>
      </c>
      <c r="L619" s="82">
        <v>0</v>
      </c>
      <c r="M619" s="83">
        <f t="shared" si="38"/>
        <v>2.5</v>
      </c>
      <c r="N619" s="84"/>
      <c r="O619" s="85">
        <f t="shared" si="39"/>
        <v>0</v>
      </c>
    </row>
    <row r="620" spans="6:15" s="62" customFormat="1" ht="12.75" customHeight="1" outlineLevel="2">
      <c r="F620" s="63"/>
      <c r="G620" s="64"/>
      <c r="H620" s="64"/>
      <c r="I620" s="65"/>
      <c r="J620" s="64"/>
      <c r="K620" s="66"/>
      <c r="L620" s="67"/>
      <c r="M620" s="68"/>
      <c r="N620" s="67"/>
      <c r="O620" s="69"/>
    </row>
    <row r="621" spans="6:15" s="70" customFormat="1" ht="16.5" customHeight="1" outlineLevel="1">
      <c r="F621" s="71"/>
      <c r="G621" s="50"/>
      <c r="H621" s="72"/>
      <c r="I621" s="72" t="s">
        <v>815</v>
      </c>
      <c r="J621" s="50"/>
      <c r="K621" s="73"/>
      <c r="L621" s="74"/>
      <c r="M621" s="75"/>
      <c r="N621" s="74"/>
      <c r="O621" s="8">
        <f>SUBTOTAL(9,O622:O629)</f>
        <v>0</v>
      </c>
    </row>
    <row r="622" spans="6:15" s="70" customFormat="1" ht="12" outlineLevel="1">
      <c r="F622" s="77">
        <v>526</v>
      </c>
      <c r="G622" s="78" t="s">
        <v>35</v>
      </c>
      <c r="H622" s="79" t="s">
        <v>816</v>
      </c>
      <c r="I622" s="80" t="s">
        <v>817</v>
      </c>
      <c r="J622" s="78" t="s">
        <v>43</v>
      </c>
      <c r="K622" s="81">
        <v>8</v>
      </c>
      <c r="L622" s="82">
        <v>0</v>
      </c>
      <c r="M622" s="83">
        <f aca="true" t="shared" si="40" ref="M622:M629">K622*(1+L622/100)</f>
        <v>8</v>
      </c>
      <c r="N622" s="84"/>
      <c r="O622" s="85">
        <f aca="true" t="shared" si="41" ref="O622:O629">M622*N622</f>
        <v>0</v>
      </c>
    </row>
    <row r="623" spans="6:15" s="70" customFormat="1" ht="12" outlineLevel="1">
      <c r="F623" s="77">
        <v>527</v>
      </c>
      <c r="G623" s="78" t="s">
        <v>35</v>
      </c>
      <c r="H623" s="79" t="s">
        <v>818</v>
      </c>
      <c r="I623" s="80" t="s">
        <v>819</v>
      </c>
      <c r="J623" s="78" t="s">
        <v>43</v>
      </c>
      <c r="K623" s="81">
        <v>1</v>
      </c>
      <c r="L623" s="82">
        <v>0</v>
      </c>
      <c r="M623" s="83">
        <f t="shared" si="40"/>
        <v>1</v>
      </c>
      <c r="N623" s="84"/>
      <c r="O623" s="85">
        <f t="shared" si="41"/>
        <v>0</v>
      </c>
    </row>
    <row r="624" spans="6:15" s="70" customFormat="1" ht="12" outlineLevel="1">
      <c r="F624" s="77">
        <v>528</v>
      </c>
      <c r="G624" s="78" t="s">
        <v>35</v>
      </c>
      <c r="H624" s="79" t="s">
        <v>820</v>
      </c>
      <c r="I624" s="80" t="s">
        <v>821</v>
      </c>
      <c r="J624" s="78" t="s">
        <v>43</v>
      </c>
      <c r="K624" s="81">
        <v>2</v>
      </c>
      <c r="L624" s="82">
        <v>0</v>
      </c>
      <c r="M624" s="83">
        <f t="shared" si="40"/>
        <v>2</v>
      </c>
      <c r="N624" s="84"/>
      <c r="O624" s="85">
        <f t="shared" si="41"/>
        <v>0</v>
      </c>
    </row>
    <row r="625" spans="6:15" s="70" customFormat="1" ht="12" outlineLevel="1">
      <c r="F625" s="77">
        <v>529</v>
      </c>
      <c r="G625" s="78" t="s">
        <v>35</v>
      </c>
      <c r="H625" s="79" t="s">
        <v>822</v>
      </c>
      <c r="I625" s="80" t="s">
        <v>823</v>
      </c>
      <c r="J625" s="78" t="s">
        <v>43</v>
      </c>
      <c r="K625" s="81">
        <v>1</v>
      </c>
      <c r="L625" s="82">
        <v>0</v>
      </c>
      <c r="M625" s="83">
        <f t="shared" si="40"/>
        <v>1</v>
      </c>
      <c r="N625" s="84"/>
      <c r="O625" s="85">
        <f t="shared" si="41"/>
        <v>0</v>
      </c>
    </row>
    <row r="626" spans="6:15" s="76" customFormat="1" ht="11.4" outlineLevel="2">
      <c r="F626" s="77">
        <v>530</v>
      </c>
      <c r="G626" s="78" t="s">
        <v>35</v>
      </c>
      <c r="H626" s="79" t="s">
        <v>824</v>
      </c>
      <c r="I626" s="80" t="s">
        <v>825</v>
      </c>
      <c r="J626" s="78" t="s">
        <v>43</v>
      </c>
      <c r="K626" s="81">
        <v>2</v>
      </c>
      <c r="L626" s="82">
        <v>0</v>
      </c>
      <c r="M626" s="83">
        <f t="shared" si="40"/>
        <v>2</v>
      </c>
      <c r="N626" s="84"/>
      <c r="O626" s="85">
        <f t="shared" si="41"/>
        <v>0</v>
      </c>
    </row>
    <row r="627" spans="6:15" s="76" customFormat="1" ht="22.8" outlineLevel="2">
      <c r="F627" s="77">
        <v>531</v>
      </c>
      <c r="G627" s="78" t="s">
        <v>35</v>
      </c>
      <c r="H627" s="79" t="s">
        <v>826</v>
      </c>
      <c r="I627" s="80" t="s">
        <v>827</v>
      </c>
      <c r="J627" s="78" t="s">
        <v>43</v>
      </c>
      <c r="K627" s="81">
        <v>6</v>
      </c>
      <c r="L627" s="82">
        <v>0</v>
      </c>
      <c r="M627" s="83">
        <f t="shared" si="40"/>
        <v>6</v>
      </c>
      <c r="N627" s="84"/>
      <c r="O627" s="85">
        <f t="shared" si="41"/>
        <v>0</v>
      </c>
    </row>
    <row r="628" spans="6:15" s="76" customFormat="1" ht="22.8" outlineLevel="2">
      <c r="F628" s="77">
        <v>532</v>
      </c>
      <c r="G628" s="78" t="s">
        <v>35</v>
      </c>
      <c r="H628" s="79" t="s">
        <v>828</v>
      </c>
      <c r="I628" s="80" t="s">
        <v>829</v>
      </c>
      <c r="J628" s="78" t="s">
        <v>43</v>
      </c>
      <c r="K628" s="81">
        <v>6</v>
      </c>
      <c r="L628" s="82">
        <v>0</v>
      </c>
      <c r="M628" s="83">
        <f t="shared" si="40"/>
        <v>6</v>
      </c>
      <c r="N628" s="84"/>
      <c r="O628" s="85">
        <f t="shared" si="41"/>
        <v>0</v>
      </c>
    </row>
    <row r="629" spans="6:15" s="76" customFormat="1" ht="11.4" outlineLevel="2">
      <c r="F629" s="77">
        <v>533</v>
      </c>
      <c r="G629" s="78" t="s">
        <v>35</v>
      </c>
      <c r="H629" s="79" t="s">
        <v>830</v>
      </c>
      <c r="I629" s="80" t="s">
        <v>831</v>
      </c>
      <c r="J629" s="78" t="s">
        <v>367</v>
      </c>
      <c r="K629" s="81">
        <v>1.81</v>
      </c>
      <c r="L629" s="82">
        <v>0</v>
      </c>
      <c r="M629" s="83">
        <f t="shared" si="40"/>
        <v>1.81</v>
      </c>
      <c r="N629" s="84"/>
      <c r="O629" s="85">
        <f t="shared" si="41"/>
        <v>0</v>
      </c>
    </row>
    <row r="630" spans="6:15" s="62" customFormat="1" ht="12.75" customHeight="1" outlineLevel="2">
      <c r="F630" s="63"/>
      <c r="G630" s="64"/>
      <c r="H630" s="64"/>
      <c r="I630" s="65"/>
      <c r="J630" s="64"/>
      <c r="K630" s="66"/>
      <c r="L630" s="67"/>
      <c r="M630" s="68"/>
      <c r="N630" s="67"/>
      <c r="O630" s="69"/>
    </row>
    <row r="631" spans="6:15" s="62" customFormat="1" ht="16.5" customHeight="1" outlineLevel="2">
      <c r="F631" s="71"/>
      <c r="G631" s="50"/>
      <c r="H631" s="72"/>
      <c r="I631" s="72" t="s">
        <v>16</v>
      </c>
      <c r="J631" s="50"/>
      <c r="K631" s="73"/>
      <c r="L631" s="74"/>
      <c r="M631" s="75"/>
      <c r="N631" s="74"/>
      <c r="O631" s="8">
        <f>SUBTOTAL(9,O632:O634)</f>
        <v>0</v>
      </c>
    </row>
    <row r="632" spans="6:15" s="62" customFormat="1" ht="12.75" customHeight="1" outlineLevel="2">
      <c r="F632" s="77">
        <v>534</v>
      </c>
      <c r="G632" s="78" t="s">
        <v>35</v>
      </c>
      <c r="H632" s="79" t="s">
        <v>832</v>
      </c>
      <c r="I632" s="80" t="s">
        <v>833</v>
      </c>
      <c r="J632" s="78" t="s">
        <v>38</v>
      </c>
      <c r="K632" s="81">
        <f>14.73+15+3.95+4.57+1.44+1.17+1.48+1.13+10.21+2.81+1.5+1.72+1.5+1.72+2.95+9.13+5</f>
        <v>80.00999999999999</v>
      </c>
      <c r="L632" s="82">
        <v>0</v>
      </c>
      <c r="M632" s="83">
        <f>K632*(1+L632/100)</f>
        <v>80.00999999999999</v>
      </c>
      <c r="N632" s="84"/>
      <c r="O632" s="85">
        <f>M632*N632</f>
        <v>0</v>
      </c>
    </row>
    <row r="633" spans="6:15" s="62" customFormat="1" ht="12.75" customHeight="1" outlineLevel="2">
      <c r="F633" s="77">
        <v>535</v>
      </c>
      <c r="G633" s="78" t="s">
        <v>35</v>
      </c>
      <c r="H633" s="79" t="s">
        <v>834</v>
      </c>
      <c r="I633" s="80" t="s">
        <v>835</v>
      </c>
      <c r="J633" s="78" t="s">
        <v>69</v>
      </c>
      <c r="K633" s="81">
        <v>54</v>
      </c>
      <c r="L633" s="82">
        <v>0</v>
      </c>
      <c r="M633" s="83">
        <f>K633*(1+L633/100)</f>
        <v>54</v>
      </c>
      <c r="N633" s="84"/>
      <c r="O633" s="85">
        <f>M633*N633</f>
        <v>0</v>
      </c>
    </row>
    <row r="634" spans="6:15" s="62" customFormat="1" ht="12.75" customHeight="1" outlineLevel="2">
      <c r="F634" s="77">
        <v>536</v>
      </c>
      <c r="G634" s="78" t="s">
        <v>35</v>
      </c>
      <c r="H634" s="79" t="s">
        <v>836</v>
      </c>
      <c r="I634" s="80" t="s">
        <v>837</v>
      </c>
      <c r="J634" s="78" t="s">
        <v>367</v>
      </c>
      <c r="K634" s="81">
        <v>6.92</v>
      </c>
      <c r="L634" s="82">
        <v>0</v>
      </c>
      <c r="M634" s="83">
        <f>K634*(1+L634/100)</f>
        <v>6.92</v>
      </c>
      <c r="N634" s="84"/>
      <c r="O634" s="85">
        <f>M634*N634</f>
        <v>0</v>
      </c>
    </row>
    <row r="635" spans="6:15" s="62" customFormat="1" ht="12.75" customHeight="1" outlineLevel="2">
      <c r="F635" s="63"/>
      <c r="G635" s="64"/>
      <c r="H635" s="64"/>
      <c r="I635" s="65"/>
      <c r="J635" s="64"/>
      <c r="K635" s="66"/>
      <c r="L635" s="67"/>
      <c r="M635" s="68"/>
      <c r="N635" s="67"/>
      <c r="O635" s="69"/>
    </row>
    <row r="636" spans="6:15" s="62" customFormat="1" ht="16.5" customHeight="1" outlineLevel="2">
      <c r="F636" s="63"/>
      <c r="G636" s="64"/>
      <c r="H636" s="64"/>
      <c r="I636" s="72" t="s">
        <v>17</v>
      </c>
      <c r="J636" s="64"/>
      <c r="K636" s="66"/>
      <c r="L636" s="67"/>
      <c r="M636" s="68"/>
      <c r="N636" s="67"/>
      <c r="O636" s="8">
        <f>SUM(O637:O653)</f>
        <v>0</v>
      </c>
    </row>
    <row r="637" spans="6:15" s="62" customFormat="1" ht="11.4" outlineLevel="2">
      <c r="F637" s="77">
        <v>537</v>
      </c>
      <c r="G637" s="78" t="s">
        <v>35</v>
      </c>
      <c r="H637" s="79" t="s">
        <v>838</v>
      </c>
      <c r="I637" s="80" t="s">
        <v>839</v>
      </c>
      <c r="J637" s="78" t="s">
        <v>38</v>
      </c>
      <c r="K637" s="81">
        <f>(13.73+20.59+13.32+3.55+17.58+4.29+83.04+30.5+12.61+7.21+10.24+4.55+30.42+7.31+20.4+27.46+27.35+10.04+23.27+6.36+20.93)*1.1</f>
        <v>434.2250000000001</v>
      </c>
      <c r="L637" s="82">
        <v>0</v>
      </c>
      <c r="M637" s="83">
        <f aca="true" t="shared" si="42" ref="M637:M653">K637*(1+L637/100)</f>
        <v>434.2250000000001</v>
      </c>
      <c r="N637" s="84"/>
      <c r="O637" s="85">
        <f>M637*N637</f>
        <v>0</v>
      </c>
    </row>
    <row r="638" spans="6:15" s="62" customFormat="1" ht="11.4" outlineLevel="2">
      <c r="F638" s="77">
        <v>538</v>
      </c>
      <c r="G638" s="78" t="s">
        <v>35</v>
      </c>
      <c r="H638" s="79" t="s">
        <v>840</v>
      </c>
      <c r="I638" s="80" t="s">
        <v>841</v>
      </c>
      <c r="J638" s="78" t="s">
        <v>38</v>
      </c>
      <c r="K638" s="81">
        <f>(34.4+42.84+24.48+33.92+23.77)*1.1</f>
        <v>175.35100000000003</v>
      </c>
      <c r="L638" s="82">
        <v>0</v>
      </c>
      <c r="M638" s="83">
        <f>K638*(1+L638/100)</f>
        <v>175.35100000000003</v>
      </c>
      <c r="N638" s="84"/>
      <c r="O638" s="85">
        <f>M638*N638</f>
        <v>0</v>
      </c>
    </row>
    <row r="639" spans="6:15" s="62" customFormat="1" ht="11.4" outlineLevel="2">
      <c r="F639" s="77">
        <v>539</v>
      </c>
      <c r="G639" s="78" t="s">
        <v>35</v>
      </c>
      <c r="H639" s="79" t="s">
        <v>842</v>
      </c>
      <c r="I639" s="80" t="s">
        <v>843</v>
      </c>
      <c r="J639" s="78" t="s">
        <v>38</v>
      </c>
      <c r="K639" s="81">
        <v>655.85</v>
      </c>
      <c r="L639" s="82">
        <v>0</v>
      </c>
      <c r="M639" s="83">
        <f t="shared" si="42"/>
        <v>655.85</v>
      </c>
      <c r="N639" s="84"/>
      <c r="O639" s="85">
        <f>M639*N639</f>
        <v>0</v>
      </c>
    </row>
    <row r="640" spans="6:15" s="62" customFormat="1" ht="11.4" outlineLevel="2">
      <c r="F640" s="77">
        <v>540</v>
      </c>
      <c r="G640" s="78" t="s">
        <v>35</v>
      </c>
      <c r="H640" s="79" t="s">
        <v>844</v>
      </c>
      <c r="I640" s="80" t="s">
        <v>845</v>
      </c>
      <c r="J640" s="78" t="s">
        <v>38</v>
      </c>
      <c r="K640" s="81">
        <v>655.85</v>
      </c>
      <c r="L640" s="82">
        <v>0</v>
      </c>
      <c r="M640" s="83">
        <f>K640*(1+L640/100)</f>
        <v>655.85</v>
      </c>
      <c r="N640" s="84"/>
      <c r="O640" s="85">
        <f>M640*N640</f>
        <v>0</v>
      </c>
    </row>
    <row r="641" spans="6:15" s="62" customFormat="1" ht="12.75" customHeight="1" outlineLevel="2">
      <c r="F641" s="77">
        <v>541</v>
      </c>
      <c r="G641" s="78" t="s">
        <v>35</v>
      </c>
      <c r="H641" s="79" t="s">
        <v>846</v>
      </c>
      <c r="I641" s="80" t="s">
        <v>847</v>
      </c>
      <c r="J641" s="78" t="s">
        <v>38</v>
      </c>
      <c r="K641" s="81">
        <f>230.46+43.1+17.03</f>
        <v>290.59000000000003</v>
      </c>
      <c r="L641" s="82">
        <v>0</v>
      </c>
      <c r="M641" s="83">
        <f t="shared" si="42"/>
        <v>290.59000000000003</v>
      </c>
      <c r="N641" s="84"/>
      <c r="O641" s="85">
        <f aca="true" t="shared" si="43" ref="O641:O653">M641*N641</f>
        <v>0</v>
      </c>
    </row>
    <row r="642" spans="6:15" s="62" customFormat="1" ht="22.8" outlineLevel="2">
      <c r="F642" s="77">
        <v>542</v>
      </c>
      <c r="G642" s="78" t="s">
        <v>35</v>
      </c>
      <c r="H642" s="79" t="s">
        <v>848</v>
      </c>
      <c r="I642" s="80" t="s">
        <v>849</v>
      </c>
      <c r="J642" s="78" t="s">
        <v>38</v>
      </c>
      <c r="K642" s="81">
        <v>365.26</v>
      </c>
      <c r="L642" s="82">
        <v>0</v>
      </c>
      <c r="M642" s="83">
        <f t="shared" si="42"/>
        <v>365.26</v>
      </c>
      <c r="N642" s="84"/>
      <c r="O642" s="85">
        <f t="shared" si="43"/>
        <v>0</v>
      </c>
    </row>
    <row r="643" spans="6:15" s="62" customFormat="1" ht="11.4" outlineLevel="2">
      <c r="F643" s="77">
        <v>543</v>
      </c>
      <c r="G643" s="78" t="s">
        <v>35</v>
      </c>
      <c r="H643" s="79" t="s">
        <v>850</v>
      </c>
      <c r="I643" s="80" t="s">
        <v>851</v>
      </c>
      <c r="J643" s="78" t="s">
        <v>38</v>
      </c>
      <c r="K643" s="81">
        <v>348.105</v>
      </c>
      <c r="L643" s="82">
        <v>0</v>
      </c>
      <c r="M643" s="83">
        <f>K643*(1+L643/100)</f>
        <v>348.105</v>
      </c>
      <c r="N643" s="84"/>
      <c r="O643" s="85">
        <f>M643*N643</f>
        <v>0</v>
      </c>
    </row>
    <row r="644" spans="6:15" s="62" customFormat="1" ht="11.4" outlineLevel="2">
      <c r="F644" s="77">
        <v>544</v>
      </c>
      <c r="G644" s="78" t="s">
        <v>35</v>
      </c>
      <c r="H644" s="79" t="s">
        <v>852</v>
      </c>
      <c r="I644" s="80" t="s">
        <v>853</v>
      </c>
      <c r="J644" s="78" t="s">
        <v>38</v>
      </c>
      <c r="K644" s="81">
        <v>655.85</v>
      </c>
      <c r="L644" s="82">
        <v>0</v>
      </c>
      <c r="M644" s="83">
        <f t="shared" si="42"/>
        <v>655.85</v>
      </c>
      <c r="N644" s="84"/>
      <c r="O644" s="85">
        <f t="shared" si="43"/>
        <v>0</v>
      </c>
    </row>
    <row r="645" spans="6:15" s="62" customFormat="1" ht="125.4" outlineLevel="2">
      <c r="F645" s="77">
        <v>545</v>
      </c>
      <c r="G645" s="78" t="s">
        <v>60</v>
      </c>
      <c r="H645" s="79" t="s">
        <v>854</v>
      </c>
      <c r="I645" s="80" t="s">
        <v>855</v>
      </c>
      <c r="J645" s="78" t="s">
        <v>38</v>
      </c>
      <c r="K645" s="81">
        <f>(17.3+6.5+4.2+3.6+19.5+4.6+4.8+3.6+4+3.5+4+5.5+1.25+0.5+4+1+4.7+1.3+3.5+14+8+4.2+5.5+4.2+5.3+7.2)*2.1+(25.5+21.2)*0.9</f>
        <v>348.105</v>
      </c>
      <c r="L645" s="82">
        <v>10</v>
      </c>
      <c r="M645" s="83">
        <f t="shared" si="42"/>
        <v>382.91550000000007</v>
      </c>
      <c r="N645" s="84"/>
      <c r="O645" s="85">
        <f t="shared" si="43"/>
        <v>0</v>
      </c>
    </row>
    <row r="646" spans="6:15" s="62" customFormat="1" ht="193.8" outlineLevel="2">
      <c r="F646" s="77">
        <v>546</v>
      </c>
      <c r="G646" s="78" t="s">
        <v>60</v>
      </c>
      <c r="H646" s="79" t="s">
        <v>856</v>
      </c>
      <c r="I646" s="80" t="s">
        <v>857</v>
      </c>
      <c r="J646" s="78" t="s">
        <v>38</v>
      </c>
      <c r="K646" s="81">
        <f>11.73+13.73+13.32+3.55+17.58+79.41+21.72+7.38+8.86+7.31+20.4+1.31+6.36+178*0.1</f>
        <v>230.46</v>
      </c>
      <c r="L646" s="82">
        <v>10</v>
      </c>
      <c r="M646" s="83">
        <f t="shared" si="42"/>
        <v>253.50600000000003</v>
      </c>
      <c r="N646" s="84"/>
      <c r="O646" s="85">
        <f t="shared" si="43"/>
        <v>0</v>
      </c>
    </row>
    <row r="647" spans="6:15" s="62" customFormat="1" ht="262.2" outlineLevel="2">
      <c r="F647" s="77">
        <v>547</v>
      </c>
      <c r="G647" s="78" t="s">
        <v>60</v>
      </c>
      <c r="H647" s="79" t="s">
        <v>858</v>
      </c>
      <c r="I647" s="80" t="s">
        <v>859</v>
      </c>
      <c r="J647" s="78" t="s">
        <v>38</v>
      </c>
      <c r="K647" s="81">
        <f>17.05+34.21+6.99+12.06+41.28+9.68+43.38+7.77+17.5+19.17+23.78+26.72+27.13+10.04+22.34+20.41+100*0.07+(13.5+14+16+19+17+17+22+24+17+17+11)*0.1</f>
        <v>365.26000000000005</v>
      </c>
      <c r="L647" s="82">
        <v>10</v>
      </c>
      <c r="M647" s="83">
        <f t="shared" si="42"/>
        <v>401.78600000000006</v>
      </c>
      <c r="N647" s="84"/>
      <c r="O647" s="85">
        <f t="shared" si="43"/>
        <v>0</v>
      </c>
    </row>
    <row r="648" spans="6:15" s="62" customFormat="1" ht="250.8" outlineLevel="2">
      <c r="F648" s="77">
        <v>548</v>
      </c>
      <c r="G648" s="78" t="s">
        <v>60</v>
      </c>
      <c r="H648" s="79" t="s">
        <v>860</v>
      </c>
      <c r="I648" s="80" t="s">
        <v>861</v>
      </c>
      <c r="J648" s="78" t="s">
        <v>38</v>
      </c>
      <c r="K648" s="81">
        <f>2+0.9*0.9+3.17+1.17+2.39+1.4+2.3+10.04+1.4+1.76+1.46+1.5+1.2+1.5+1.2+1.8+2+60*0.1</f>
        <v>43.1</v>
      </c>
      <c r="L648" s="82">
        <v>10</v>
      </c>
      <c r="M648" s="83">
        <f t="shared" si="42"/>
        <v>47.410000000000004</v>
      </c>
      <c r="N648" s="84"/>
      <c r="O648" s="85">
        <f t="shared" si="43"/>
        <v>0</v>
      </c>
    </row>
    <row r="649" spans="6:15" s="62" customFormat="1" ht="250.8" outlineLevel="2">
      <c r="F649" s="77">
        <v>549</v>
      </c>
      <c r="G649" s="78" t="s">
        <v>60</v>
      </c>
      <c r="H649" s="79" t="s">
        <v>862</v>
      </c>
      <c r="I649" s="80" t="s">
        <v>863</v>
      </c>
      <c r="J649" s="78" t="s">
        <v>38</v>
      </c>
      <c r="K649" s="81">
        <f>1.5+0.9*0.9+1.12+1+1.35+1.35+1.3+1.3+1.3+2+40*0.1</f>
        <v>17.03</v>
      </c>
      <c r="L649" s="82">
        <v>10</v>
      </c>
      <c r="M649" s="83">
        <f t="shared" si="42"/>
        <v>18.733000000000004</v>
      </c>
      <c r="N649" s="84"/>
      <c r="O649" s="85">
        <f t="shared" si="43"/>
        <v>0</v>
      </c>
    </row>
    <row r="650" spans="6:15" s="62" customFormat="1" ht="11.4" outlineLevel="2">
      <c r="F650" s="77">
        <v>550</v>
      </c>
      <c r="G650" s="78" t="s">
        <v>35</v>
      </c>
      <c r="H650" s="79" t="s">
        <v>864</v>
      </c>
      <c r="I650" s="80" t="s">
        <v>865</v>
      </c>
      <c r="J650" s="78" t="s">
        <v>69</v>
      </c>
      <c r="K650" s="81">
        <f>6.4+4.2+2+1.5+3.6+4+3.9+4+5+3.5+4.6+4.5+8+8+10+7+(15.1+17+14+16.8+5+50+15+15.6+9.5+7.4+9+3.6)+(13.5+14+16+19+17+17+22+24+17+17+11)</f>
        <v>445.7</v>
      </c>
      <c r="L650" s="82">
        <v>5</v>
      </c>
      <c r="M650" s="83">
        <f>K650*(1+L650/100)</f>
        <v>467.985</v>
      </c>
      <c r="N650" s="84"/>
      <c r="O650" s="85">
        <f>M650*N650</f>
        <v>0</v>
      </c>
    </row>
    <row r="651" spans="6:15" s="62" customFormat="1" ht="11.4" outlineLevel="2">
      <c r="F651" s="77">
        <v>551</v>
      </c>
      <c r="G651" s="78" t="s">
        <v>35</v>
      </c>
      <c r="H651" s="79" t="s">
        <v>864</v>
      </c>
      <c r="I651" s="80" t="s">
        <v>866</v>
      </c>
      <c r="J651" s="78" t="s">
        <v>69</v>
      </c>
      <c r="K651" s="81">
        <f>4.5+8.7+6+1.3+2.3+5.7+2.1+1.4+1.5+8.9+2.9+4+2.9+3.4+9.2+4+4.3+27</f>
        <v>100.1</v>
      </c>
      <c r="L651" s="82">
        <v>5</v>
      </c>
      <c r="M651" s="83">
        <f>K651*(1+L651/100)</f>
        <v>105.105</v>
      </c>
      <c r="N651" s="84"/>
      <c r="O651" s="85">
        <f>M651*N651</f>
        <v>0</v>
      </c>
    </row>
    <row r="652" spans="6:17" s="62" customFormat="1" ht="11.4" outlineLevel="2">
      <c r="F652" s="77">
        <v>552</v>
      </c>
      <c r="G652" s="78" t="s">
        <v>35</v>
      </c>
      <c r="H652" s="79" t="s">
        <v>867</v>
      </c>
      <c r="I652" s="80" t="s">
        <v>868</v>
      </c>
      <c r="J652" s="78" t="s">
        <v>69</v>
      </c>
      <c r="K652" s="81">
        <v>545.8</v>
      </c>
      <c r="L652" s="82">
        <v>0</v>
      </c>
      <c r="M652" s="83">
        <f t="shared" si="42"/>
        <v>545.8</v>
      </c>
      <c r="N652" s="84"/>
      <c r="O652" s="85">
        <f t="shared" si="43"/>
        <v>0</v>
      </c>
      <c r="Q652" s="62">
        <f>17+42.5+7.6+13.9+14.2</f>
        <v>95.2</v>
      </c>
    </row>
    <row r="653" spans="6:15" s="62" customFormat="1" ht="12.75" customHeight="1" outlineLevel="2">
      <c r="F653" s="77">
        <v>553</v>
      </c>
      <c r="G653" s="78" t="s">
        <v>35</v>
      </c>
      <c r="H653" s="79" t="s">
        <v>869</v>
      </c>
      <c r="I653" s="80" t="s">
        <v>870</v>
      </c>
      <c r="J653" s="78" t="s">
        <v>367</v>
      </c>
      <c r="K653" s="81">
        <v>2.4</v>
      </c>
      <c r="L653" s="82">
        <v>0</v>
      </c>
      <c r="M653" s="83">
        <f t="shared" si="42"/>
        <v>2.4</v>
      </c>
      <c r="N653" s="84"/>
      <c r="O653" s="85">
        <f t="shared" si="43"/>
        <v>0</v>
      </c>
    </row>
    <row r="654" spans="6:15" s="62" customFormat="1" ht="12.75" customHeight="1" outlineLevel="2">
      <c r="F654" s="63"/>
      <c r="G654" s="64"/>
      <c r="H654" s="64"/>
      <c r="I654" s="65"/>
      <c r="J654" s="64"/>
      <c r="K654" s="66"/>
      <c r="L654" s="67"/>
      <c r="M654" s="68"/>
      <c r="N654" s="67"/>
      <c r="O654" s="69"/>
    </row>
    <row r="655" spans="6:15" s="62" customFormat="1" ht="16.5" customHeight="1" outlineLevel="2">
      <c r="F655" s="71"/>
      <c r="G655" s="50"/>
      <c r="H655" s="72"/>
      <c r="I655" s="72" t="s">
        <v>18</v>
      </c>
      <c r="J655" s="50"/>
      <c r="K655" s="73"/>
      <c r="L655" s="74"/>
      <c r="M655" s="75"/>
      <c r="N655" s="74"/>
      <c r="O655" s="8">
        <f>SUBTOTAL(9,O656:O657)</f>
        <v>0</v>
      </c>
    </row>
    <row r="656" spans="6:15" s="62" customFormat="1" ht="12.75" customHeight="1" outlineLevel="2">
      <c r="F656" s="77">
        <v>554</v>
      </c>
      <c r="G656" s="78" t="s">
        <v>35</v>
      </c>
      <c r="H656" s="79" t="s">
        <v>871</v>
      </c>
      <c r="I656" s="80" t="s">
        <v>872</v>
      </c>
      <c r="J656" s="78" t="s">
        <v>38</v>
      </c>
      <c r="K656" s="81">
        <f>(2.9+1+1.4+1.8+1+5.8+4+2+3+6+1.6+1.6+1+2.6+1+2+3.6+6+6+3+3.4+2.5+3+1.5+6+1.8+3+4+6.5+4+3+3+2.8+2.8+2+2+2.6+2.6+12+12+2.6+2.6+6.8+5+5+3.7+3.7+6.6+6.6+2+0.9+0.9+1.5*4+1.5+6+0.9*6)*3</f>
        <v>609.3</v>
      </c>
      <c r="L656" s="82">
        <v>0</v>
      </c>
      <c r="M656" s="83">
        <f>K656*(1+L656/100)</f>
        <v>609.3</v>
      </c>
      <c r="N656" s="84"/>
      <c r="O656" s="85">
        <f>M656*N656</f>
        <v>0</v>
      </c>
    </row>
    <row r="657" spans="6:15" s="62" customFormat="1" ht="12.75" customHeight="1" outlineLevel="2">
      <c r="F657" s="77">
        <v>555</v>
      </c>
      <c r="G657" s="78" t="s">
        <v>35</v>
      </c>
      <c r="H657" s="79" t="s">
        <v>873</v>
      </c>
      <c r="I657" s="80" t="s">
        <v>874</v>
      </c>
      <c r="J657" s="78" t="s">
        <v>367</v>
      </c>
      <c r="K657" s="81">
        <v>3.54</v>
      </c>
      <c r="L657" s="82">
        <v>0</v>
      </c>
      <c r="M657" s="83">
        <f>K657*(1+L657/100)</f>
        <v>3.54</v>
      </c>
      <c r="N657" s="84"/>
      <c r="O657" s="85">
        <f>M657*N657</f>
        <v>0</v>
      </c>
    </row>
    <row r="658" spans="6:15" s="62" customFormat="1" ht="12.75" customHeight="1" outlineLevel="2">
      <c r="F658" s="63"/>
      <c r="G658" s="64"/>
      <c r="H658" s="64"/>
      <c r="I658" s="65"/>
      <c r="J658" s="64"/>
      <c r="K658" s="66"/>
      <c r="L658" s="67"/>
      <c r="M658" s="68"/>
      <c r="N658" s="67"/>
      <c r="O658" s="69"/>
    </row>
    <row r="659" spans="6:15" s="70" customFormat="1" ht="16.5" customHeight="1" outlineLevel="1">
      <c r="F659" s="71"/>
      <c r="G659" s="50"/>
      <c r="H659" s="72"/>
      <c r="I659" s="72" t="s">
        <v>875</v>
      </c>
      <c r="J659" s="50"/>
      <c r="K659" s="73"/>
      <c r="L659" s="74"/>
      <c r="M659" s="75"/>
      <c r="N659" s="74"/>
      <c r="O659" s="8">
        <f>SUBTOTAL(9,O660:O661)</f>
        <v>0</v>
      </c>
    </row>
    <row r="660" spans="6:15" s="76" customFormat="1" ht="22.8" outlineLevel="2">
      <c r="F660" s="77">
        <v>556</v>
      </c>
      <c r="G660" s="78" t="s">
        <v>35</v>
      </c>
      <c r="H660" s="79" t="s">
        <v>876</v>
      </c>
      <c r="I660" s="80" t="s">
        <v>877</v>
      </c>
      <c r="J660" s="78" t="s">
        <v>38</v>
      </c>
      <c r="K660" s="81">
        <v>25.3</v>
      </c>
      <c r="L660" s="82">
        <v>0</v>
      </c>
      <c r="M660" s="83">
        <f>K660*(1+L660/100)</f>
        <v>25.3</v>
      </c>
      <c r="N660" s="84"/>
      <c r="O660" s="85">
        <f>M660*N660</f>
        <v>0</v>
      </c>
    </row>
    <row r="661" spans="6:15" s="76" customFormat="1" ht="22.8" outlineLevel="2">
      <c r="F661" s="77">
        <v>557</v>
      </c>
      <c r="G661" s="78" t="s">
        <v>35</v>
      </c>
      <c r="H661" s="79" t="s">
        <v>878</v>
      </c>
      <c r="I661" s="80" t="s">
        <v>879</v>
      </c>
      <c r="J661" s="78" t="s">
        <v>38</v>
      </c>
      <c r="K661" s="81">
        <f>445.7*2.1+150-300</f>
        <v>785.97</v>
      </c>
      <c r="L661" s="82">
        <v>5</v>
      </c>
      <c r="M661" s="83">
        <f>K661*(1+L661/100)</f>
        <v>825.2685</v>
      </c>
      <c r="N661" s="84"/>
      <c r="O661" s="85">
        <f>M661*N661</f>
        <v>0</v>
      </c>
    </row>
    <row r="662" spans="6:15" s="62" customFormat="1" ht="12.75" customHeight="1" outlineLevel="2">
      <c r="F662" s="63"/>
      <c r="G662" s="64"/>
      <c r="H662" s="64"/>
      <c r="I662" s="65"/>
      <c r="J662" s="64"/>
      <c r="K662" s="66"/>
      <c r="L662" s="67"/>
      <c r="M662" s="68"/>
      <c r="N662" s="67"/>
      <c r="O662" s="69"/>
    </row>
    <row r="663" spans="6:15" s="70" customFormat="1" ht="16.5" customHeight="1" outlineLevel="1">
      <c r="F663" s="71"/>
      <c r="G663" s="50"/>
      <c r="H663" s="72"/>
      <c r="I663" s="72" t="s">
        <v>880</v>
      </c>
      <c r="J663" s="50"/>
      <c r="K663" s="73"/>
      <c r="L663" s="74"/>
      <c r="M663" s="75"/>
      <c r="N663" s="74"/>
      <c r="O663" s="8">
        <f>SUBTOTAL(9,O664:O666)</f>
        <v>0</v>
      </c>
    </row>
    <row r="664" spans="6:15" s="76" customFormat="1" ht="11.4" outlineLevel="2">
      <c r="F664" s="77">
        <v>558</v>
      </c>
      <c r="G664" s="78" t="s">
        <v>35</v>
      </c>
      <c r="H664" s="79" t="s">
        <v>881</v>
      </c>
      <c r="I664" s="80" t="s">
        <v>882</v>
      </c>
      <c r="J664" s="78" t="s">
        <v>38</v>
      </c>
      <c r="K664" s="81">
        <f>27.2+17+8+4+12.2+15+13+3+10+(27.2*4.2)+445.7*3</f>
        <v>1560.7399999999998</v>
      </c>
      <c r="L664" s="82">
        <v>0</v>
      </c>
      <c r="M664" s="83">
        <f>K664*(1+L664/100)</f>
        <v>1560.7399999999998</v>
      </c>
      <c r="N664" s="84"/>
      <c r="O664" s="85">
        <f>M664*N664</f>
        <v>0</v>
      </c>
    </row>
    <row r="665" spans="6:15" s="76" customFormat="1" ht="22.8" outlineLevel="2">
      <c r="F665" s="77">
        <v>559</v>
      </c>
      <c r="G665" s="78" t="s">
        <v>35</v>
      </c>
      <c r="H665" s="79" t="s">
        <v>883</v>
      </c>
      <c r="I665" s="80" t="s">
        <v>884</v>
      </c>
      <c r="J665" s="78" t="s">
        <v>38</v>
      </c>
      <c r="K665" s="81">
        <f>892.19+785.97</f>
        <v>1678.16</v>
      </c>
      <c r="L665" s="82">
        <v>0</v>
      </c>
      <c r="M665" s="83">
        <f>K665*(1+L665/100)</f>
        <v>1678.16</v>
      </c>
      <c r="N665" s="84"/>
      <c r="O665" s="85">
        <f>M665*N665</f>
        <v>0</v>
      </c>
    </row>
    <row r="666" spans="6:15" s="76" customFormat="1" ht="22.8" outlineLevel="2">
      <c r="F666" s="77">
        <v>560</v>
      </c>
      <c r="G666" s="78" t="s">
        <v>35</v>
      </c>
      <c r="H666" s="79" t="s">
        <v>885</v>
      </c>
      <c r="I666" s="80" t="s">
        <v>886</v>
      </c>
      <c r="J666" s="78" t="s">
        <v>38</v>
      </c>
      <c r="K666" s="81">
        <v>892.19</v>
      </c>
      <c r="L666" s="82">
        <v>5</v>
      </c>
      <c r="M666" s="83">
        <f>K666*(1+L666/100)</f>
        <v>936.7995000000001</v>
      </c>
      <c r="N666" s="84"/>
      <c r="O666" s="85">
        <f>M666*N666</f>
        <v>0</v>
      </c>
    </row>
    <row r="667" spans="6:15" s="76" customFormat="1" ht="11.4" outlineLevel="2">
      <c r="F667" s="98"/>
      <c r="G667" s="99"/>
      <c r="H667" s="92"/>
      <c r="I667" s="113"/>
      <c r="J667" s="99"/>
      <c r="K667" s="114"/>
      <c r="L667" s="90"/>
      <c r="M667" s="91"/>
      <c r="N667" s="117"/>
      <c r="O667" s="115"/>
    </row>
    <row r="668" spans="6:15" s="62" customFormat="1" ht="12.75" customHeight="1" outlineLevel="2">
      <c r="F668" s="63"/>
      <c r="G668" s="64"/>
      <c r="H668" s="64"/>
      <c r="I668" s="65"/>
      <c r="J668" s="64"/>
      <c r="K668" s="66"/>
      <c r="L668" s="67"/>
      <c r="M668" s="68"/>
      <c r="N668" s="67"/>
      <c r="O668" s="69"/>
    </row>
    <row r="669" ht="18" customHeight="1">
      <c r="I669" s="58"/>
    </row>
    <row r="670" ht="15">
      <c r="I670" s="58"/>
    </row>
    <row r="671" spans="6:15" ht="16.5" customHeight="1">
      <c r="F671" s="71"/>
      <c r="G671" s="50"/>
      <c r="H671" s="72"/>
      <c r="I671" s="72"/>
      <c r="J671" s="50"/>
      <c r="K671" s="73"/>
      <c r="L671" s="74"/>
      <c r="M671" s="75"/>
      <c r="N671" s="74"/>
      <c r="O671" s="8"/>
    </row>
    <row r="672" spans="6:15" ht="15">
      <c r="F672" s="77"/>
      <c r="G672" s="78"/>
      <c r="H672" s="174"/>
      <c r="I672" s="80"/>
      <c r="J672" s="78"/>
      <c r="K672" s="81"/>
      <c r="L672" s="82"/>
      <c r="M672" s="83"/>
      <c r="N672" s="84"/>
      <c r="O672" s="85"/>
    </row>
    <row r="673" spans="6:15" ht="15">
      <c r="F673" s="77"/>
      <c r="G673" s="78"/>
      <c r="H673" s="174"/>
      <c r="I673" s="161"/>
      <c r="J673" s="78"/>
      <c r="K673" s="81"/>
      <c r="L673" s="82"/>
      <c r="M673" s="83"/>
      <c r="N673" s="84"/>
      <c r="O673" s="85"/>
    </row>
    <row r="674" spans="6:15" ht="15">
      <c r="F674" s="77"/>
      <c r="G674" s="78"/>
      <c r="H674" s="174"/>
      <c r="I674" s="161"/>
      <c r="J674" s="78"/>
      <c r="K674" s="81"/>
      <c r="L674" s="82"/>
      <c r="M674" s="83"/>
      <c r="N674" s="84"/>
      <c r="O674" s="85"/>
    </row>
    <row r="675" spans="6:15" ht="15">
      <c r="F675" s="77"/>
      <c r="G675" s="78"/>
      <c r="H675" s="174"/>
      <c r="I675" s="161"/>
      <c r="J675" s="78"/>
      <c r="K675" s="81"/>
      <c r="L675" s="82"/>
      <c r="M675" s="83"/>
      <c r="N675" s="84"/>
      <c r="O675" s="85"/>
    </row>
    <row r="676" spans="6:15" ht="15">
      <c r="F676" s="77"/>
      <c r="G676" s="78"/>
      <c r="H676" s="174"/>
      <c r="I676" s="161"/>
      <c r="J676" s="78"/>
      <c r="K676" s="81"/>
      <c r="L676" s="82"/>
      <c r="M676" s="83"/>
      <c r="N676" s="84"/>
      <c r="O676" s="85"/>
    </row>
    <row r="677" spans="6:15" ht="15">
      <c r="F677" s="77"/>
      <c r="G677" s="78"/>
      <c r="H677" s="174"/>
      <c r="I677" s="161"/>
      <c r="J677" s="78"/>
      <c r="K677" s="81"/>
      <c r="L677" s="82"/>
      <c r="M677" s="83"/>
      <c r="N677" s="84"/>
      <c r="O677" s="85"/>
    </row>
    <row r="678" spans="6:15" ht="15">
      <c r="F678" s="77"/>
      <c r="G678" s="78"/>
      <c r="H678" s="174"/>
      <c r="I678" s="161"/>
      <c r="J678" s="78"/>
      <c r="K678" s="81"/>
      <c r="L678" s="82"/>
      <c r="M678" s="83"/>
      <c r="N678" s="84"/>
      <c r="O678" s="85"/>
    </row>
    <row r="679" spans="6:15" ht="15">
      <c r="F679" s="77"/>
      <c r="G679" s="78"/>
      <c r="H679" s="174"/>
      <c r="I679" s="161"/>
      <c r="J679" s="78"/>
      <c r="K679" s="81"/>
      <c r="L679" s="82"/>
      <c r="M679" s="83"/>
      <c r="N679" s="84"/>
      <c r="O679" s="85"/>
    </row>
    <row r="680" spans="6:15" ht="15">
      <c r="F680" s="77"/>
      <c r="G680" s="78"/>
      <c r="H680" s="174"/>
      <c r="I680" s="161"/>
      <c r="J680" s="78"/>
      <c r="K680" s="81"/>
      <c r="L680" s="82"/>
      <c r="M680" s="83"/>
      <c r="N680" s="84"/>
      <c r="O680" s="85"/>
    </row>
    <row r="681" spans="6:15" ht="15">
      <c r="F681" s="77"/>
      <c r="G681" s="78"/>
      <c r="H681" s="174"/>
      <c r="I681" s="161"/>
      <c r="J681" s="78"/>
      <c r="K681" s="81"/>
      <c r="L681" s="82"/>
      <c r="M681" s="83"/>
      <c r="N681" s="84"/>
      <c r="O681" s="85"/>
    </row>
    <row r="682" spans="6:15" ht="15">
      <c r="F682" s="77"/>
      <c r="G682" s="78"/>
      <c r="H682" s="174"/>
      <c r="I682" s="161"/>
      <c r="J682" s="78"/>
      <c r="K682" s="81"/>
      <c r="L682" s="82"/>
      <c r="M682" s="83"/>
      <c r="N682" s="84"/>
      <c r="O682" s="85"/>
    </row>
    <row r="683" spans="6:15" ht="15">
      <c r="F683" s="77"/>
      <c r="G683" s="78"/>
      <c r="H683" s="174"/>
      <c r="I683" s="161"/>
      <c r="J683" s="78"/>
      <c r="K683" s="81"/>
      <c r="L683" s="82"/>
      <c r="M683" s="83"/>
      <c r="N683" s="84"/>
      <c r="O683" s="85"/>
    </row>
    <row r="684" spans="6:15" ht="15">
      <c r="F684" s="77"/>
      <c r="G684" s="78"/>
      <c r="H684" s="174"/>
      <c r="I684" s="161"/>
      <c r="J684" s="78"/>
      <c r="K684" s="81"/>
      <c r="L684" s="82"/>
      <c r="M684" s="83"/>
      <c r="N684" s="84"/>
      <c r="O684" s="85"/>
    </row>
    <row r="685" spans="6:15" ht="15">
      <c r="F685" s="77"/>
      <c r="G685" s="78"/>
      <c r="H685" s="174"/>
      <c r="I685" s="161"/>
      <c r="J685" s="78"/>
      <c r="K685" s="81"/>
      <c r="L685" s="82"/>
      <c r="M685" s="83"/>
      <c r="N685" s="84"/>
      <c r="O685" s="85"/>
    </row>
    <row r="686" spans="6:15" ht="15">
      <c r="F686" s="77"/>
      <c r="G686" s="78"/>
      <c r="H686" s="174"/>
      <c r="I686" s="161"/>
      <c r="J686" s="78"/>
      <c r="K686" s="81"/>
      <c r="L686" s="82"/>
      <c r="M686" s="83"/>
      <c r="N686" s="84"/>
      <c r="O686" s="85"/>
    </row>
    <row r="687" spans="6:15" ht="15">
      <c r="F687" s="77"/>
      <c r="G687" s="78"/>
      <c r="H687" s="174"/>
      <c r="I687" s="161"/>
      <c r="J687" s="78"/>
      <c r="K687" s="81"/>
      <c r="L687" s="82"/>
      <c r="M687" s="83"/>
      <c r="N687" s="84"/>
      <c r="O687" s="85"/>
    </row>
    <row r="688" spans="6:15" ht="15">
      <c r="F688" s="77"/>
      <c r="G688" s="78"/>
      <c r="H688" s="174"/>
      <c r="I688" s="161"/>
      <c r="J688" s="78"/>
      <c r="K688" s="81"/>
      <c r="L688" s="82"/>
      <c r="M688" s="83"/>
      <c r="N688" s="84"/>
      <c r="O688" s="85"/>
    </row>
    <row r="689" spans="6:15" ht="15">
      <c r="F689" s="77"/>
      <c r="G689" s="78"/>
      <c r="H689" s="174"/>
      <c r="I689" s="161"/>
      <c r="J689" s="78"/>
      <c r="K689" s="81"/>
      <c r="L689" s="82"/>
      <c r="M689" s="83"/>
      <c r="N689" s="84"/>
      <c r="O689" s="85"/>
    </row>
    <row r="690" spans="6:15" ht="15">
      <c r="F690" s="77"/>
      <c r="G690" s="78"/>
      <c r="H690" s="174"/>
      <c r="I690" s="161"/>
      <c r="J690" s="78"/>
      <c r="K690" s="81"/>
      <c r="L690" s="82"/>
      <c r="M690" s="83"/>
      <c r="N690" s="84"/>
      <c r="O690" s="85"/>
    </row>
    <row r="691" spans="6:15" ht="15">
      <c r="F691" s="77"/>
      <c r="G691" s="78"/>
      <c r="H691" s="174"/>
      <c r="I691" s="161"/>
      <c r="J691" s="78"/>
      <c r="K691" s="81"/>
      <c r="L691" s="82"/>
      <c r="M691" s="83"/>
      <c r="N691" s="84"/>
      <c r="O691" s="85"/>
    </row>
  </sheetData>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2"/>
  <sheetViews>
    <sheetView workbookViewId="0" topLeftCell="A1">
      <selection activeCell="G605" sqref="G605:H605"/>
    </sheetView>
  </sheetViews>
  <sheetFormatPr defaultColWidth="9.140625" defaultRowHeight="15"/>
  <cols>
    <col min="1" max="1" width="8.7109375" style="0" customWidth="1"/>
    <col min="2" max="2" width="10.140625" style="0" bestFit="1" customWidth="1"/>
    <col min="4" max="4" width="15.140625" style="0" customWidth="1"/>
    <col min="5" max="5" width="15.28125" style="0" customWidth="1"/>
    <col min="6" max="6" width="10.28125" style="0" customWidth="1"/>
    <col min="7" max="7" width="11.7109375" style="0" bestFit="1" customWidth="1"/>
    <col min="8" max="8" width="9.421875" style="0" customWidth="1"/>
    <col min="9" max="9" width="10.00390625" style="0" customWidth="1"/>
    <col min="10" max="10" width="7.421875" style="0" customWidth="1"/>
    <col min="257" max="257" width="8.7109375" style="0" customWidth="1"/>
    <col min="258" max="258" width="10.140625" style="0" bestFit="1" customWidth="1"/>
    <col min="260" max="260" width="15.140625" style="0" customWidth="1"/>
    <col min="261" max="261" width="15.28125" style="0" customWidth="1"/>
    <col min="262" max="262" width="10.28125" style="0" customWidth="1"/>
    <col min="263" max="263" width="11.7109375" style="0" bestFit="1" customWidth="1"/>
    <col min="264" max="264" width="9.421875" style="0" customWidth="1"/>
    <col min="265" max="265" width="10.00390625" style="0" customWidth="1"/>
    <col min="266" max="266" width="7.421875" style="0" customWidth="1"/>
    <col min="513" max="513" width="8.7109375" style="0" customWidth="1"/>
    <col min="514" max="514" width="10.140625" style="0" bestFit="1" customWidth="1"/>
    <col min="516" max="516" width="15.140625" style="0" customWidth="1"/>
    <col min="517" max="517" width="15.28125" style="0" customWidth="1"/>
    <col min="518" max="518" width="10.28125" style="0" customWidth="1"/>
    <col min="519" max="519" width="11.7109375" style="0" bestFit="1" customWidth="1"/>
    <col min="520" max="520" width="9.421875" style="0" customWidth="1"/>
    <col min="521" max="521" width="10.00390625" style="0" customWidth="1"/>
    <col min="522" max="522" width="7.421875" style="0" customWidth="1"/>
    <col min="769" max="769" width="8.7109375" style="0" customWidth="1"/>
    <col min="770" max="770" width="10.140625" style="0" bestFit="1" customWidth="1"/>
    <col min="772" max="772" width="15.140625" style="0" customWidth="1"/>
    <col min="773" max="773" width="15.28125" style="0" customWidth="1"/>
    <col min="774" max="774" width="10.28125" style="0" customWidth="1"/>
    <col min="775" max="775" width="11.7109375" style="0" bestFit="1" customWidth="1"/>
    <col min="776" max="776" width="9.421875" style="0" customWidth="1"/>
    <col min="777" max="777" width="10.00390625" style="0" customWidth="1"/>
    <col min="778" max="778" width="7.421875" style="0" customWidth="1"/>
    <col min="1025" max="1025" width="8.7109375" style="0" customWidth="1"/>
    <col min="1026" max="1026" width="10.140625" style="0" bestFit="1" customWidth="1"/>
    <col min="1028" max="1028" width="15.140625" style="0" customWidth="1"/>
    <col min="1029" max="1029" width="15.28125" style="0" customWidth="1"/>
    <col min="1030" max="1030" width="10.28125" style="0" customWidth="1"/>
    <col min="1031" max="1031" width="11.7109375" style="0" bestFit="1" customWidth="1"/>
    <col min="1032" max="1032" width="9.421875" style="0" customWidth="1"/>
    <col min="1033" max="1033" width="10.00390625" style="0" customWidth="1"/>
    <col min="1034" max="1034" width="7.421875" style="0" customWidth="1"/>
    <col min="1281" max="1281" width="8.7109375" style="0" customWidth="1"/>
    <col min="1282" max="1282" width="10.140625" style="0" bestFit="1" customWidth="1"/>
    <col min="1284" max="1284" width="15.140625" style="0" customWidth="1"/>
    <col min="1285" max="1285" width="15.28125" style="0" customWidth="1"/>
    <col min="1286" max="1286" width="10.28125" style="0" customWidth="1"/>
    <col min="1287" max="1287" width="11.7109375" style="0" bestFit="1" customWidth="1"/>
    <col min="1288" max="1288" width="9.421875" style="0" customWidth="1"/>
    <col min="1289" max="1289" width="10.00390625" style="0" customWidth="1"/>
    <col min="1290" max="1290" width="7.421875" style="0" customWidth="1"/>
    <col min="1537" max="1537" width="8.7109375" style="0" customWidth="1"/>
    <col min="1538" max="1538" width="10.140625" style="0" bestFit="1" customWidth="1"/>
    <col min="1540" max="1540" width="15.140625" style="0" customWidth="1"/>
    <col min="1541" max="1541" width="15.28125" style="0" customWidth="1"/>
    <col min="1542" max="1542" width="10.28125" style="0" customWidth="1"/>
    <col min="1543" max="1543" width="11.7109375" style="0" bestFit="1" customWidth="1"/>
    <col min="1544" max="1544" width="9.421875" style="0" customWidth="1"/>
    <col min="1545" max="1545" width="10.00390625" style="0" customWidth="1"/>
    <col min="1546" max="1546" width="7.421875" style="0" customWidth="1"/>
    <col min="1793" max="1793" width="8.7109375" style="0" customWidth="1"/>
    <col min="1794" max="1794" width="10.140625" style="0" bestFit="1" customWidth="1"/>
    <col min="1796" max="1796" width="15.140625" style="0" customWidth="1"/>
    <col min="1797" max="1797" width="15.28125" style="0" customWidth="1"/>
    <col min="1798" max="1798" width="10.28125" style="0" customWidth="1"/>
    <col min="1799" max="1799" width="11.7109375" style="0" bestFit="1" customWidth="1"/>
    <col min="1800" max="1800" width="9.421875" style="0" customWidth="1"/>
    <col min="1801" max="1801" width="10.00390625" style="0" customWidth="1"/>
    <col min="1802" max="1802" width="7.421875" style="0" customWidth="1"/>
    <col min="2049" max="2049" width="8.7109375" style="0" customWidth="1"/>
    <col min="2050" max="2050" width="10.140625" style="0" bestFit="1" customWidth="1"/>
    <col min="2052" max="2052" width="15.140625" style="0" customWidth="1"/>
    <col min="2053" max="2053" width="15.28125" style="0" customWidth="1"/>
    <col min="2054" max="2054" width="10.28125" style="0" customWidth="1"/>
    <col min="2055" max="2055" width="11.7109375" style="0" bestFit="1" customWidth="1"/>
    <col min="2056" max="2056" width="9.421875" style="0" customWidth="1"/>
    <col min="2057" max="2057" width="10.00390625" style="0" customWidth="1"/>
    <col min="2058" max="2058" width="7.421875" style="0" customWidth="1"/>
    <col min="2305" max="2305" width="8.7109375" style="0" customWidth="1"/>
    <col min="2306" max="2306" width="10.140625" style="0" bestFit="1" customWidth="1"/>
    <col min="2308" max="2308" width="15.140625" style="0" customWidth="1"/>
    <col min="2309" max="2309" width="15.28125" style="0" customWidth="1"/>
    <col min="2310" max="2310" width="10.28125" style="0" customWidth="1"/>
    <col min="2311" max="2311" width="11.7109375" style="0" bestFit="1" customWidth="1"/>
    <col min="2312" max="2312" width="9.421875" style="0" customWidth="1"/>
    <col min="2313" max="2313" width="10.00390625" style="0" customWidth="1"/>
    <col min="2314" max="2314" width="7.421875" style="0" customWidth="1"/>
    <col min="2561" max="2561" width="8.7109375" style="0" customWidth="1"/>
    <col min="2562" max="2562" width="10.140625" style="0" bestFit="1" customWidth="1"/>
    <col min="2564" max="2564" width="15.140625" style="0" customWidth="1"/>
    <col min="2565" max="2565" width="15.28125" style="0" customWidth="1"/>
    <col min="2566" max="2566" width="10.28125" style="0" customWidth="1"/>
    <col min="2567" max="2567" width="11.7109375" style="0" bestFit="1" customWidth="1"/>
    <col min="2568" max="2568" width="9.421875" style="0" customWidth="1"/>
    <col min="2569" max="2569" width="10.00390625" style="0" customWidth="1"/>
    <col min="2570" max="2570" width="7.421875" style="0" customWidth="1"/>
    <col min="2817" max="2817" width="8.7109375" style="0" customWidth="1"/>
    <col min="2818" max="2818" width="10.140625" style="0" bestFit="1" customWidth="1"/>
    <col min="2820" max="2820" width="15.140625" style="0" customWidth="1"/>
    <col min="2821" max="2821" width="15.28125" style="0" customWidth="1"/>
    <col min="2822" max="2822" width="10.28125" style="0" customWidth="1"/>
    <col min="2823" max="2823" width="11.7109375" style="0" bestFit="1" customWidth="1"/>
    <col min="2824" max="2824" width="9.421875" style="0" customWidth="1"/>
    <col min="2825" max="2825" width="10.00390625" style="0" customWidth="1"/>
    <col min="2826" max="2826" width="7.421875" style="0" customWidth="1"/>
    <col min="3073" max="3073" width="8.7109375" style="0" customWidth="1"/>
    <col min="3074" max="3074" width="10.140625" style="0" bestFit="1" customWidth="1"/>
    <col min="3076" max="3076" width="15.140625" style="0" customWidth="1"/>
    <col min="3077" max="3077" width="15.28125" style="0" customWidth="1"/>
    <col min="3078" max="3078" width="10.28125" style="0" customWidth="1"/>
    <col min="3079" max="3079" width="11.7109375" style="0" bestFit="1" customWidth="1"/>
    <col min="3080" max="3080" width="9.421875" style="0" customWidth="1"/>
    <col min="3081" max="3081" width="10.00390625" style="0" customWidth="1"/>
    <col min="3082" max="3082" width="7.421875" style="0" customWidth="1"/>
    <col min="3329" max="3329" width="8.7109375" style="0" customWidth="1"/>
    <col min="3330" max="3330" width="10.140625" style="0" bestFit="1" customWidth="1"/>
    <col min="3332" max="3332" width="15.140625" style="0" customWidth="1"/>
    <col min="3333" max="3333" width="15.28125" style="0" customWidth="1"/>
    <col min="3334" max="3334" width="10.28125" style="0" customWidth="1"/>
    <col min="3335" max="3335" width="11.7109375" style="0" bestFit="1" customWidth="1"/>
    <col min="3336" max="3336" width="9.421875" style="0" customWidth="1"/>
    <col min="3337" max="3337" width="10.00390625" style="0" customWidth="1"/>
    <col min="3338" max="3338" width="7.421875" style="0" customWidth="1"/>
    <col min="3585" max="3585" width="8.7109375" style="0" customWidth="1"/>
    <col min="3586" max="3586" width="10.140625" style="0" bestFit="1" customWidth="1"/>
    <col min="3588" max="3588" width="15.140625" style="0" customWidth="1"/>
    <col min="3589" max="3589" width="15.28125" style="0" customWidth="1"/>
    <col min="3590" max="3590" width="10.28125" style="0" customWidth="1"/>
    <col min="3591" max="3591" width="11.7109375" style="0" bestFit="1" customWidth="1"/>
    <col min="3592" max="3592" width="9.421875" style="0" customWidth="1"/>
    <col min="3593" max="3593" width="10.00390625" style="0" customWidth="1"/>
    <col min="3594" max="3594" width="7.421875" style="0" customWidth="1"/>
    <col min="3841" max="3841" width="8.7109375" style="0" customWidth="1"/>
    <col min="3842" max="3842" width="10.140625" style="0" bestFit="1" customWidth="1"/>
    <col min="3844" max="3844" width="15.140625" style="0" customWidth="1"/>
    <col min="3845" max="3845" width="15.28125" style="0" customWidth="1"/>
    <col min="3846" max="3846" width="10.28125" style="0" customWidth="1"/>
    <col min="3847" max="3847" width="11.7109375" style="0" bestFit="1" customWidth="1"/>
    <col min="3848" max="3848" width="9.421875" style="0" customWidth="1"/>
    <col min="3849" max="3849" width="10.00390625" style="0" customWidth="1"/>
    <col min="3850" max="3850" width="7.421875" style="0" customWidth="1"/>
    <col min="4097" max="4097" width="8.7109375" style="0" customWidth="1"/>
    <col min="4098" max="4098" width="10.140625" style="0" bestFit="1" customWidth="1"/>
    <col min="4100" max="4100" width="15.140625" style="0" customWidth="1"/>
    <col min="4101" max="4101" width="15.28125" style="0" customWidth="1"/>
    <col min="4102" max="4102" width="10.28125" style="0" customWidth="1"/>
    <col min="4103" max="4103" width="11.7109375" style="0" bestFit="1" customWidth="1"/>
    <col min="4104" max="4104" width="9.421875" style="0" customWidth="1"/>
    <col min="4105" max="4105" width="10.00390625" style="0" customWidth="1"/>
    <col min="4106" max="4106" width="7.421875" style="0" customWidth="1"/>
    <col min="4353" max="4353" width="8.7109375" style="0" customWidth="1"/>
    <col min="4354" max="4354" width="10.140625" style="0" bestFit="1" customWidth="1"/>
    <col min="4356" max="4356" width="15.140625" style="0" customWidth="1"/>
    <col min="4357" max="4357" width="15.28125" style="0" customWidth="1"/>
    <col min="4358" max="4358" width="10.28125" style="0" customWidth="1"/>
    <col min="4359" max="4359" width="11.7109375" style="0" bestFit="1" customWidth="1"/>
    <col min="4360" max="4360" width="9.421875" style="0" customWidth="1"/>
    <col min="4361" max="4361" width="10.00390625" style="0" customWidth="1"/>
    <col min="4362" max="4362" width="7.421875" style="0" customWidth="1"/>
    <col min="4609" max="4609" width="8.7109375" style="0" customWidth="1"/>
    <col min="4610" max="4610" width="10.140625" style="0" bestFit="1" customWidth="1"/>
    <col min="4612" max="4612" width="15.140625" style="0" customWidth="1"/>
    <col min="4613" max="4613" width="15.28125" style="0" customWidth="1"/>
    <col min="4614" max="4614" width="10.28125" style="0" customWidth="1"/>
    <col min="4615" max="4615" width="11.7109375" style="0" bestFit="1" customWidth="1"/>
    <col min="4616" max="4616" width="9.421875" style="0" customWidth="1"/>
    <col min="4617" max="4617" width="10.00390625" style="0" customWidth="1"/>
    <col min="4618" max="4618" width="7.421875" style="0" customWidth="1"/>
    <col min="4865" max="4865" width="8.7109375" style="0" customWidth="1"/>
    <col min="4866" max="4866" width="10.140625" style="0" bestFit="1" customWidth="1"/>
    <col min="4868" max="4868" width="15.140625" style="0" customWidth="1"/>
    <col min="4869" max="4869" width="15.28125" style="0" customWidth="1"/>
    <col min="4870" max="4870" width="10.28125" style="0" customWidth="1"/>
    <col min="4871" max="4871" width="11.7109375" style="0" bestFit="1" customWidth="1"/>
    <col min="4872" max="4872" width="9.421875" style="0" customWidth="1"/>
    <col min="4873" max="4873" width="10.00390625" style="0" customWidth="1"/>
    <col min="4874" max="4874" width="7.421875" style="0" customWidth="1"/>
    <col min="5121" max="5121" width="8.7109375" style="0" customWidth="1"/>
    <col min="5122" max="5122" width="10.140625" style="0" bestFit="1" customWidth="1"/>
    <col min="5124" max="5124" width="15.140625" style="0" customWidth="1"/>
    <col min="5125" max="5125" width="15.28125" style="0" customWidth="1"/>
    <col min="5126" max="5126" width="10.28125" style="0" customWidth="1"/>
    <col min="5127" max="5127" width="11.7109375" style="0" bestFit="1" customWidth="1"/>
    <col min="5128" max="5128" width="9.421875" style="0" customWidth="1"/>
    <col min="5129" max="5129" width="10.00390625" style="0" customWidth="1"/>
    <col min="5130" max="5130" width="7.421875" style="0" customWidth="1"/>
    <col min="5377" max="5377" width="8.7109375" style="0" customWidth="1"/>
    <col min="5378" max="5378" width="10.140625" style="0" bestFit="1" customWidth="1"/>
    <col min="5380" max="5380" width="15.140625" style="0" customWidth="1"/>
    <col min="5381" max="5381" width="15.28125" style="0" customWidth="1"/>
    <col min="5382" max="5382" width="10.28125" style="0" customWidth="1"/>
    <col min="5383" max="5383" width="11.7109375" style="0" bestFit="1" customWidth="1"/>
    <col min="5384" max="5384" width="9.421875" style="0" customWidth="1"/>
    <col min="5385" max="5385" width="10.00390625" style="0" customWidth="1"/>
    <col min="5386" max="5386" width="7.421875" style="0" customWidth="1"/>
    <col min="5633" max="5633" width="8.7109375" style="0" customWidth="1"/>
    <col min="5634" max="5634" width="10.140625" style="0" bestFit="1" customWidth="1"/>
    <col min="5636" max="5636" width="15.140625" style="0" customWidth="1"/>
    <col min="5637" max="5637" width="15.28125" style="0" customWidth="1"/>
    <col min="5638" max="5638" width="10.28125" style="0" customWidth="1"/>
    <col min="5639" max="5639" width="11.7109375" style="0" bestFit="1" customWidth="1"/>
    <col min="5640" max="5640" width="9.421875" style="0" customWidth="1"/>
    <col min="5641" max="5641" width="10.00390625" style="0" customWidth="1"/>
    <col min="5642" max="5642" width="7.421875" style="0" customWidth="1"/>
    <col min="5889" max="5889" width="8.7109375" style="0" customWidth="1"/>
    <col min="5890" max="5890" width="10.140625" style="0" bestFit="1" customWidth="1"/>
    <col min="5892" max="5892" width="15.140625" style="0" customWidth="1"/>
    <col min="5893" max="5893" width="15.28125" style="0" customWidth="1"/>
    <col min="5894" max="5894" width="10.28125" style="0" customWidth="1"/>
    <col min="5895" max="5895" width="11.7109375" style="0" bestFit="1" customWidth="1"/>
    <col min="5896" max="5896" width="9.421875" style="0" customWidth="1"/>
    <col min="5897" max="5897" width="10.00390625" style="0" customWidth="1"/>
    <col min="5898" max="5898" width="7.421875" style="0" customWidth="1"/>
    <col min="6145" max="6145" width="8.7109375" style="0" customWidth="1"/>
    <col min="6146" max="6146" width="10.140625" style="0" bestFit="1" customWidth="1"/>
    <col min="6148" max="6148" width="15.140625" style="0" customWidth="1"/>
    <col min="6149" max="6149" width="15.28125" style="0" customWidth="1"/>
    <col min="6150" max="6150" width="10.28125" style="0" customWidth="1"/>
    <col min="6151" max="6151" width="11.7109375" style="0" bestFit="1" customWidth="1"/>
    <col min="6152" max="6152" width="9.421875" style="0" customWidth="1"/>
    <col min="6153" max="6153" width="10.00390625" style="0" customWidth="1"/>
    <col min="6154" max="6154" width="7.421875" style="0" customWidth="1"/>
    <col min="6401" max="6401" width="8.7109375" style="0" customWidth="1"/>
    <col min="6402" max="6402" width="10.140625" style="0" bestFit="1" customWidth="1"/>
    <col min="6404" max="6404" width="15.140625" style="0" customWidth="1"/>
    <col min="6405" max="6405" width="15.28125" style="0" customWidth="1"/>
    <col min="6406" max="6406" width="10.28125" style="0" customWidth="1"/>
    <col min="6407" max="6407" width="11.7109375" style="0" bestFit="1" customWidth="1"/>
    <col min="6408" max="6408" width="9.421875" style="0" customWidth="1"/>
    <col min="6409" max="6409" width="10.00390625" style="0" customWidth="1"/>
    <col min="6410" max="6410" width="7.421875" style="0" customWidth="1"/>
    <col min="6657" max="6657" width="8.7109375" style="0" customWidth="1"/>
    <col min="6658" max="6658" width="10.140625" style="0" bestFit="1" customWidth="1"/>
    <col min="6660" max="6660" width="15.140625" style="0" customWidth="1"/>
    <col min="6661" max="6661" width="15.28125" style="0" customWidth="1"/>
    <col min="6662" max="6662" width="10.28125" style="0" customWidth="1"/>
    <col min="6663" max="6663" width="11.7109375" style="0" bestFit="1" customWidth="1"/>
    <col min="6664" max="6664" width="9.421875" style="0" customWidth="1"/>
    <col min="6665" max="6665" width="10.00390625" style="0" customWidth="1"/>
    <col min="6666" max="6666" width="7.421875" style="0" customWidth="1"/>
    <col min="6913" max="6913" width="8.7109375" style="0" customWidth="1"/>
    <col min="6914" max="6914" width="10.140625" style="0" bestFit="1" customWidth="1"/>
    <col min="6916" max="6916" width="15.140625" style="0" customWidth="1"/>
    <col min="6917" max="6917" width="15.28125" style="0" customWidth="1"/>
    <col min="6918" max="6918" width="10.28125" style="0" customWidth="1"/>
    <col min="6919" max="6919" width="11.7109375" style="0" bestFit="1" customWidth="1"/>
    <col min="6920" max="6920" width="9.421875" style="0" customWidth="1"/>
    <col min="6921" max="6921" width="10.00390625" style="0" customWidth="1"/>
    <col min="6922" max="6922" width="7.421875" style="0" customWidth="1"/>
    <col min="7169" max="7169" width="8.7109375" style="0" customWidth="1"/>
    <col min="7170" max="7170" width="10.140625" style="0" bestFit="1" customWidth="1"/>
    <col min="7172" max="7172" width="15.140625" style="0" customWidth="1"/>
    <col min="7173" max="7173" width="15.28125" style="0" customWidth="1"/>
    <col min="7174" max="7174" width="10.28125" style="0" customWidth="1"/>
    <col min="7175" max="7175" width="11.7109375" style="0" bestFit="1" customWidth="1"/>
    <col min="7176" max="7176" width="9.421875" style="0" customWidth="1"/>
    <col min="7177" max="7177" width="10.00390625" style="0" customWidth="1"/>
    <col min="7178" max="7178" width="7.421875" style="0" customWidth="1"/>
    <col min="7425" max="7425" width="8.7109375" style="0" customWidth="1"/>
    <col min="7426" max="7426" width="10.140625" style="0" bestFit="1" customWidth="1"/>
    <col min="7428" max="7428" width="15.140625" style="0" customWidth="1"/>
    <col min="7429" max="7429" width="15.28125" style="0" customWidth="1"/>
    <col min="7430" max="7430" width="10.28125" style="0" customWidth="1"/>
    <col min="7431" max="7431" width="11.7109375" style="0" bestFit="1" customWidth="1"/>
    <col min="7432" max="7432" width="9.421875" style="0" customWidth="1"/>
    <col min="7433" max="7433" width="10.00390625" style="0" customWidth="1"/>
    <col min="7434" max="7434" width="7.421875" style="0" customWidth="1"/>
    <col min="7681" max="7681" width="8.7109375" style="0" customWidth="1"/>
    <col min="7682" max="7682" width="10.140625" style="0" bestFit="1" customWidth="1"/>
    <col min="7684" max="7684" width="15.140625" style="0" customWidth="1"/>
    <col min="7685" max="7685" width="15.28125" style="0" customWidth="1"/>
    <col min="7686" max="7686" width="10.28125" style="0" customWidth="1"/>
    <col min="7687" max="7687" width="11.7109375" style="0" bestFit="1" customWidth="1"/>
    <col min="7688" max="7688" width="9.421875" style="0" customWidth="1"/>
    <col min="7689" max="7689" width="10.00390625" style="0" customWidth="1"/>
    <col min="7690" max="7690" width="7.421875" style="0" customWidth="1"/>
    <col min="7937" max="7937" width="8.7109375" style="0" customWidth="1"/>
    <col min="7938" max="7938" width="10.140625" style="0" bestFit="1" customWidth="1"/>
    <col min="7940" max="7940" width="15.140625" style="0" customWidth="1"/>
    <col min="7941" max="7941" width="15.28125" style="0" customWidth="1"/>
    <col min="7942" max="7942" width="10.28125" style="0" customWidth="1"/>
    <col min="7943" max="7943" width="11.7109375" style="0" bestFit="1" customWidth="1"/>
    <col min="7944" max="7944" width="9.421875" style="0" customWidth="1"/>
    <col min="7945" max="7945" width="10.00390625" style="0" customWidth="1"/>
    <col min="7946" max="7946" width="7.421875" style="0" customWidth="1"/>
    <col min="8193" max="8193" width="8.7109375" style="0" customWidth="1"/>
    <col min="8194" max="8194" width="10.140625" style="0" bestFit="1" customWidth="1"/>
    <col min="8196" max="8196" width="15.140625" style="0" customWidth="1"/>
    <col min="8197" max="8197" width="15.28125" style="0" customWidth="1"/>
    <col min="8198" max="8198" width="10.28125" style="0" customWidth="1"/>
    <col min="8199" max="8199" width="11.7109375" style="0" bestFit="1" customWidth="1"/>
    <col min="8200" max="8200" width="9.421875" style="0" customWidth="1"/>
    <col min="8201" max="8201" width="10.00390625" style="0" customWidth="1"/>
    <col min="8202" max="8202" width="7.421875" style="0" customWidth="1"/>
    <col min="8449" max="8449" width="8.7109375" style="0" customWidth="1"/>
    <col min="8450" max="8450" width="10.140625" style="0" bestFit="1" customWidth="1"/>
    <col min="8452" max="8452" width="15.140625" style="0" customWidth="1"/>
    <col min="8453" max="8453" width="15.28125" style="0" customWidth="1"/>
    <col min="8454" max="8454" width="10.28125" style="0" customWidth="1"/>
    <col min="8455" max="8455" width="11.7109375" style="0" bestFit="1" customWidth="1"/>
    <col min="8456" max="8456" width="9.421875" style="0" customWidth="1"/>
    <col min="8457" max="8457" width="10.00390625" style="0" customWidth="1"/>
    <col min="8458" max="8458" width="7.421875" style="0" customWidth="1"/>
    <col min="8705" max="8705" width="8.7109375" style="0" customWidth="1"/>
    <col min="8706" max="8706" width="10.140625" style="0" bestFit="1" customWidth="1"/>
    <col min="8708" max="8708" width="15.140625" style="0" customWidth="1"/>
    <col min="8709" max="8709" width="15.28125" style="0" customWidth="1"/>
    <col min="8710" max="8710" width="10.28125" style="0" customWidth="1"/>
    <col min="8711" max="8711" width="11.7109375" style="0" bestFit="1" customWidth="1"/>
    <col min="8712" max="8712" width="9.421875" style="0" customWidth="1"/>
    <col min="8713" max="8713" width="10.00390625" style="0" customWidth="1"/>
    <col min="8714" max="8714" width="7.421875" style="0" customWidth="1"/>
    <col min="8961" max="8961" width="8.7109375" style="0" customWidth="1"/>
    <col min="8962" max="8962" width="10.140625" style="0" bestFit="1" customWidth="1"/>
    <col min="8964" max="8964" width="15.140625" style="0" customWidth="1"/>
    <col min="8965" max="8965" width="15.28125" style="0" customWidth="1"/>
    <col min="8966" max="8966" width="10.28125" style="0" customWidth="1"/>
    <col min="8967" max="8967" width="11.7109375" style="0" bestFit="1" customWidth="1"/>
    <col min="8968" max="8968" width="9.421875" style="0" customWidth="1"/>
    <col min="8969" max="8969" width="10.00390625" style="0" customWidth="1"/>
    <col min="8970" max="8970" width="7.421875" style="0" customWidth="1"/>
    <col min="9217" max="9217" width="8.7109375" style="0" customWidth="1"/>
    <col min="9218" max="9218" width="10.140625" style="0" bestFit="1" customWidth="1"/>
    <col min="9220" max="9220" width="15.140625" style="0" customWidth="1"/>
    <col min="9221" max="9221" width="15.28125" style="0" customWidth="1"/>
    <col min="9222" max="9222" width="10.28125" style="0" customWidth="1"/>
    <col min="9223" max="9223" width="11.7109375" style="0" bestFit="1" customWidth="1"/>
    <col min="9224" max="9224" width="9.421875" style="0" customWidth="1"/>
    <col min="9225" max="9225" width="10.00390625" style="0" customWidth="1"/>
    <col min="9226" max="9226" width="7.421875" style="0" customWidth="1"/>
    <col min="9473" max="9473" width="8.7109375" style="0" customWidth="1"/>
    <col min="9474" max="9474" width="10.140625" style="0" bestFit="1" customWidth="1"/>
    <col min="9476" max="9476" width="15.140625" style="0" customWidth="1"/>
    <col min="9477" max="9477" width="15.28125" style="0" customWidth="1"/>
    <col min="9478" max="9478" width="10.28125" style="0" customWidth="1"/>
    <col min="9479" max="9479" width="11.7109375" style="0" bestFit="1" customWidth="1"/>
    <col min="9480" max="9480" width="9.421875" style="0" customWidth="1"/>
    <col min="9481" max="9481" width="10.00390625" style="0" customWidth="1"/>
    <col min="9482" max="9482" width="7.421875" style="0" customWidth="1"/>
    <col min="9729" max="9729" width="8.7109375" style="0" customWidth="1"/>
    <col min="9730" max="9730" width="10.140625" style="0" bestFit="1" customWidth="1"/>
    <col min="9732" max="9732" width="15.140625" style="0" customWidth="1"/>
    <col min="9733" max="9733" width="15.28125" style="0" customWidth="1"/>
    <col min="9734" max="9734" width="10.28125" style="0" customWidth="1"/>
    <col min="9735" max="9735" width="11.7109375" style="0" bestFit="1" customWidth="1"/>
    <col min="9736" max="9736" width="9.421875" style="0" customWidth="1"/>
    <col min="9737" max="9737" width="10.00390625" style="0" customWidth="1"/>
    <col min="9738" max="9738" width="7.421875" style="0" customWidth="1"/>
    <col min="9985" max="9985" width="8.7109375" style="0" customWidth="1"/>
    <col min="9986" max="9986" width="10.140625" style="0" bestFit="1" customWidth="1"/>
    <col min="9988" max="9988" width="15.140625" style="0" customWidth="1"/>
    <col min="9989" max="9989" width="15.28125" style="0" customWidth="1"/>
    <col min="9990" max="9990" width="10.28125" style="0" customWidth="1"/>
    <col min="9991" max="9991" width="11.7109375" style="0" bestFit="1" customWidth="1"/>
    <col min="9992" max="9992" width="9.421875" style="0" customWidth="1"/>
    <col min="9993" max="9993" width="10.00390625" style="0" customWidth="1"/>
    <col min="9994" max="9994" width="7.421875" style="0" customWidth="1"/>
    <col min="10241" max="10241" width="8.7109375" style="0" customWidth="1"/>
    <col min="10242" max="10242" width="10.140625" style="0" bestFit="1" customWidth="1"/>
    <col min="10244" max="10244" width="15.140625" style="0" customWidth="1"/>
    <col min="10245" max="10245" width="15.28125" style="0" customWidth="1"/>
    <col min="10246" max="10246" width="10.28125" style="0" customWidth="1"/>
    <col min="10247" max="10247" width="11.7109375" style="0" bestFit="1" customWidth="1"/>
    <col min="10248" max="10248" width="9.421875" style="0" customWidth="1"/>
    <col min="10249" max="10249" width="10.00390625" style="0" customWidth="1"/>
    <col min="10250" max="10250" width="7.421875" style="0" customWidth="1"/>
    <col min="10497" max="10497" width="8.7109375" style="0" customWidth="1"/>
    <col min="10498" max="10498" width="10.140625" style="0" bestFit="1" customWidth="1"/>
    <col min="10500" max="10500" width="15.140625" style="0" customWidth="1"/>
    <col min="10501" max="10501" width="15.28125" style="0" customWidth="1"/>
    <col min="10502" max="10502" width="10.28125" style="0" customWidth="1"/>
    <col min="10503" max="10503" width="11.7109375" style="0" bestFit="1" customWidth="1"/>
    <col min="10504" max="10504" width="9.421875" style="0" customWidth="1"/>
    <col min="10505" max="10505" width="10.00390625" style="0" customWidth="1"/>
    <col min="10506" max="10506" width="7.421875" style="0" customWidth="1"/>
    <col min="10753" max="10753" width="8.7109375" style="0" customWidth="1"/>
    <col min="10754" max="10754" width="10.140625" style="0" bestFit="1" customWidth="1"/>
    <col min="10756" max="10756" width="15.140625" style="0" customWidth="1"/>
    <col min="10757" max="10757" width="15.28125" style="0" customWidth="1"/>
    <col min="10758" max="10758" width="10.28125" style="0" customWidth="1"/>
    <col min="10759" max="10759" width="11.7109375" style="0" bestFit="1" customWidth="1"/>
    <col min="10760" max="10760" width="9.421875" style="0" customWidth="1"/>
    <col min="10761" max="10761" width="10.00390625" style="0" customWidth="1"/>
    <col min="10762" max="10762" width="7.421875" style="0" customWidth="1"/>
    <col min="11009" max="11009" width="8.7109375" style="0" customWidth="1"/>
    <col min="11010" max="11010" width="10.140625" style="0" bestFit="1" customWidth="1"/>
    <col min="11012" max="11012" width="15.140625" style="0" customWidth="1"/>
    <col min="11013" max="11013" width="15.28125" style="0" customWidth="1"/>
    <col min="11014" max="11014" width="10.28125" style="0" customWidth="1"/>
    <col min="11015" max="11015" width="11.7109375" style="0" bestFit="1" customWidth="1"/>
    <col min="11016" max="11016" width="9.421875" style="0" customWidth="1"/>
    <col min="11017" max="11017" width="10.00390625" style="0" customWidth="1"/>
    <col min="11018" max="11018" width="7.421875" style="0" customWidth="1"/>
    <col min="11265" max="11265" width="8.7109375" style="0" customWidth="1"/>
    <col min="11266" max="11266" width="10.140625" style="0" bestFit="1" customWidth="1"/>
    <col min="11268" max="11268" width="15.140625" style="0" customWidth="1"/>
    <col min="11269" max="11269" width="15.28125" style="0" customWidth="1"/>
    <col min="11270" max="11270" width="10.28125" style="0" customWidth="1"/>
    <col min="11271" max="11271" width="11.7109375" style="0" bestFit="1" customWidth="1"/>
    <col min="11272" max="11272" width="9.421875" style="0" customWidth="1"/>
    <col min="11273" max="11273" width="10.00390625" style="0" customWidth="1"/>
    <col min="11274" max="11274" width="7.421875" style="0" customWidth="1"/>
    <col min="11521" max="11521" width="8.7109375" style="0" customWidth="1"/>
    <col min="11522" max="11522" width="10.140625" style="0" bestFit="1" customWidth="1"/>
    <col min="11524" max="11524" width="15.140625" style="0" customWidth="1"/>
    <col min="11525" max="11525" width="15.28125" style="0" customWidth="1"/>
    <col min="11526" max="11526" width="10.28125" style="0" customWidth="1"/>
    <col min="11527" max="11527" width="11.7109375" style="0" bestFit="1" customWidth="1"/>
    <col min="11528" max="11528" width="9.421875" style="0" customWidth="1"/>
    <col min="11529" max="11529" width="10.00390625" style="0" customWidth="1"/>
    <col min="11530" max="11530" width="7.421875" style="0" customWidth="1"/>
    <col min="11777" max="11777" width="8.7109375" style="0" customWidth="1"/>
    <col min="11778" max="11778" width="10.140625" style="0" bestFit="1" customWidth="1"/>
    <col min="11780" max="11780" width="15.140625" style="0" customWidth="1"/>
    <col min="11781" max="11781" width="15.28125" style="0" customWidth="1"/>
    <col min="11782" max="11782" width="10.28125" style="0" customWidth="1"/>
    <col min="11783" max="11783" width="11.7109375" style="0" bestFit="1" customWidth="1"/>
    <col min="11784" max="11784" width="9.421875" style="0" customWidth="1"/>
    <col min="11785" max="11785" width="10.00390625" style="0" customWidth="1"/>
    <col min="11786" max="11786" width="7.421875" style="0" customWidth="1"/>
    <col min="12033" max="12033" width="8.7109375" style="0" customWidth="1"/>
    <col min="12034" max="12034" width="10.140625" style="0" bestFit="1" customWidth="1"/>
    <col min="12036" max="12036" width="15.140625" style="0" customWidth="1"/>
    <col min="12037" max="12037" width="15.28125" style="0" customWidth="1"/>
    <col min="12038" max="12038" width="10.28125" style="0" customWidth="1"/>
    <col min="12039" max="12039" width="11.7109375" style="0" bestFit="1" customWidth="1"/>
    <col min="12040" max="12040" width="9.421875" style="0" customWidth="1"/>
    <col min="12041" max="12041" width="10.00390625" style="0" customWidth="1"/>
    <col min="12042" max="12042" width="7.421875" style="0" customWidth="1"/>
    <col min="12289" max="12289" width="8.7109375" style="0" customWidth="1"/>
    <col min="12290" max="12290" width="10.140625" style="0" bestFit="1" customWidth="1"/>
    <col min="12292" max="12292" width="15.140625" style="0" customWidth="1"/>
    <col min="12293" max="12293" width="15.28125" style="0" customWidth="1"/>
    <col min="12294" max="12294" width="10.28125" style="0" customWidth="1"/>
    <col min="12295" max="12295" width="11.7109375" style="0" bestFit="1" customWidth="1"/>
    <col min="12296" max="12296" width="9.421875" style="0" customWidth="1"/>
    <col min="12297" max="12297" width="10.00390625" style="0" customWidth="1"/>
    <col min="12298" max="12298" width="7.421875" style="0" customWidth="1"/>
    <col min="12545" max="12545" width="8.7109375" style="0" customWidth="1"/>
    <col min="12546" max="12546" width="10.140625" style="0" bestFit="1" customWidth="1"/>
    <col min="12548" max="12548" width="15.140625" style="0" customWidth="1"/>
    <col min="12549" max="12549" width="15.28125" style="0" customWidth="1"/>
    <col min="12550" max="12550" width="10.28125" style="0" customWidth="1"/>
    <col min="12551" max="12551" width="11.7109375" style="0" bestFit="1" customWidth="1"/>
    <col min="12552" max="12552" width="9.421875" style="0" customWidth="1"/>
    <col min="12553" max="12553" width="10.00390625" style="0" customWidth="1"/>
    <col min="12554" max="12554" width="7.421875" style="0" customWidth="1"/>
    <col min="12801" max="12801" width="8.7109375" style="0" customWidth="1"/>
    <col min="12802" max="12802" width="10.140625" style="0" bestFit="1" customWidth="1"/>
    <col min="12804" max="12804" width="15.140625" style="0" customWidth="1"/>
    <col min="12805" max="12805" width="15.28125" style="0" customWidth="1"/>
    <col min="12806" max="12806" width="10.28125" style="0" customWidth="1"/>
    <col min="12807" max="12807" width="11.7109375" style="0" bestFit="1" customWidth="1"/>
    <col min="12808" max="12808" width="9.421875" style="0" customWidth="1"/>
    <col min="12809" max="12809" width="10.00390625" style="0" customWidth="1"/>
    <col min="12810" max="12810" width="7.421875" style="0" customWidth="1"/>
    <col min="13057" max="13057" width="8.7109375" style="0" customWidth="1"/>
    <col min="13058" max="13058" width="10.140625" style="0" bestFit="1" customWidth="1"/>
    <col min="13060" max="13060" width="15.140625" style="0" customWidth="1"/>
    <col min="13061" max="13061" width="15.28125" style="0" customWidth="1"/>
    <col min="13062" max="13062" width="10.28125" style="0" customWidth="1"/>
    <col min="13063" max="13063" width="11.7109375" style="0" bestFit="1" customWidth="1"/>
    <col min="13064" max="13064" width="9.421875" style="0" customWidth="1"/>
    <col min="13065" max="13065" width="10.00390625" style="0" customWidth="1"/>
    <col min="13066" max="13066" width="7.421875" style="0" customWidth="1"/>
    <col min="13313" max="13313" width="8.7109375" style="0" customWidth="1"/>
    <col min="13314" max="13314" width="10.140625" style="0" bestFit="1" customWidth="1"/>
    <col min="13316" max="13316" width="15.140625" style="0" customWidth="1"/>
    <col min="13317" max="13317" width="15.28125" style="0" customWidth="1"/>
    <col min="13318" max="13318" width="10.28125" style="0" customWidth="1"/>
    <col min="13319" max="13319" width="11.7109375" style="0" bestFit="1" customWidth="1"/>
    <col min="13320" max="13320" width="9.421875" style="0" customWidth="1"/>
    <col min="13321" max="13321" width="10.00390625" style="0" customWidth="1"/>
    <col min="13322" max="13322" width="7.421875" style="0" customWidth="1"/>
    <col min="13569" max="13569" width="8.7109375" style="0" customWidth="1"/>
    <col min="13570" max="13570" width="10.140625" style="0" bestFit="1" customWidth="1"/>
    <col min="13572" max="13572" width="15.140625" style="0" customWidth="1"/>
    <col min="13573" max="13573" width="15.28125" style="0" customWidth="1"/>
    <col min="13574" max="13574" width="10.28125" style="0" customWidth="1"/>
    <col min="13575" max="13575" width="11.7109375" style="0" bestFit="1" customWidth="1"/>
    <col min="13576" max="13576" width="9.421875" style="0" customWidth="1"/>
    <col min="13577" max="13577" width="10.00390625" style="0" customWidth="1"/>
    <col min="13578" max="13578" width="7.421875" style="0" customWidth="1"/>
    <col min="13825" max="13825" width="8.7109375" style="0" customWidth="1"/>
    <col min="13826" max="13826" width="10.140625" style="0" bestFit="1" customWidth="1"/>
    <col min="13828" max="13828" width="15.140625" style="0" customWidth="1"/>
    <col min="13829" max="13829" width="15.28125" style="0" customWidth="1"/>
    <col min="13830" max="13830" width="10.28125" style="0" customWidth="1"/>
    <col min="13831" max="13831" width="11.7109375" style="0" bestFit="1" customWidth="1"/>
    <col min="13832" max="13832" width="9.421875" style="0" customWidth="1"/>
    <col min="13833" max="13833" width="10.00390625" style="0" customWidth="1"/>
    <col min="13834" max="13834" width="7.421875" style="0" customWidth="1"/>
    <col min="14081" max="14081" width="8.7109375" style="0" customWidth="1"/>
    <col min="14082" max="14082" width="10.140625" style="0" bestFit="1" customWidth="1"/>
    <col min="14084" max="14084" width="15.140625" style="0" customWidth="1"/>
    <col min="14085" max="14085" width="15.28125" style="0" customWidth="1"/>
    <col min="14086" max="14086" width="10.28125" style="0" customWidth="1"/>
    <col min="14087" max="14087" width="11.7109375" style="0" bestFit="1" customWidth="1"/>
    <col min="14088" max="14088" width="9.421875" style="0" customWidth="1"/>
    <col min="14089" max="14089" width="10.00390625" style="0" customWidth="1"/>
    <col min="14090" max="14090" width="7.421875" style="0" customWidth="1"/>
    <col min="14337" max="14337" width="8.7109375" style="0" customWidth="1"/>
    <col min="14338" max="14338" width="10.140625" style="0" bestFit="1" customWidth="1"/>
    <col min="14340" max="14340" width="15.140625" style="0" customWidth="1"/>
    <col min="14341" max="14341" width="15.28125" style="0" customWidth="1"/>
    <col min="14342" max="14342" width="10.28125" style="0" customWidth="1"/>
    <col min="14343" max="14343" width="11.7109375" style="0" bestFit="1" customWidth="1"/>
    <col min="14344" max="14344" width="9.421875" style="0" customWidth="1"/>
    <col min="14345" max="14345" width="10.00390625" style="0" customWidth="1"/>
    <col min="14346" max="14346" width="7.421875" style="0" customWidth="1"/>
    <col min="14593" max="14593" width="8.7109375" style="0" customWidth="1"/>
    <col min="14594" max="14594" width="10.140625" style="0" bestFit="1" customWidth="1"/>
    <col min="14596" max="14596" width="15.140625" style="0" customWidth="1"/>
    <col min="14597" max="14597" width="15.28125" style="0" customWidth="1"/>
    <col min="14598" max="14598" width="10.28125" style="0" customWidth="1"/>
    <col min="14599" max="14599" width="11.7109375" style="0" bestFit="1" customWidth="1"/>
    <col min="14600" max="14600" width="9.421875" style="0" customWidth="1"/>
    <col min="14601" max="14601" width="10.00390625" style="0" customWidth="1"/>
    <col min="14602" max="14602" width="7.421875" style="0" customWidth="1"/>
    <col min="14849" max="14849" width="8.7109375" style="0" customWidth="1"/>
    <col min="14850" max="14850" width="10.140625" style="0" bestFit="1" customWidth="1"/>
    <col min="14852" max="14852" width="15.140625" style="0" customWidth="1"/>
    <col min="14853" max="14853" width="15.28125" style="0" customWidth="1"/>
    <col min="14854" max="14854" width="10.28125" style="0" customWidth="1"/>
    <col min="14855" max="14855" width="11.7109375" style="0" bestFit="1" customWidth="1"/>
    <col min="14856" max="14856" width="9.421875" style="0" customWidth="1"/>
    <col min="14857" max="14857" width="10.00390625" style="0" customWidth="1"/>
    <col min="14858" max="14858" width="7.421875" style="0" customWidth="1"/>
    <col min="15105" max="15105" width="8.7109375" style="0" customWidth="1"/>
    <col min="15106" max="15106" width="10.140625" style="0" bestFit="1" customWidth="1"/>
    <col min="15108" max="15108" width="15.140625" style="0" customWidth="1"/>
    <col min="15109" max="15109" width="15.28125" style="0" customWidth="1"/>
    <col min="15110" max="15110" width="10.28125" style="0" customWidth="1"/>
    <col min="15111" max="15111" width="11.7109375" style="0" bestFit="1" customWidth="1"/>
    <col min="15112" max="15112" width="9.421875" style="0" customWidth="1"/>
    <col min="15113" max="15113" width="10.00390625" style="0" customWidth="1"/>
    <col min="15114" max="15114" width="7.421875" style="0" customWidth="1"/>
    <col min="15361" max="15361" width="8.7109375" style="0" customWidth="1"/>
    <col min="15362" max="15362" width="10.140625" style="0" bestFit="1" customWidth="1"/>
    <col min="15364" max="15364" width="15.140625" style="0" customWidth="1"/>
    <col min="15365" max="15365" width="15.28125" style="0" customWidth="1"/>
    <col min="15366" max="15366" width="10.28125" style="0" customWidth="1"/>
    <col min="15367" max="15367" width="11.7109375" style="0" bestFit="1" customWidth="1"/>
    <col min="15368" max="15368" width="9.421875" style="0" customWidth="1"/>
    <col min="15369" max="15369" width="10.00390625" style="0" customWidth="1"/>
    <col min="15370" max="15370" width="7.421875" style="0" customWidth="1"/>
    <col min="15617" max="15617" width="8.7109375" style="0" customWidth="1"/>
    <col min="15618" max="15618" width="10.140625" style="0" bestFit="1" customWidth="1"/>
    <col min="15620" max="15620" width="15.140625" style="0" customWidth="1"/>
    <col min="15621" max="15621" width="15.28125" style="0" customWidth="1"/>
    <col min="15622" max="15622" width="10.28125" style="0" customWidth="1"/>
    <col min="15623" max="15623" width="11.7109375" style="0" bestFit="1" customWidth="1"/>
    <col min="15624" max="15624" width="9.421875" style="0" customWidth="1"/>
    <col min="15625" max="15625" width="10.00390625" style="0" customWidth="1"/>
    <col min="15626" max="15626" width="7.421875" style="0" customWidth="1"/>
    <col min="15873" max="15873" width="8.7109375" style="0" customWidth="1"/>
    <col min="15874" max="15874" width="10.140625" style="0" bestFit="1" customWidth="1"/>
    <col min="15876" max="15876" width="15.140625" style="0" customWidth="1"/>
    <col min="15877" max="15877" width="15.28125" style="0" customWidth="1"/>
    <col min="15878" max="15878" width="10.28125" style="0" customWidth="1"/>
    <col min="15879" max="15879" width="11.7109375" style="0" bestFit="1" customWidth="1"/>
    <col min="15880" max="15880" width="9.421875" style="0" customWidth="1"/>
    <col min="15881" max="15881" width="10.00390625" style="0" customWidth="1"/>
    <col min="15882" max="15882" width="7.421875" style="0" customWidth="1"/>
    <col min="16129" max="16129" width="8.7109375" style="0" customWidth="1"/>
    <col min="16130" max="16130" width="10.140625" style="0" bestFit="1" customWidth="1"/>
    <col min="16132" max="16132" width="15.140625" style="0" customWidth="1"/>
    <col min="16133" max="16133" width="15.28125" style="0" customWidth="1"/>
    <col min="16134" max="16134" width="10.28125" style="0" customWidth="1"/>
    <col min="16135" max="16135" width="11.7109375" style="0" bestFit="1" customWidth="1"/>
    <col min="16136" max="16136" width="9.421875" style="0" customWidth="1"/>
    <col min="16137" max="16137" width="10.00390625" style="0" customWidth="1"/>
    <col min="16138" max="16138" width="7.421875" style="0" customWidth="1"/>
  </cols>
  <sheetData>
    <row r="1" spans="1:9" ht="15.6">
      <c r="A1" s="303" t="s">
        <v>892</v>
      </c>
      <c r="B1" s="303"/>
      <c r="C1" s="303"/>
      <c r="D1" s="303"/>
      <c r="E1" s="303"/>
      <c r="F1" s="303"/>
      <c r="G1" s="303"/>
      <c r="H1" s="303"/>
      <c r="I1" s="303"/>
    </row>
    <row r="3" spans="1:10" ht="15.6">
      <c r="A3" s="303" t="s">
        <v>893</v>
      </c>
      <c r="B3" s="303"/>
      <c r="C3" s="303"/>
      <c r="D3" s="303"/>
      <c r="E3" s="303"/>
      <c r="F3" s="303"/>
      <c r="G3" s="303"/>
      <c r="H3" s="303"/>
      <c r="I3" s="303"/>
      <c r="J3" s="176"/>
    </row>
    <row r="4" ht="15">
      <c r="A4" s="177"/>
    </row>
    <row r="5" spans="1:7" ht="15">
      <c r="A5" s="177"/>
      <c r="E5" t="s">
        <v>894</v>
      </c>
      <c r="F5" t="s">
        <v>895</v>
      </c>
      <c r="G5" t="s">
        <v>896</v>
      </c>
    </row>
    <row r="7" spans="1:7" ht="15">
      <c r="A7" t="s">
        <v>897</v>
      </c>
      <c r="E7" s="178">
        <f>G192</f>
        <v>0</v>
      </c>
      <c r="F7" s="178">
        <f>H192</f>
        <v>0</v>
      </c>
      <c r="G7" s="178">
        <f>I192</f>
        <v>4138.400000000001</v>
      </c>
    </row>
    <row r="8" spans="1:7" ht="15">
      <c r="A8" t="s">
        <v>898</v>
      </c>
      <c r="E8" s="178">
        <f>G347</f>
        <v>0</v>
      </c>
      <c r="F8" s="178">
        <f>H347</f>
        <v>0</v>
      </c>
      <c r="G8" s="178">
        <f>I347</f>
        <v>990.8000000000001</v>
      </c>
    </row>
    <row r="9" spans="1:7" ht="15">
      <c r="A9" t="s">
        <v>899</v>
      </c>
      <c r="E9" s="178">
        <f>G538</f>
        <v>0</v>
      </c>
      <c r="F9" s="178">
        <f>H538</f>
        <v>0</v>
      </c>
      <c r="G9" s="178">
        <f>I538</f>
        <v>122.89999999999999</v>
      </c>
    </row>
    <row r="10" spans="1:7" ht="15">
      <c r="A10" t="s">
        <v>900</v>
      </c>
      <c r="E10" s="178">
        <f>G573</f>
        <v>0</v>
      </c>
      <c r="F10" s="178">
        <f>H573</f>
        <v>0</v>
      </c>
      <c r="G10" s="178">
        <f>I573</f>
        <v>827</v>
      </c>
    </row>
    <row r="11" spans="1:7" ht="15">
      <c r="A11" t="s">
        <v>901</v>
      </c>
      <c r="E11" s="178">
        <f>G608</f>
        <v>0</v>
      </c>
      <c r="F11" s="178">
        <f>H608</f>
        <v>0</v>
      </c>
      <c r="G11" s="178">
        <f>I608</f>
        <v>0</v>
      </c>
    </row>
    <row r="12" ht="15">
      <c r="F12" s="179"/>
    </row>
    <row r="13" ht="15">
      <c r="A13" s="177" t="s">
        <v>902</v>
      </c>
    </row>
    <row r="14" spans="1:5" ht="15">
      <c r="A14" t="s">
        <v>903</v>
      </c>
      <c r="E14" s="180">
        <f>E7+E8+E9+E10+E11</f>
        <v>0</v>
      </c>
    </row>
    <row r="15" spans="1:6" ht="15">
      <c r="A15" t="s">
        <v>904</v>
      </c>
      <c r="F15" s="180">
        <f>F7+F8+F9+F10+F11</f>
        <v>0</v>
      </c>
    </row>
    <row r="16" spans="1:7" ht="15">
      <c r="A16" t="s">
        <v>905</v>
      </c>
      <c r="G16" s="179">
        <f>G7+G8+G9+G10+G11</f>
        <v>6079.1</v>
      </c>
    </row>
    <row r="17" ht="15">
      <c r="A17" t="s">
        <v>906</v>
      </c>
    </row>
    <row r="18" ht="15">
      <c r="A18" s="177"/>
    </row>
    <row r="20" spans="1:5" ht="15">
      <c r="A20" s="177"/>
      <c r="E20" s="178"/>
    </row>
    <row r="21" spans="1:6" ht="15">
      <c r="A21" s="177"/>
      <c r="F21" s="178"/>
    </row>
    <row r="22" spans="1:7" ht="15">
      <c r="A22" s="177"/>
      <c r="G22" s="178"/>
    </row>
    <row r="23" ht="15">
      <c r="A23" t="s">
        <v>906</v>
      </c>
    </row>
    <row r="24" spans="1:6" ht="15.6">
      <c r="A24" s="181" t="s">
        <v>907</v>
      </c>
      <c r="F24" s="182">
        <f>E14+F15</f>
        <v>0</v>
      </c>
    </row>
    <row r="25" ht="15">
      <c r="A25" t="s">
        <v>908</v>
      </c>
    </row>
    <row r="28" ht="3" customHeight="1"/>
    <row r="29" spans="1:5" ht="15">
      <c r="A29" s="183" t="s">
        <v>909</v>
      </c>
      <c r="B29" s="183"/>
      <c r="C29" s="183"/>
      <c r="D29" s="183"/>
      <c r="E29" s="183"/>
    </row>
    <row r="30" ht="0.75" customHeight="1">
      <c r="A30" s="177"/>
    </row>
    <row r="31" spans="1:9" ht="15">
      <c r="A31" s="184"/>
      <c r="B31" s="184"/>
      <c r="C31" s="184"/>
      <c r="D31" s="184"/>
      <c r="E31" s="184"/>
      <c r="F31" s="184"/>
      <c r="G31" s="185" t="s">
        <v>894</v>
      </c>
      <c r="H31" s="185" t="s">
        <v>895</v>
      </c>
      <c r="I31" s="184"/>
    </row>
    <row r="32" spans="1:10" ht="15">
      <c r="A32" s="186" t="s">
        <v>910</v>
      </c>
      <c r="B32" s="186" t="s">
        <v>911</v>
      </c>
      <c r="C32" s="184"/>
      <c r="D32" s="184"/>
      <c r="E32" s="184"/>
      <c r="F32" s="186" t="s">
        <v>912</v>
      </c>
      <c r="G32" s="186" t="s">
        <v>913</v>
      </c>
      <c r="H32" s="186" t="s">
        <v>913</v>
      </c>
      <c r="I32" s="186" t="s">
        <v>914</v>
      </c>
      <c r="J32" s="187"/>
    </row>
    <row r="33" spans="1:10" ht="15">
      <c r="A33" s="184"/>
      <c r="B33" s="186" t="s">
        <v>915</v>
      </c>
      <c r="C33" s="184"/>
      <c r="D33" s="184"/>
      <c r="E33" s="184"/>
      <c r="F33" s="184"/>
      <c r="G33" s="186" t="s">
        <v>916</v>
      </c>
      <c r="H33" s="186" t="s">
        <v>916</v>
      </c>
      <c r="I33" s="188"/>
      <c r="J33" s="189"/>
    </row>
    <row r="34" spans="1:9" ht="16.5" customHeight="1">
      <c r="A34" s="190" t="s">
        <v>906</v>
      </c>
      <c r="B34" s="190"/>
      <c r="C34" s="190"/>
      <c r="D34" s="190"/>
      <c r="E34" s="190"/>
      <c r="F34" s="190"/>
      <c r="G34" s="190"/>
      <c r="H34" s="190"/>
      <c r="I34" s="190"/>
    </row>
    <row r="35" spans="1:9" ht="16.5" customHeight="1">
      <c r="A35" s="191" t="s">
        <v>917</v>
      </c>
      <c r="B35" s="192" t="s">
        <v>918</v>
      </c>
      <c r="C35" s="193"/>
      <c r="D35" s="193"/>
      <c r="E35" s="193"/>
      <c r="F35" s="194" t="s">
        <v>217</v>
      </c>
      <c r="G35" s="194"/>
      <c r="H35" s="195"/>
      <c r="I35" s="194">
        <v>1500</v>
      </c>
    </row>
    <row r="36" spans="1:9" ht="16.5" customHeight="1">
      <c r="A36" s="196"/>
      <c r="B36" s="186" t="s">
        <v>919</v>
      </c>
      <c r="C36" s="187"/>
      <c r="D36" s="187"/>
      <c r="E36" s="187"/>
      <c r="F36" s="194">
        <v>1</v>
      </c>
      <c r="G36" s="197">
        <f>F36*G35</f>
        <v>0</v>
      </c>
      <c r="H36" s="198">
        <f>F36*H35</f>
        <v>0</v>
      </c>
      <c r="I36" s="197">
        <f>F36*I35</f>
        <v>1500</v>
      </c>
    </row>
    <row r="37" spans="1:9" ht="16.5" customHeight="1">
      <c r="A37" s="199"/>
      <c r="B37" s="186" t="s">
        <v>920</v>
      </c>
      <c r="C37" s="187"/>
      <c r="D37" s="187"/>
      <c r="E37" s="187"/>
      <c r="F37" s="194"/>
      <c r="G37" s="197"/>
      <c r="H37" s="198"/>
      <c r="I37" s="197"/>
    </row>
    <row r="38" spans="1:9" ht="16.5" customHeight="1">
      <c r="A38" s="191"/>
      <c r="B38" s="186" t="s">
        <v>921</v>
      </c>
      <c r="C38" s="187"/>
      <c r="D38" s="187"/>
      <c r="E38" s="187"/>
      <c r="F38" s="194"/>
      <c r="G38" s="197"/>
      <c r="H38" s="198"/>
      <c r="I38" s="197"/>
    </row>
    <row r="39" spans="1:9" ht="16.5" customHeight="1">
      <c r="A39" s="191"/>
      <c r="B39" s="186" t="s">
        <v>922</v>
      </c>
      <c r="C39" s="187"/>
      <c r="D39" s="187"/>
      <c r="E39" s="187"/>
      <c r="F39" s="194"/>
      <c r="G39" s="197"/>
      <c r="H39" s="198"/>
      <c r="I39" s="197"/>
    </row>
    <row r="40" spans="1:9" ht="16.5" customHeight="1">
      <c r="A40" s="200"/>
      <c r="B40" s="186" t="s">
        <v>923</v>
      </c>
      <c r="C40" s="187"/>
      <c r="D40" s="187"/>
      <c r="E40" s="187"/>
      <c r="F40" s="194"/>
      <c r="G40" s="197"/>
      <c r="H40" s="198"/>
      <c r="I40" s="197"/>
    </row>
    <row r="41" spans="1:9" ht="16.5" customHeight="1">
      <c r="A41" s="200"/>
      <c r="B41" s="186" t="s">
        <v>924</v>
      </c>
      <c r="C41" s="187"/>
      <c r="D41" s="187"/>
      <c r="E41" s="187"/>
      <c r="F41" s="187"/>
      <c r="G41" s="201"/>
      <c r="H41" s="202"/>
      <c r="I41" s="201"/>
    </row>
    <row r="42" spans="1:9" ht="16.5" customHeight="1">
      <c r="A42" s="200"/>
      <c r="B42" s="186" t="s">
        <v>925</v>
      </c>
      <c r="C42" s="187"/>
      <c r="D42" s="187"/>
      <c r="E42" s="187"/>
      <c r="F42" s="187"/>
      <c r="G42" s="201"/>
      <c r="H42" s="202"/>
      <c r="I42" s="201"/>
    </row>
    <row r="43" spans="1:9" ht="16.5" customHeight="1">
      <c r="A43" s="200"/>
      <c r="B43" s="186" t="s">
        <v>926</v>
      </c>
      <c r="C43" s="193"/>
      <c r="D43" s="193"/>
      <c r="E43" s="187"/>
      <c r="F43" s="187"/>
      <c r="G43" s="201"/>
      <c r="H43" s="202"/>
      <c r="I43" s="201"/>
    </row>
    <row r="44" spans="1:9" ht="16.5" customHeight="1">
      <c r="A44" s="200"/>
      <c r="B44" s="186"/>
      <c r="C44" s="193"/>
      <c r="D44" s="193"/>
      <c r="E44" s="187"/>
      <c r="F44" s="187"/>
      <c r="G44" s="201"/>
      <c r="H44" s="202"/>
      <c r="I44" s="201"/>
    </row>
    <row r="45" spans="1:9" ht="16.5" customHeight="1">
      <c r="A45" s="200"/>
      <c r="B45" s="186" t="s">
        <v>927</v>
      </c>
      <c r="C45" s="187"/>
      <c r="D45" s="187"/>
      <c r="E45" s="187"/>
      <c r="F45" s="184"/>
      <c r="G45" s="201"/>
      <c r="H45" s="202"/>
      <c r="I45" s="201"/>
    </row>
    <row r="46" spans="1:9" ht="16.5" customHeight="1">
      <c r="A46" s="200"/>
      <c r="B46" s="186" t="s">
        <v>928</v>
      </c>
      <c r="C46" s="193"/>
      <c r="D46" s="193"/>
      <c r="E46" s="187"/>
      <c r="F46" s="194">
        <v>1</v>
      </c>
      <c r="G46" s="201"/>
      <c r="H46" s="202"/>
      <c r="I46" s="201"/>
    </row>
    <row r="47" spans="1:9" ht="16.5" customHeight="1">
      <c r="A47" s="200"/>
      <c r="B47" s="186"/>
      <c r="C47" s="193"/>
      <c r="D47" s="193"/>
      <c r="E47" s="187"/>
      <c r="F47" s="187"/>
      <c r="G47" s="201"/>
      <c r="H47" s="202"/>
      <c r="I47" s="201"/>
    </row>
    <row r="48" spans="1:13" ht="16.5" customHeight="1">
      <c r="A48" s="191" t="s">
        <v>929</v>
      </c>
      <c r="B48" s="192" t="s">
        <v>930</v>
      </c>
      <c r="C48" s="203"/>
      <c r="D48" s="203"/>
      <c r="E48" s="203"/>
      <c r="F48" s="204" t="s">
        <v>217</v>
      </c>
      <c r="G48" s="204"/>
      <c r="H48" s="205"/>
      <c r="I48" s="204">
        <v>15</v>
      </c>
      <c r="M48" s="183"/>
    </row>
    <row r="49" spans="1:9" ht="16.5" customHeight="1">
      <c r="A49" s="206"/>
      <c r="B49" s="186" t="s">
        <v>931</v>
      </c>
      <c r="C49" s="203"/>
      <c r="D49" s="203"/>
      <c r="E49" s="203"/>
      <c r="F49" s="204">
        <v>1</v>
      </c>
      <c r="G49" s="192">
        <f>F49*G48</f>
        <v>0</v>
      </c>
      <c r="H49" s="207">
        <f>F49*H48</f>
        <v>0</v>
      </c>
      <c r="I49" s="192">
        <f>F49*I48</f>
        <v>15</v>
      </c>
    </row>
    <row r="50" spans="1:9" ht="16.5" customHeight="1">
      <c r="A50" s="206"/>
      <c r="B50" s="186"/>
      <c r="C50" s="208"/>
      <c r="D50" s="208"/>
      <c r="E50" s="208"/>
      <c r="F50" s="194"/>
      <c r="G50" s="197"/>
      <c r="H50" s="198"/>
      <c r="I50" s="197"/>
    </row>
    <row r="51" spans="1:9" ht="16.5" customHeight="1">
      <c r="A51" s="206"/>
      <c r="B51" s="186" t="s">
        <v>927</v>
      </c>
      <c r="C51" s="187"/>
      <c r="D51" s="187"/>
      <c r="E51" s="187"/>
      <c r="F51" s="187"/>
      <c r="G51" s="197"/>
      <c r="H51" s="198"/>
      <c r="I51" s="197"/>
    </row>
    <row r="52" spans="1:9" ht="16.5" customHeight="1">
      <c r="A52" s="206"/>
      <c r="B52" s="186" t="s">
        <v>928</v>
      </c>
      <c r="C52" s="193"/>
      <c r="D52" s="193"/>
      <c r="E52" s="187"/>
      <c r="F52" s="194">
        <v>1</v>
      </c>
      <c r="G52" s="197"/>
      <c r="H52" s="198"/>
      <c r="I52" s="197"/>
    </row>
    <row r="53" spans="1:9" ht="16.5" customHeight="1">
      <c r="A53" s="206"/>
      <c r="B53" s="183"/>
      <c r="G53" s="192"/>
      <c r="H53" s="207"/>
      <c r="I53" s="192"/>
    </row>
    <row r="54" spans="1:9" ht="16.5" customHeight="1">
      <c r="A54" s="191" t="s">
        <v>932</v>
      </c>
      <c r="B54" s="192" t="s">
        <v>933</v>
      </c>
      <c r="C54" s="203"/>
      <c r="D54" s="203"/>
      <c r="E54" s="203"/>
      <c r="F54" s="204" t="s">
        <v>217</v>
      </c>
      <c r="G54" s="204"/>
      <c r="H54" s="205"/>
      <c r="I54" s="204">
        <v>13</v>
      </c>
    </row>
    <row r="55" spans="1:9" ht="16.5" customHeight="1">
      <c r="A55" s="206"/>
      <c r="B55" s="186" t="s">
        <v>934</v>
      </c>
      <c r="C55" s="203"/>
      <c r="D55" s="203"/>
      <c r="E55" s="203"/>
      <c r="F55" s="204">
        <v>42</v>
      </c>
      <c r="G55" s="192">
        <f>F55*G54</f>
        <v>0</v>
      </c>
      <c r="H55" s="207">
        <f>F55*H54</f>
        <v>0</v>
      </c>
      <c r="I55" s="192">
        <f>F55*I54</f>
        <v>546</v>
      </c>
    </row>
    <row r="56" spans="1:9" ht="16.5" customHeight="1">
      <c r="A56" s="206"/>
      <c r="B56" s="183"/>
      <c r="G56" s="192"/>
      <c r="H56" s="207"/>
      <c r="I56" s="192"/>
    </row>
    <row r="57" spans="1:9" ht="16.5" customHeight="1">
      <c r="A57" s="206"/>
      <c r="B57" s="186" t="s">
        <v>927</v>
      </c>
      <c r="C57" s="187"/>
      <c r="D57" s="187"/>
      <c r="E57" s="187"/>
      <c r="F57" s="187"/>
      <c r="G57" s="192"/>
      <c r="H57" s="207"/>
      <c r="I57" s="192"/>
    </row>
    <row r="58" spans="1:9" ht="16.5" customHeight="1">
      <c r="A58" s="206"/>
      <c r="B58" s="186" t="s">
        <v>935</v>
      </c>
      <c r="C58" s="193"/>
      <c r="D58" s="193"/>
      <c r="E58" s="187"/>
      <c r="F58" s="194">
        <v>42</v>
      </c>
      <c r="G58" s="192"/>
      <c r="H58" s="207"/>
      <c r="I58" s="192"/>
    </row>
    <row r="59" spans="1:9" ht="16.5" customHeight="1">
      <c r="A59" s="206"/>
      <c r="B59" s="183"/>
      <c r="G59" s="192"/>
      <c r="H59" s="207"/>
      <c r="I59" s="192"/>
    </row>
    <row r="60" spans="1:9" ht="16.5" customHeight="1">
      <c r="A60" s="191" t="s">
        <v>936</v>
      </c>
      <c r="B60" s="192" t="s">
        <v>933</v>
      </c>
      <c r="C60" s="203"/>
      <c r="D60" s="203"/>
      <c r="E60" s="203"/>
      <c r="F60" s="204" t="s">
        <v>217</v>
      </c>
      <c r="G60" s="204"/>
      <c r="H60" s="205"/>
      <c r="I60" s="204">
        <v>17</v>
      </c>
    </row>
    <row r="61" spans="1:9" ht="16.5" customHeight="1">
      <c r="A61" s="206"/>
      <c r="B61" s="186" t="s">
        <v>937</v>
      </c>
      <c r="C61" s="203"/>
      <c r="D61" s="203"/>
      <c r="E61" s="203"/>
      <c r="F61" s="204">
        <v>20</v>
      </c>
      <c r="G61" s="192">
        <f>F61*G60</f>
        <v>0</v>
      </c>
      <c r="H61" s="207">
        <f>F61*H60</f>
        <v>0</v>
      </c>
      <c r="I61" s="192">
        <f>F61*I60</f>
        <v>340</v>
      </c>
    </row>
    <row r="62" spans="1:9" ht="16.5" customHeight="1">
      <c r="A62" s="206"/>
      <c r="B62" s="183"/>
      <c r="G62" s="192"/>
      <c r="H62" s="207"/>
      <c r="I62" s="192"/>
    </row>
    <row r="63" spans="1:9" ht="16.5" customHeight="1">
      <c r="A63" s="206"/>
      <c r="B63" s="186" t="s">
        <v>927</v>
      </c>
      <c r="C63" s="187"/>
      <c r="D63" s="187"/>
      <c r="E63" s="187"/>
      <c r="F63" s="187"/>
      <c r="G63" s="204"/>
      <c r="H63" s="205"/>
      <c r="I63" s="204"/>
    </row>
    <row r="64" spans="1:9" ht="16.5" customHeight="1">
      <c r="A64" s="206"/>
      <c r="B64" s="186" t="s">
        <v>938</v>
      </c>
      <c r="C64" s="193"/>
      <c r="D64" s="193"/>
      <c r="E64" s="187"/>
      <c r="F64" s="194">
        <v>20</v>
      </c>
      <c r="G64" s="192"/>
      <c r="H64" s="207"/>
      <c r="I64" s="192"/>
    </row>
    <row r="65" spans="1:9" ht="16.5" customHeight="1">
      <c r="A65" s="206"/>
      <c r="B65" s="186"/>
      <c r="C65" s="203"/>
      <c r="D65" s="203"/>
      <c r="E65" s="203"/>
      <c r="F65" s="204"/>
      <c r="G65" s="192"/>
      <c r="H65" s="207"/>
      <c r="I65" s="192"/>
    </row>
    <row r="66" spans="1:9" ht="16.5" customHeight="1">
      <c r="A66" s="191" t="s">
        <v>939</v>
      </c>
      <c r="B66" s="197" t="s">
        <v>940</v>
      </c>
      <c r="C66" s="194"/>
      <c r="D66" s="194"/>
      <c r="E66" s="194"/>
      <c r="F66" s="194" t="s">
        <v>217</v>
      </c>
      <c r="G66" s="194"/>
      <c r="H66" s="195"/>
      <c r="I66" s="194">
        <v>33</v>
      </c>
    </row>
    <row r="67" spans="1:9" ht="16.5" customHeight="1">
      <c r="A67" s="206"/>
      <c r="B67" s="186" t="s">
        <v>941</v>
      </c>
      <c r="C67" s="194"/>
      <c r="D67" s="194"/>
      <c r="E67" s="194"/>
      <c r="F67" s="194">
        <v>1</v>
      </c>
      <c r="G67" s="197">
        <f>F67*G66</f>
        <v>0</v>
      </c>
      <c r="H67" s="198">
        <f>F67*H66</f>
        <v>0</v>
      </c>
      <c r="I67" s="197">
        <f>F67*I66</f>
        <v>33</v>
      </c>
    </row>
    <row r="68" spans="1:9" ht="16.5" customHeight="1">
      <c r="A68" s="206"/>
      <c r="B68" s="186" t="s">
        <v>942</v>
      </c>
      <c r="C68" s="194"/>
      <c r="D68" s="194"/>
      <c r="E68" s="194"/>
      <c r="F68" s="194"/>
      <c r="G68" s="197"/>
      <c r="H68" s="198"/>
      <c r="I68" s="197"/>
    </row>
    <row r="69" spans="1:9" ht="16.5" customHeight="1">
      <c r="A69" s="206"/>
      <c r="B69" s="209"/>
      <c r="C69" s="194"/>
      <c r="D69" s="194"/>
      <c r="E69" s="194"/>
      <c r="F69" s="194"/>
      <c r="G69" s="197"/>
      <c r="H69" s="198"/>
      <c r="I69" s="197"/>
    </row>
    <row r="70" spans="1:9" ht="16.5" customHeight="1">
      <c r="A70" s="206"/>
      <c r="B70" s="186" t="s">
        <v>927</v>
      </c>
      <c r="C70" s="187"/>
      <c r="D70" s="187"/>
      <c r="E70" s="187"/>
      <c r="F70" s="187"/>
      <c r="G70" s="197"/>
      <c r="H70" s="198"/>
      <c r="I70" s="197"/>
    </row>
    <row r="71" spans="1:9" ht="16.5" customHeight="1">
      <c r="A71" s="206"/>
      <c r="B71" s="186" t="s">
        <v>928</v>
      </c>
      <c r="C71" s="193"/>
      <c r="D71" s="193"/>
      <c r="E71" s="187"/>
      <c r="F71" s="194">
        <v>1</v>
      </c>
      <c r="G71" s="197"/>
      <c r="H71" s="198"/>
      <c r="I71" s="197"/>
    </row>
    <row r="72" spans="1:9" ht="16.5" customHeight="1">
      <c r="A72" s="206"/>
      <c r="B72" s="209"/>
      <c r="C72" s="194"/>
      <c r="D72" s="194"/>
      <c r="E72" s="194"/>
      <c r="F72" s="194"/>
      <c r="G72" s="197"/>
      <c r="H72" s="198"/>
      <c r="I72" s="197"/>
    </row>
    <row r="73" spans="1:9" ht="16.5" customHeight="1">
      <c r="A73" s="191" t="s">
        <v>943</v>
      </c>
      <c r="B73" s="197" t="s">
        <v>944</v>
      </c>
      <c r="C73" s="194"/>
      <c r="D73" s="194"/>
      <c r="E73" s="194"/>
      <c r="F73" s="194" t="s">
        <v>217</v>
      </c>
      <c r="G73" s="194"/>
      <c r="H73" s="195"/>
      <c r="I73" s="194">
        <v>37</v>
      </c>
    </row>
    <row r="74" spans="1:9" ht="16.5" customHeight="1">
      <c r="A74" s="206"/>
      <c r="B74" s="186" t="s">
        <v>945</v>
      </c>
      <c r="C74" s="194"/>
      <c r="D74" s="194"/>
      <c r="E74" s="194"/>
      <c r="F74" s="194">
        <v>1</v>
      </c>
      <c r="G74" s="197">
        <f>F74*G73</f>
        <v>0</v>
      </c>
      <c r="H74" s="198">
        <f>F74*H73</f>
        <v>0</v>
      </c>
      <c r="I74" s="197">
        <f>F74*I73</f>
        <v>37</v>
      </c>
    </row>
    <row r="75" spans="1:9" ht="16.5" customHeight="1">
      <c r="A75" s="206"/>
      <c r="B75" s="186" t="s">
        <v>942</v>
      </c>
      <c r="C75" s="194"/>
      <c r="D75" s="194"/>
      <c r="E75" s="194"/>
      <c r="F75" s="194"/>
      <c r="G75" s="197"/>
      <c r="H75" s="198"/>
      <c r="I75" s="197"/>
    </row>
    <row r="76" spans="1:9" ht="16.5" customHeight="1">
      <c r="A76" s="206"/>
      <c r="B76" s="209"/>
      <c r="C76" s="194"/>
      <c r="D76" s="194"/>
      <c r="E76" s="194"/>
      <c r="F76" s="194"/>
      <c r="G76" s="197"/>
      <c r="H76" s="198"/>
      <c r="I76" s="197"/>
    </row>
    <row r="77" spans="1:9" ht="16.5" customHeight="1">
      <c r="A77" s="206"/>
      <c r="B77" s="186" t="s">
        <v>927</v>
      </c>
      <c r="C77" s="187"/>
      <c r="D77" s="187"/>
      <c r="E77" s="187"/>
      <c r="F77" s="187"/>
      <c r="G77" s="197"/>
      <c r="H77" s="198"/>
      <c r="I77" s="197"/>
    </row>
    <row r="78" spans="1:9" ht="16.5" customHeight="1">
      <c r="A78" s="206"/>
      <c r="B78" s="186" t="s">
        <v>928</v>
      </c>
      <c r="C78" s="193"/>
      <c r="D78" s="193"/>
      <c r="E78" s="187"/>
      <c r="F78" s="194">
        <v>1</v>
      </c>
      <c r="G78" s="197"/>
      <c r="H78" s="198"/>
      <c r="I78" s="197"/>
    </row>
    <row r="79" spans="1:9" ht="16.5" customHeight="1">
      <c r="A79" s="206"/>
      <c r="B79" s="209"/>
      <c r="C79" s="194"/>
      <c r="D79" s="194"/>
      <c r="E79" s="194"/>
      <c r="F79" s="194"/>
      <c r="G79" s="197"/>
      <c r="H79" s="198"/>
      <c r="I79" s="197"/>
    </row>
    <row r="80" spans="1:9" ht="16.5" customHeight="1">
      <c r="A80" s="191" t="s">
        <v>946</v>
      </c>
      <c r="B80" s="192" t="s">
        <v>947</v>
      </c>
      <c r="C80" s="193"/>
      <c r="D80" s="193"/>
      <c r="E80" s="193"/>
      <c r="F80" s="204" t="s">
        <v>217</v>
      </c>
      <c r="G80" s="204"/>
      <c r="H80" s="205"/>
      <c r="I80" s="204">
        <v>150</v>
      </c>
    </row>
    <row r="81" spans="1:9" ht="16.5" customHeight="1">
      <c r="A81" s="206"/>
      <c r="B81" s="186" t="s">
        <v>948</v>
      </c>
      <c r="C81" s="193"/>
      <c r="D81" s="193"/>
      <c r="E81" s="193"/>
      <c r="F81" s="204">
        <v>2</v>
      </c>
      <c r="G81" s="192">
        <f>F81*G80</f>
        <v>0</v>
      </c>
      <c r="H81" s="207">
        <f>F81*H80</f>
        <v>0</v>
      </c>
      <c r="I81" s="192">
        <f>F81*I80</f>
        <v>300</v>
      </c>
    </row>
    <row r="82" spans="1:9" ht="16.5" customHeight="1">
      <c r="A82" s="206"/>
      <c r="B82" s="186" t="s">
        <v>949</v>
      </c>
      <c r="C82" s="193"/>
      <c r="D82" s="193"/>
      <c r="E82" s="193"/>
      <c r="F82" s="204"/>
      <c r="G82" s="192"/>
      <c r="H82" s="207"/>
      <c r="I82" s="192"/>
    </row>
    <row r="83" spans="1:9" ht="16.5" customHeight="1">
      <c r="A83" s="191"/>
      <c r="B83" s="186" t="s">
        <v>950</v>
      </c>
      <c r="C83" s="193"/>
      <c r="D83" s="193"/>
      <c r="E83" s="193"/>
      <c r="F83" s="204"/>
      <c r="G83" s="192"/>
      <c r="H83" s="207"/>
      <c r="I83" s="192"/>
    </row>
    <row r="84" ht="16.5" customHeight="1">
      <c r="A84" s="206"/>
    </row>
    <row r="85" spans="1:6" ht="16.5" customHeight="1">
      <c r="A85" s="206"/>
      <c r="B85" s="186" t="s">
        <v>927</v>
      </c>
      <c r="C85" s="187"/>
      <c r="D85" s="187"/>
      <c r="E85" s="187"/>
      <c r="F85" s="187"/>
    </row>
    <row r="86" spans="1:6" ht="16.5" customHeight="1">
      <c r="A86" s="206"/>
      <c r="B86" s="186" t="s">
        <v>951</v>
      </c>
      <c r="C86" s="193"/>
      <c r="D86" s="193"/>
      <c r="E86" s="187"/>
      <c r="F86" s="194">
        <v>2</v>
      </c>
    </row>
    <row r="87" spans="1:9" ht="16.5" customHeight="1">
      <c r="A87" s="206"/>
      <c r="B87" s="186"/>
      <c r="C87" s="193"/>
      <c r="D87" s="193"/>
      <c r="E87" s="193"/>
      <c r="F87" s="204"/>
      <c r="G87" s="192"/>
      <c r="H87" s="207"/>
      <c r="I87" s="192"/>
    </row>
    <row r="88" spans="1:9" ht="16.5" customHeight="1">
      <c r="A88" s="191" t="s">
        <v>952</v>
      </c>
      <c r="B88" s="197" t="s">
        <v>953</v>
      </c>
      <c r="C88" s="194"/>
      <c r="D88" s="194"/>
      <c r="E88" s="194"/>
      <c r="F88" s="194" t="s">
        <v>217</v>
      </c>
      <c r="G88" s="194"/>
      <c r="H88" s="195"/>
      <c r="I88" s="194">
        <v>15.5</v>
      </c>
    </row>
    <row r="89" spans="1:9" ht="16.5" customHeight="1">
      <c r="A89" s="206"/>
      <c r="B89" s="186" t="s">
        <v>954</v>
      </c>
      <c r="C89" s="194"/>
      <c r="D89" s="194"/>
      <c r="E89" s="194"/>
      <c r="F89" s="194">
        <v>8</v>
      </c>
      <c r="G89" s="197">
        <f>F89*G88</f>
        <v>0</v>
      </c>
      <c r="H89" s="198">
        <f>F89*H88</f>
        <v>0</v>
      </c>
      <c r="I89" s="197">
        <f>F89*I88</f>
        <v>124</v>
      </c>
    </row>
    <row r="90" spans="1:9" ht="16.5" customHeight="1">
      <c r="A90" s="206"/>
      <c r="B90" s="186" t="s">
        <v>955</v>
      </c>
      <c r="C90" s="194"/>
      <c r="D90" s="194"/>
      <c r="E90" s="194"/>
      <c r="F90" s="194"/>
      <c r="G90" s="197"/>
      <c r="H90" s="198"/>
      <c r="I90" s="197"/>
    </row>
    <row r="91" spans="1:9" ht="16.5" customHeight="1">
      <c r="A91" s="191"/>
      <c r="B91" s="186" t="s">
        <v>956</v>
      </c>
      <c r="C91" s="194"/>
      <c r="D91" s="194"/>
      <c r="E91" s="194"/>
      <c r="F91" s="194"/>
      <c r="G91" s="197"/>
      <c r="H91" s="198"/>
      <c r="I91" s="197"/>
    </row>
    <row r="92" spans="1:9" ht="16.5" customHeight="1">
      <c r="A92" s="206"/>
      <c r="B92" s="186" t="s">
        <v>957</v>
      </c>
      <c r="C92" s="194"/>
      <c r="D92" s="194"/>
      <c r="E92" s="194"/>
      <c r="F92" s="194"/>
      <c r="G92" s="197"/>
      <c r="H92" s="198"/>
      <c r="I92" s="197"/>
    </row>
    <row r="93" spans="1:9" ht="16.5" customHeight="1">
      <c r="A93" s="206"/>
      <c r="B93" s="186"/>
      <c r="C93" s="194"/>
      <c r="D93" s="194"/>
      <c r="E93" s="194"/>
      <c r="F93" s="194"/>
      <c r="G93" s="197"/>
      <c r="H93" s="198"/>
      <c r="I93" s="197"/>
    </row>
    <row r="94" spans="1:9" ht="16.5" customHeight="1">
      <c r="A94" s="206"/>
      <c r="B94" s="186" t="s">
        <v>927</v>
      </c>
      <c r="C94" s="187"/>
      <c r="D94" s="187"/>
      <c r="E94" s="187"/>
      <c r="F94" s="187"/>
      <c r="G94" s="197"/>
      <c r="H94" s="198"/>
      <c r="I94" s="197"/>
    </row>
    <row r="95" spans="1:9" ht="16.5" customHeight="1">
      <c r="A95" s="206"/>
      <c r="B95" s="186" t="s">
        <v>958</v>
      </c>
      <c r="C95" s="193"/>
      <c r="D95" s="193"/>
      <c r="E95" s="187"/>
      <c r="F95" s="194">
        <v>8</v>
      </c>
      <c r="G95" s="197"/>
      <c r="H95" s="198"/>
      <c r="I95" s="197"/>
    </row>
    <row r="96" spans="1:9" ht="16.5" customHeight="1">
      <c r="A96" s="206"/>
      <c r="B96" s="186"/>
      <c r="C96" s="194"/>
      <c r="D96" s="194"/>
      <c r="E96" s="194"/>
      <c r="F96" s="194"/>
      <c r="G96" s="197"/>
      <c r="H96" s="198"/>
      <c r="I96" s="197"/>
    </row>
    <row r="97" spans="1:9" ht="16.5" customHeight="1">
      <c r="A97" s="191" t="s">
        <v>959</v>
      </c>
      <c r="B97" s="197" t="s">
        <v>960</v>
      </c>
      <c r="C97" s="194"/>
      <c r="D97" s="194"/>
      <c r="E97" s="194"/>
      <c r="F97" s="194" t="s">
        <v>217</v>
      </c>
      <c r="G97" s="194"/>
      <c r="H97" s="195"/>
      <c r="I97" s="194">
        <v>13.5</v>
      </c>
    </row>
    <row r="98" spans="1:9" ht="16.5" customHeight="1">
      <c r="A98" s="206"/>
      <c r="F98" s="194">
        <v>8</v>
      </c>
      <c r="G98" s="197">
        <f>F98*G97</f>
        <v>0</v>
      </c>
      <c r="H98" s="210">
        <f>F99*H97</f>
        <v>0</v>
      </c>
      <c r="I98" s="197">
        <f>F99*I97</f>
        <v>0</v>
      </c>
    </row>
    <row r="99" spans="1:9" ht="16.5" customHeight="1">
      <c r="A99" s="206"/>
      <c r="B99" s="186" t="s">
        <v>955</v>
      </c>
      <c r="C99" s="194"/>
      <c r="D99" s="194"/>
      <c r="E99" s="194"/>
      <c r="F99" s="194"/>
      <c r="G99" s="194"/>
      <c r="H99" s="194"/>
      <c r="I99" s="194"/>
    </row>
    <row r="100" spans="1:9" ht="16.5" customHeight="1">
      <c r="A100" s="206"/>
      <c r="B100" s="186" t="s">
        <v>956</v>
      </c>
      <c r="C100" s="194"/>
      <c r="D100" s="194"/>
      <c r="E100" s="194"/>
      <c r="F100" s="194"/>
      <c r="G100" s="194"/>
      <c r="H100" s="194"/>
      <c r="I100" s="194"/>
    </row>
    <row r="101" spans="1:9" ht="16.5" customHeight="1">
      <c r="A101" s="206"/>
      <c r="B101" s="186"/>
      <c r="C101" s="194"/>
      <c r="D101" s="194"/>
      <c r="E101" s="194"/>
      <c r="F101" s="194"/>
      <c r="G101" s="194"/>
      <c r="H101" s="194"/>
      <c r="I101" s="194"/>
    </row>
    <row r="102" spans="1:9" ht="16.5" customHeight="1">
      <c r="A102" s="206"/>
      <c r="B102" s="186" t="s">
        <v>927</v>
      </c>
      <c r="C102" s="187"/>
      <c r="D102" s="187"/>
      <c r="E102" s="187"/>
      <c r="F102" s="187"/>
      <c r="G102" s="194"/>
      <c r="H102" s="194"/>
      <c r="I102" s="194"/>
    </row>
    <row r="103" spans="1:9" ht="16.5" customHeight="1">
      <c r="A103" s="206"/>
      <c r="B103" s="186" t="s">
        <v>958</v>
      </c>
      <c r="C103" s="193"/>
      <c r="D103" s="193"/>
      <c r="E103" s="187"/>
      <c r="F103" s="194">
        <v>8</v>
      </c>
      <c r="G103" s="194"/>
      <c r="H103" s="194"/>
      <c r="I103" s="194"/>
    </row>
    <row r="104" spans="1:9" ht="16.5" customHeight="1">
      <c r="A104" s="206"/>
      <c r="B104" s="186"/>
      <c r="C104" s="193"/>
      <c r="D104" s="193"/>
      <c r="E104" s="193"/>
      <c r="F104" s="204"/>
      <c r="G104" s="192"/>
      <c r="H104" s="207"/>
      <c r="I104" s="192"/>
    </row>
    <row r="105" spans="1:9" ht="16.5" customHeight="1">
      <c r="A105" s="191" t="s">
        <v>961</v>
      </c>
      <c r="B105" s="192" t="s">
        <v>962</v>
      </c>
      <c r="C105" s="193"/>
      <c r="D105" s="193"/>
      <c r="E105" s="193"/>
      <c r="F105" s="204" t="s">
        <v>217</v>
      </c>
      <c r="G105" s="204"/>
      <c r="H105" s="205"/>
      <c r="I105" s="204">
        <v>2.8</v>
      </c>
    </row>
    <row r="106" spans="1:9" ht="16.5" customHeight="1">
      <c r="A106" s="206"/>
      <c r="B106" s="186" t="s">
        <v>963</v>
      </c>
      <c r="C106" s="193"/>
      <c r="D106" s="193"/>
      <c r="E106" s="193"/>
      <c r="F106" s="204">
        <v>8</v>
      </c>
      <c r="G106" s="192">
        <f>F106*G105</f>
        <v>0</v>
      </c>
      <c r="H106" s="207">
        <f>F106*H105</f>
        <v>0</v>
      </c>
      <c r="I106" s="192">
        <f>F106*I105</f>
        <v>22.4</v>
      </c>
    </row>
    <row r="107" spans="1:9" ht="16.5" customHeight="1">
      <c r="A107" s="206"/>
      <c r="B107" s="186" t="s">
        <v>964</v>
      </c>
      <c r="C107" s="193"/>
      <c r="D107" s="193"/>
      <c r="E107" s="193"/>
      <c r="F107" s="204"/>
      <c r="G107" s="192"/>
      <c r="H107" s="207"/>
      <c r="I107" s="192"/>
    </row>
    <row r="108" spans="1:9" ht="16.5" customHeight="1">
      <c r="A108" s="206"/>
      <c r="B108" s="186"/>
      <c r="C108" s="193"/>
      <c r="D108" s="193"/>
      <c r="E108" s="193"/>
      <c r="F108" s="204"/>
      <c r="G108" s="192"/>
      <c r="H108" s="207"/>
      <c r="I108" s="192"/>
    </row>
    <row r="109" spans="1:9" ht="16.5" customHeight="1">
      <c r="A109" s="206"/>
      <c r="B109" s="186" t="s">
        <v>927</v>
      </c>
      <c r="C109" s="187"/>
      <c r="D109" s="187"/>
      <c r="E109" s="187"/>
      <c r="F109" s="187"/>
      <c r="G109" s="192"/>
      <c r="H109" s="207"/>
      <c r="I109" s="192"/>
    </row>
    <row r="110" spans="1:9" ht="16.5" customHeight="1">
      <c r="A110" s="206"/>
      <c r="B110" s="186" t="s">
        <v>965</v>
      </c>
      <c r="C110" s="193"/>
      <c r="D110" s="193"/>
      <c r="E110" s="187"/>
      <c r="F110" s="194">
        <v>8</v>
      </c>
      <c r="G110" s="192"/>
      <c r="H110" s="207"/>
      <c r="I110" s="192"/>
    </row>
    <row r="111" spans="1:9" ht="16.5" customHeight="1">
      <c r="A111" s="206"/>
      <c r="B111" s="186"/>
      <c r="C111" s="193"/>
      <c r="D111" s="193"/>
      <c r="E111" s="193"/>
      <c r="F111" s="204"/>
      <c r="G111" s="192"/>
      <c r="H111" s="207"/>
      <c r="I111" s="192"/>
    </row>
    <row r="112" spans="1:9" ht="16.5" customHeight="1">
      <c r="A112" s="191" t="s">
        <v>966</v>
      </c>
      <c r="B112" s="197" t="s">
        <v>967</v>
      </c>
      <c r="C112" s="194"/>
      <c r="D112" s="194"/>
      <c r="E112" s="194"/>
      <c r="F112" s="194" t="s">
        <v>217</v>
      </c>
      <c r="G112" s="194"/>
      <c r="H112" s="195"/>
      <c r="I112" s="194">
        <v>13.1</v>
      </c>
    </row>
    <row r="113" spans="1:9" ht="16.5" customHeight="1">
      <c r="A113" s="206"/>
      <c r="B113" s="186" t="s">
        <v>968</v>
      </c>
      <c r="C113" s="194"/>
      <c r="D113" s="194"/>
      <c r="E113" s="194"/>
      <c r="F113" s="194">
        <v>2</v>
      </c>
      <c r="G113" s="197">
        <f>F113*G112</f>
        <v>0</v>
      </c>
      <c r="H113" s="198">
        <f>F113*H112</f>
        <v>0</v>
      </c>
      <c r="I113" s="197">
        <f>F113*I112</f>
        <v>26.2</v>
      </c>
    </row>
    <row r="114" spans="1:9" ht="16.5" customHeight="1">
      <c r="A114" s="206"/>
      <c r="B114" s="186" t="s">
        <v>969</v>
      </c>
      <c r="C114" s="194"/>
      <c r="D114" s="194"/>
      <c r="E114" s="194"/>
      <c r="F114" s="194"/>
      <c r="G114" s="197"/>
      <c r="H114" s="198"/>
      <c r="I114" s="197"/>
    </row>
    <row r="115" spans="1:9" ht="16.5" customHeight="1">
      <c r="A115" s="206"/>
      <c r="B115" s="186"/>
      <c r="C115" s="194"/>
      <c r="D115" s="194"/>
      <c r="E115" s="194"/>
      <c r="F115" s="194"/>
      <c r="G115" s="197"/>
      <c r="H115" s="198"/>
      <c r="I115" s="197"/>
    </row>
    <row r="116" spans="1:9" ht="16.5" customHeight="1">
      <c r="A116" s="206"/>
      <c r="B116" s="186" t="s">
        <v>927</v>
      </c>
      <c r="C116" s="187"/>
      <c r="D116" s="187"/>
      <c r="E116" s="187"/>
      <c r="F116" s="187"/>
      <c r="G116" s="197"/>
      <c r="H116" s="198"/>
      <c r="I116" s="197"/>
    </row>
    <row r="117" spans="1:9" ht="16.5" customHeight="1">
      <c r="A117" s="206"/>
      <c r="B117" s="186" t="s">
        <v>970</v>
      </c>
      <c r="C117" s="193"/>
      <c r="D117" s="193"/>
      <c r="E117" s="187"/>
      <c r="F117" s="194">
        <v>2</v>
      </c>
      <c r="G117" s="197"/>
      <c r="H117" s="198"/>
      <c r="I117" s="197"/>
    </row>
    <row r="118" spans="1:9" ht="16.5" customHeight="1">
      <c r="A118" s="206"/>
      <c r="B118" s="186"/>
      <c r="C118" s="194"/>
      <c r="D118" s="194"/>
      <c r="E118" s="194"/>
      <c r="F118" s="194"/>
      <c r="G118" s="197"/>
      <c r="H118" s="198"/>
      <c r="I118" s="197"/>
    </row>
    <row r="119" spans="1:9" ht="16.5" customHeight="1">
      <c r="A119" s="191" t="s">
        <v>971</v>
      </c>
      <c r="B119" s="197" t="s">
        <v>972</v>
      </c>
      <c r="C119" s="194"/>
      <c r="D119" s="194"/>
      <c r="E119" s="194"/>
      <c r="F119" s="194" t="s">
        <v>217</v>
      </c>
      <c r="G119" s="194"/>
      <c r="H119" s="195"/>
      <c r="I119" s="194">
        <v>3.6</v>
      </c>
    </row>
    <row r="120" spans="1:9" ht="16.5" customHeight="1">
      <c r="A120" s="206"/>
      <c r="B120" s="186" t="s">
        <v>973</v>
      </c>
      <c r="C120" s="194"/>
      <c r="D120" s="194"/>
      <c r="E120" s="194"/>
      <c r="F120" s="194">
        <v>2</v>
      </c>
      <c r="G120" s="197">
        <f>F120*G119</f>
        <v>0</v>
      </c>
      <c r="H120" s="198">
        <f>F120*H119</f>
        <v>0</v>
      </c>
      <c r="I120" s="197">
        <f>F120*I119</f>
        <v>7.2</v>
      </c>
    </row>
    <row r="121" spans="1:9" ht="16.5" customHeight="1">
      <c r="A121" s="206"/>
      <c r="B121" s="186"/>
      <c r="C121" s="194"/>
      <c r="D121" s="194"/>
      <c r="E121" s="194"/>
      <c r="F121" s="194"/>
      <c r="G121" s="197"/>
      <c r="H121" s="198"/>
      <c r="I121" s="197"/>
    </row>
    <row r="122" spans="1:9" ht="16.5" customHeight="1">
      <c r="A122" s="206"/>
      <c r="B122" s="186" t="s">
        <v>927</v>
      </c>
      <c r="C122" s="187"/>
      <c r="D122" s="187"/>
      <c r="E122" s="187"/>
      <c r="F122" s="187"/>
      <c r="G122" s="197"/>
      <c r="H122" s="198"/>
      <c r="I122" s="197"/>
    </row>
    <row r="123" spans="1:9" ht="16.5" customHeight="1">
      <c r="A123" s="206"/>
      <c r="B123" s="186" t="s">
        <v>974</v>
      </c>
      <c r="C123" s="193"/>
      <c r="D123" s="193"/>
      <c r="E123" s="187"/>
      <c r="F123" s="194">
        <v>2</v>
      </c>
      <c r="G123" s="197"/>
      <c r="H123" s="198"/>
      <c r="I123" s="197"/>
    </row>
    <row r="124" spans="1:9" ht="16.5" customHeight="1">
      <c r="A124" s="206"/>
      <c r="B124" s="186"/>
      <c r="C124" s="194"/>
      <c r="D124" s="194"/>
      <c r="E124" s="194"/>
      <c r="F124" s="194"/>
      <c r="G124" s="197"/>
      <c r="H124" s="198"/>
      <c r="I124" s="197"/>
    </row>
    <row r="125" spans="1:9" ht="16.5" customHeight="1">
      <c r="A125" s="191" t="s">
        <v>975</v>
      </c>
      <c r="B125" s="197" t="s">
        <v>976</v>
      </c>
      <c r="C125" s="194"/>
      <c r="D125" s="194"/>
      <c r="E125" s="194"/>
      <c r="F125" s="194" t="s">
        <v>217</v>
      </c>
      <c r="G125" s="194"/>
      <c r="H125" s="195"/>
      <c r="I125" s="194">
        <v>1</v>
      </c>
    </row>
    <row r="126" spans="1:9" ht="16.5" customHeight="1">
      <c r="A126" s="191"/>
      <c r="B126" s="186"/>
      <c r="C126" s="194"/>
      <c r="D126" s="194"/>
      <c r="E126" s="194"/>
      <c r="F126" s="194">
        <v>4</v>
      </c>
      <c r="G126" s="197">
        <f>F126*G125</f>
        <v>0</v>
      </c>
      <c r="H126" s="198">
        <f>F126*H125</f>
        <v>0</v>
      </c>
      <c r="I126" s="197">
        <f>F126*I125</f>
        <v>4</v>
      </c>
    </row>
    <row r="127" spans="1:9" ht="16.5" customHeight="1">
      <c r="A127" s="191"/>
      <c r="B127" s="186"/>
      <c r="C127" s="194"/>
      <c r="D127" s="194"/>
      <c r="E127" s="194"/>
      <c r="F127" s="194"/>
      <c r="G127" s="197"/>
      <c r="H127" s="198"/>
      <c r="I127" s="197"/>
    </row>
    <row r="128" spans="1:9" ht="16.5" customHeight="1">
      <c r="A128" s="191"/>
      <c r="B128" s="186" t="s">
        <v>927</v>
      </c>
      <c r="C128" s="187"/>
      <c r="D128" s="187"/>
      <c r="E128" s="187"/>
      <c r="F128" s="187"/>
      <c r="G128" s="197"/>
      <c r="H128" s="198"/>
      <c r="I128" s="197"/>
    </row>
    <row r="129" spans="1:9" ht="16.5" customHeight="1">
      <c r="A129" s="191"/>
      <c r="B129" s="186" t="s">
        <v>977</v>
      </c>
      <c r="C129" s="193"/>
      <c r="D129" s="193"/>
      <c r="E129" s="187"/>
      <c r="F129" s="194">
        <v>4</v>
      </c>
      <c r="G129" s="197"/>
      <c r="H129" s="198"/>
      <c r="I129" s="197"/>
    </row>
    <row r="130" spans="1:9" ht="16.5" customHeight="1">
      <c r="A130" s="191"/>
      <c r="B130" s="186"/>
      <c r="C130" s="194"/>
      <c r="D130" s="194"/>
      <c r="E130" s="194"/>
      <c r="F130" s="194"/>
      <c r="G130" s="197"/>
      <c r="H130" s="198"/>
      <c r="I130" s="197"/>
    </row>
    <row r="131" spans="1:9" ht="16.5" customHeight="1">
      <c r="A131" s="191" t="s">
        <v>978</v>
      </c>
      <c r="B131" s="192" t="s">
        <v>979</v>
      </c>
      <c r="C131" s="194"/>
      <c r="D131" s="194"/>
      <c r="E131" s="193"/>
      <c r="F131" s="194" t="s">
        <v>69</v>
      </c>
      <c r="G131" s="204"/>
      <c r="H131" s="205"/>
      <c r="I131" s="204">
        <v>2</v>
      </c>
    </row>
    <row r="132" spans="1:9" ht="16.5" customHeight="1">
      <c r="A132" s="191"/>
      <c r="B132" s="186" t="s">
        <v>980</v>
      </c>
      <c r="C132" s="194"/>
      <c r="D132" s="194"/>
      <c r="E132" s="193"/>
      <c r="F132" s="194">
        <v>20</v>
      </c>
      <c r="G132" s="192">
        <f>F132*G131</f>
        <v>0</v>
      </c>
      <c r="H132" s="207">
        <f>F132*H131</f>
        <v>0</v>
      </c>
      <c r="I132" s="192">
        <f>F132*I131</f>
        <v>40</v>
      </c>
    </row>
    <row r="133" spans="1:9" ht="16.5" customHeight="1">
      <c r="A133" s="191"/>
      <c r="B133" s="186" t="s">
        <v>981</v>
      </c>
      <c r="C133" s="194"/>
      <c r="D133" s="194"/>
      <c r="E133" s="194"/>
      <c r="F133" s="194"/>
      <c r="G133" s="192"/>
      <c r="H133" s="207"/>
      <c r="I133" s="192"/>
    </row>
    <row r="134" spans="1:9" ht="16.5" customHeight="1">
      <c r="A134" s="191"/>
      <c r="B134" s="186" t="s">
        <v>982</v>
      </c>
      <c r="C134" s="194"/>
      <c r="D134" s="194"/>
      <c r="E134" s="194"/>
      <c r="F134" s="194"/>
      <c r="G134" s="192"/>
      <c r="H134" s="207"/>
      <c r="I134" s="192"/>
    </row>
    <row r="135" spans="1:9" ht="16.5" customHeight="1">
      <c r="A135" s="191"/>
      <c r="B135" s="186" t="s">
        <v>983</v>
      </c>
      <c r="C135" s="194"/>
      <c r="D135" s="194"/>
      <c r="E135" s="194"/>
      <c r="F135" s="194"/>
      <c r="G135" s="192"/>
      <c r="H135" s="207"/>
      <c r="I135" s="192"/>
    </row>
    <row r="136" spans="1:9" ht="16.5" customHeight="1">
      <c r="A136" s="191"/>
      <c r="B136" s="186"/>
      <c r="C136" s="194"/>
      <c r="D136" s="194"/>
      <c r="E136" s="194"/>
      <c r="F136" s="194"/>
      <c r="G136" s="194"/>
      <c r="H136" s="194"/>
      <c r="I136" s="194"/>
    </row>
    <row r="137" spans="1:9" ht="16.5" customHeight="1">
      <c r="A137" s="191"/>
      <c r="B137" s="186" t="s">
        <v>927</v>
      </c>
      <c r="C137" s="187"/>
      <c r="D137" s="187"/>
      <c r="E137" s="187"/>
      <c r="F137" s="187"/>
      <c r="G137" s="194"/>
      <c r="H137" s="194"/>
      <c r="I137" s="194"/>
    </row>
    <row r="138" spans="1:9" ht="16.5" customHeight="1">
      <c r="A138" s="191"/>
      <c r="B138" s="186" t="s">
        <v>984</v>
      </c>
      <c r="C138" s="193"/>
      <c r="D138" s="193"/>
      <c r="E138" s="187"/>
      <c r="F138" s="194">
        <v>20</v>
      </c>
      <c r="G138" s="194"/>
      <c r="H138" s="194"/>
      <c r="I138" s="194"/>
    </row>
    <row r="139" spans="1:9" ht="16.5" customHeight="1">
      <c r="A139" s="191"/>
      <c r="B139" s="186"/>
      <c r="C139" s="194"/>
      <c r="D139" s="194"/>
      <c r="E139" s="194"/>
      <c r="F139" s="194"/>
      <c r="G139" s="194"/>
      <c r="H139" s="194"/>
      <c r="I139" s="194"/>
    </row>
    <row r="140" spans="1:9" ht="16.5" customHeight="1">
      <c r="A140" s="191" t="s">
        <v>985</v>
      </c>
      <c r="B140" s="192" t="s">
        <v>986</v>
      </c>
      <c r="C140" s="203"/>
      <c r="D140" s="203"/>
      <c r="E140" s="203"/>
      <c r="F140" s="204" t="s">
        <v>69</v>
      </c>
      <c r="G140" s="204"/>
      <c r="H140" s="205"/>
      <c r="I140" s="204">
        <v>2.5</v>
      </c>
    </row>
    <row r="141" spans="1:9" ht="16.5" customHeight="1">
      <c r="A141" s="191"/>
      <c r="B141" s="186" t="s">
        <v>987</v>
      </c>
      <c r="C141" s="208"/>
      <c r="D141" s="208"/>
      <c r="E141" s="208"/>
      <c r="F141" s="204">
        <v>4</v>
      </c>
      <c r="G141" s="192">
        <f>F141*G140</f>
        <v>0</v>
      </c>
      <c r="H141" s="207">
        <f>F141*H140</f>
        <v>0</v>
      </c>
      <c r="I141" s="192">
        <f>F141*I140</f>
        <v>10</v>
      </c>
    </row>
    <row r="142" spans="1:9" ht="16.5" customHeight="1">
      <c r="A142" s="191"/>
      <c r="B142" s="186" t="s">
        <v>988</v>
      </c>
      <c r="C142" s="194"/>
      <c r="D142" s="194"/>
      <c r="E142" s="194"/>
      <c r="F142" s="194"/>
      <c r="G142" s="194"/>
      <c r="H142" s="194"/>
      <c r="I142" s="194"/>
    </row>
    <row r="143" spans="1:9" ht="16.5" customHeight="1">
      <c r="A143" s="191"/>
      <c r="B143" s="211" t="s">
        <v>989</v>
      </c>
      <c r="C143" s="194"/>
      <c r="D143" s="194"/>
      <c r="E143" s="194"/>
      <c r="F143" s="194"/>
      <c r="G143" s="194"/>
      <c r="H143" s="194"/>
      <c r="I143" s="194"/>
    </row>
    <row r="144" spans="1:9" ht="16.5" customHeight="1">
      <c r="A144" s="191"/>
      <c r="B144" s="186"/>
      <c r="C144" s="194"/>
      <c r="D144" s="194"/>
      <c r="E144" s="194"/>
      <c r="F144" s="194"/>
      <c r="G144" s="194"/>
      <c r="H144" s="194"/>
      <c r="I144" s="194"/>
    </row>
    <row r="145" spans="1:9" ht="16.5" customHeight="1">
      <c r="A145" s="191"/>
      <c r="B145" s="186" t="s">
        <v>927</v>
      </c>
      <c r="C145" s="187"/>
      <c r="D145" s="187"/>
      <c r="E145" s="187"/>
      <c r="F145" s="187"/>
      <c r="G145" s="194"/>
      <c r="H145" s="194"/>
      <c r="I145" s="194"/>
    </row>
    <row r="146" spans="1:9" ht="16.5" customHeight="1">
      <c r="A146" s="191"/>
      <c r="B146" s="186" t="s">
        <v>990</v>
      </c>
      <c r="C146" s="193"/>
      <c r="D146" s="193"/>
      <c r="E146" s="187"/>
      <c r="F146" s="194">
        <v>4</v>
      </c>
      <c r="G146" s="194"/>
      <c r="H146" s="194"/>
      <c r="I146" s="194"/>
    </row>
    <row r="147" spans="1:9" ht="16.5" customHeight="1">
      <c r="A147" s="191"/>
      <c r="B147" s="186"/>
      <c r="C147" s="194"/>
      <c r="D147" s="194"/>
      <c r="E147" s="194"/>
      <c r="F147" s="194"/>
      <c r="G147" s="194"/>
      <c r="H147" s="194"/>
      <c r="I147" s="194"/>
    </row>
    <row r="148" spans="1:9" ht="16.5" customHeight="1">
      <c r="A148" s="191" t="s">
        <v>991</v>
      </c>
      <c r="B148" s="192" t="s">
        <v>992</v>
      </c>
      <c r="C148" s="203"/>
      <c r="D148" s="203"/>
      <c r="E148" s="203"/>
      <c r="F148" s="204" t="s">
        <v>217</v>
      </c>
      <c r="G148" s="204"/>
      <c r="H148" s="205"/>
      <c r="I148" s="204">
        <v>1.1</v>
      </c>
    </row>
    <row r="149" spans="1:9" ht="16.5" customHeight="1">
      <c r="A149" s="191"/>
      <c r="B149" s="186" t="s">
        <v>987</v>
      </c>
      <c r="C149" s="208"/>
      <c r="D149" s="208"/>
      <c r="E149" s="208"/>
      <c r="F149" s="204">
        <v>2</v>
      </c>
      <c r="G149" s="192">
        <f>F149*G148</f>
        <v>0</v>
      </c>
      <c r="H149" s="207">
        <f>F149*H148</f>
        <v>0</v>
      </c>
      <c r="I149" s="192">
        <f>F149*I148</f>
        <v>2.2</v>
      </c>
    </row>
    <row r="150" spans="1:9" ht="16.5" customHeight="1">
      <c r="A150" s="191"/>
      <c r="B150" s="186" t="s">
        <v>988</v>
      </c>
      <c r="C150" s="194"/>
      <c r="D150" s="194"/>
      <c r="E150" s="194"/>
      <c r="F150" s="194"/>
      <c r="G150" s="194"/>
      <c r="H150" s="194"/>
      <c r="I150" s="194"/>
    </row>
    <row r="151" spans="1:9" ht="16.5" customHeight="1">
      <c r="A151" s="191"/>
      <c r="B151" s="211" t="s">
        <v>989</v>
      </c>
      <c r="C151" s="194"/>
      <c r="D151" s="194"/>
      <c r="E151" s="194"/>
      <c r="F151" s="194"/>
      <c r="G151" s="194"/>
      <c r="H151" s="194"/>
      <c r="I151" s="194"/>
    </row>
    <row r="152" spans="1:9" ht="16.5" customHeight="1">
      <c r="A152" s="191"/>
      <c r="B152" s="186"/>
      <c r="C152" s="194"/>
      <c r="D152" s="194"/>
      <c r="E152" s="194"/>
      <c r="F152" s="194"/>
      <c r="G152" s="194"/>
      <c r="H152" s="194"/>
      <c r="I152" s="194"/>
    </row>
    <row r="153" spans="1:9" ht="16.5" customHeight="1">
      <c r="A153" s="191"/>
      <c r="B153" s="186" t="s">
        <v>927</v>
      </c>
      <c r="C153" s="187"/>
      <c r="D153" s="187"/>
      <c r="E153" s="187"/>
      <c r="F153" s="187"/>
      <c r="G153" s="194"/>
      <c r="H153" s="194"/>
      <c r="I153" s="194"/>
    </row>
    <row r="154" spans="1:9" ht="16.5" customHeight="1">
      <c r="A154" s="191"/>
      <c r="B154" s="186" t="s">
        <v>993</v>
      </c>
      <c r="C154" s="193"/>
      <c r="D154" s="193"/>
      <c r="E154" s="187"/>
      <c r="F154" s="194">
        <v>2</v>
      </c>
      <c r="G154" s="194"/>
      <c r="H154" s="194"/>
      <c r="I154" s="194"/>
    </row>
    <row r="155" spans="1:9" ht="16.5" customHeight="1">
      <c r="A155" s="191"/>
      <c r="B155" s="186"/>
      <c r="C155" s="193"/>
      <c r="D155" s="193"/>
      <c r="E155" s="187"/>
      <c r="F155" s="194"/>
      <c r="G155" s="194"/>
      <c r="H155" s="194"/>
      <c r="I155" s="194"/>
    </row>
    <row r="156" spans="1:9" ht="16.5" customHeight="1">
      <c r="A156" s="191" t="s">
        <v>994</v>
      </c>
      <c r="B156" s="197" t="s">
        <v>995</v>
      </c>
      <c r="C156" s="212"/>
      <c r="D156" s="212"/>
      <c r="E156" s="212"/>
      <c r="F156" s="204" t="s">
        <v>996</v>
      </c>
      <c r="G156" s="194"/>
      <c r="H156" s="195"/>
      <c r="I156" s="194">
        <v>0.8</v>
      </c>
    </row>
    <row r="157" spans="1:9" ht="16.5" customHeight="1">
      <c r="A157" s="191"/>
      <c r="B157" s="186" t="s">
        <v>997</v>
      </c>
      <c r="C157" s="183"/>
      <c r="D157" s="183"/>
      <c r="E157" s="183"/>
      <c r="F157" s="204">
        <v>320</v>
      </c>
      <c r="G157" s="197">
        <f>F157*G156</f>
        <v>0</v>
      </c>
      <c r="H157" s="198">
        <f>F157*H156</f>
        <v>0</v>
      </c>
      <c r="I157" s="197">
        <f>F157*I156</f>
        <v>256</v>
      </c>
    </row>
    <row r="158" spans="1:9" ht="16.5" customHeight="1">
      <c r="A158" s="191"/>
      <c r="B158" s="186" t="s">
        <v>988</v>
      </c>
      <c r="C158" s="183"/>
      <c r="D158" s="183"/>
      <c r="E158" s="183"/>
      <c r="F158" s="204"/>
      <c r="G158" s="197"/>
      <c r="H158" s="198"/>
      <c r="I158" s="197"/>
    </row>
    <row r="159" spans="1:9" ht="16.5" customHeight="1">
      <c r="A159" s="191"/>
      <c r="B159" s="211" t="s">
        <v>998</v>
      </c>
      <c r="C159" s="183"/>
      <c r="D159" s="183"/>
      <c r="E159" s="183"/>
      <c r="F159" s="204"/>
      <c r="G159" s="197"/>
      <c r="H159" s="198"/>
      <c r="I159" s="197"/>
    </row>
    <row r="160" spans="1:9" ht="16.5" customHeight="1">
      <c r="A160" s="191"/>
      <c r="B160" s="211"/>
      <c r="C160" s="183"/>
      <c r="D160" s="183"/>
      <c r="E160" s="183"/>
      <c r="F160" s="204"/>
      <c r="G160" s="197"/>
      <c r="H160" s="198"/>
      <c r="I160" s="197"/>
    </row>
    <row r="161" spans="1:9" ht="16.5" customHeight="1">
      <c r="A161" s="191"/>
      <c r="B161" s="186" t="s">
        <v>927</v>
      </c>
      <c r="C161" s="187"/>
      <c r="D161" s="187"/>
      <c r="E161" s="187"/>
      <c r="F161" s="187"/>
      <c r="G161" s="197"/>
      <c r="H161" s="198"/>
      <c r="I161" s="197"/>
    </row>
    <row r="162" spans="1:9" ht="16.5" customHeight="1">
      <c r="A162" s="191"/>
      <c r="B162" s="186" t="s">
        <v>999</v>
      </c>
      <c r="C162" s="193"/>
      <c r="D162" s="193"/>
      <c r="E162" s="187"/>
      <c r="F162" s="194">
        <v>320</v>
      </c>
      <c r="G162" s="197"/>
      <c r="H162" s="198"/>
      <c r="I162" s="197"/>
    </row>
    <row r="163" spans="1:9" ht="16.5" customHeight="1">
      <c r="A163" s="191"/>
      <c r="B163" s="186"/>
      <c r="C163" s="208"/>
      <c r="D163" s="208"/>
      <c r="E163" s="208"/>
      <c r="F163" s="204"/>
      <c r="G163" s="192"/>
      <c r="H163" s="207"/>
      <c r="I163" s="192"/>
    </row>
    <row r="164" spans="1:9" ht="16.5" customHeight="1">
      <c r="A164" s="191" t="s">
        <v>1000</v>
      </c>
      <c r="B164" s="197" t="s">
        <v>1001</v>
      </c>
      <c r="C164" s="194"/>
      <c r="D164" s="194"/>
      <c r="E164" s="194"/>
      <c r="F164" s="194" t="s">
        <v>1002</v>
      </c>
      <c r="G164" s="194"/>
      <c r="H164" s="195"/>
      <c r="I164" s="194">
        <v>1.6</v>
      </c>
    </row>
    <row r="165" spans="1:9" ht="16.5" customHeight="1">
      <c r="A165" s="191"/>
      <c r="B165" s="186" t="s">
        <v>1003</v>
      </c>
      <c r="C165" s="194"/>
      <c r="D165" s="194"/>
      <c r="E165" s="194"/>
      <c r="F165" s="194">
        <v>252</v>
      </c>
      <c r="G165" s="197">
        <f>F165*G164</f>
        <v>0</v>
      </c>
      <c r="H165" s="198">
        <f>F165*H164</f>
        <v>0</v>
      </c>
      <c r="I165" s="197">
        <f>F165*I164</f>
        <v>403.20000000000005</v>
      </c>
    </row>
    <row r="166" spans="1:9" ht="16.5" customHeight="1">
      <c r="A166" s="191"/>
      <c r="B166" s="186" t="s">
        <v>1004</v>
      </c>
      <c r="C166" s="194"/>
      <c r="D166" s="194"/>
      <c r="E166" s="194"/>
      <c r="F166" s="194"/>
      <c r="G166" s="197"/>
      <c r="H166" s="198"/>
      <c r="I166" s="197"/>
    </row>
    <row r="167" spans="1:9" ht="16.5" customHeight="1">
      <c r="A167" s="191"/>
      <c r="B167" s="186"/>
      <c r="C167" s="194"/>
      <c r="D167" s="194"/>
      <c r="E167" s="194"/>
      <c r="F167" s="194"/>
      <c r="G167" s="197"/>
      <c r="H167" s="198"/>
      <c r="I167" s="197"/>
    </row>
    <row r="168" spans="1:9" ht="16.5" customHeight="1">
      <c r="A168" s="191"/>
      <c r="B168" s="186" t="s">
        <v>927</v>
      </c>
      <c r="C168" s="187"/>
      <c r="D168" s="187"/>
      <c r="E168" s="187"/>
      <c r="F168" s="187"/>
      <c r="G168" s="197"/>
      <c r="H168" s="198"/>
      <c r="I168" s="197"/>
    </row>
    <row r="169" spans="1:9" ht="16.5" customHeight="1">
      <c r="A169" s="191"/>
      <c r="B169" s="186" t="s">
        <v>1005</v>
      </c>
      <c r="C169" s="193"/>
      <c r="D169" s="193"/>
      <c r="E169" s="187"/>
      <c r="F169" s="194">
        <v>252</v>
      </c>
      <c r="G169" s="197"/>
      <c r="H169" s="198"/>
      <c r="I169" s="197"/>
    </row>
    <row r="170" spans="1:9" ht="16.5" customHeight="1">
      <c r="A170" s="191"/>
      <c r="B170" s="186"/>
      <c r="C170" s="208"/>
      <c r="D170" s="208"/>
      <c r="E170" s="208"/>
      <c r="F170" s="204"/>
      <c r="G170" s="192"/>
      <c r="H170" s="207"/>
      <c r="I170" s="192"/>
    </row>
    <row r="171" spans="1:9" ht="16.5" customHeight="1">
      <c r="A171" s="191" t="s">
        <v>1006</v>
      </c>
      <c r="B171" s="197" t="s">
        <v>1007</v>
      </c>
      <c r="C171" s="194"/>
      <c r="D171" s="194"/>
      <c r="E171" s="194"/>
      <c r="F171" s="194" t="s">
        <v>1002</v>
      </c>
      <c r="G171" s="194"/>
      <c r="H171" s="195"/>
      <c r="I171" s="194">
        <v>3.6</v>
      </c>
    </row>
    <row r="172" spans="1:9" ht="16.5" customHeight="1">
      <c r="A172" s="191"/>
      <c r="B172" s="186" t="s">
        <v>1003</v>
      </c>
      <c r="C172" s="194"/>
      <c r="D172" s="194"/>
      <c r="E172" s="194"/>
      <c r="F172" s="194">
        <v>104</v>
      </c>
      <c r="G172" s="197">
        <f>F172*G171</f>
        <v>0</v>
      </c>
      <c r="H172" s="198">
        <f>F172*H171</f>
        <v>0</v>
      </c>
      <c r="I172" s="197">
        <f>F172*I171</f>
        <v>374.40000000000003</v>
      </c>
    </row>
    <row r="173" spans="1:9" ht="16.5" customHeight="1">
      <c r="A173" s="191"/>
      <c r="B173" s="186" t="s">
        <v>1008</v>
      </c>
      <c r="C173" s="194"/>
      <c r="D173" s="194"/>
      <c r="E173" s="194"/>
      <c r="F173" s="194"/>
      <c r="G173" s="197"/>
      <c r="H173" s="198"/>
      <c r="I173" s="197"/>
    </row>
    <row r="174" spans="1:9" ht="16.5" customHeight="1">
      <c r="A174" s="191"/>
      <c r="B174" s="186"/>
      <c r="C174" s="194"/>
      <c r="D174" s="194"/>
      <c r="E174" s="194"/>
      <c r="F174" s="194"/>
      <c r="G174" s="197"/>
      <c r="H174" s="198"/>
      <c r="I174" s="197"/>
    </row>
    <row r="175" spans="1:9" ht="16.5" customHeight="1">
      <c r="A175" s="191"/>
      <c r="B175" s="186" t="s">
        <v>927</v>
      </c>
      <c r="C175" s="187"/>
      <c r="D175" s="187"/>
      <c r="E175" s="187"/>
      <c r="F175" s="187"/>
      <c r="G175" s="197"/>
      <c r="H175" s="198"/>
      <c r="I175" s="197"/>
    </row>
    <row r="176" spans="1:9" ht="16.5" customHeight="1">
      <c r="A176" s="191"/>
      <c r="B176" s="186" t="s">
        <v>1009</v>
      </c>
      <c r="C176" s="193"/>
      <c r="D176" s="193"/>
      <c r="E176" s="187"/>
      <c r="F176" s="194">
        <v>104</v>
      </c>
      <c r="G176" s="197"/>
      <c r="H176" s="198"/>
      <c r="I176" s="197"/>
    </row>
    <row r="177" spans="1:9" ht="16.5" customHeight="1">
      <c r="A177" s="191"/>
      <c r="B177" s="209"/>
      <c r="C177" s="194"/>
      <c r="D177" s="194"/>
      <c r="E177" s="194"/>
      <c r="F177" s="194"/>
      <c r="G177" s="197"/>
      <c r="H177" s="198"/>
      <c r="I177" s="197"/>
    </row>
    <row r="178" spans="1:9" ht="16.5" customHeight="1">
      <c r="A178" s="191" t="s">
        <v>1010</v>
      </c>
      <c r="B178" s="197" t="s">
        <v>1011</v>
      </c>
      <c r="C178" s="194"/>
      <c r="D178" s="194"/>
      <c r="E178" s="194"/>
      <c r="F178" s="204" t="s">
        <v>996</v>
      </c>
      <c r="G178" s="194"/>
      <c r="H178" s="205"/>
      <c r="I178" s="194">
        <v>3.2</v>
      </c>
    </row>
    <row r="179" spans="1:9" ht="16.5" customHeight="1">
      <c r="A179" s="191"/>
      <c r="B179" s="186" t="s">
        <v>1012</v>
      </c>
      <c r="C179" s="194"/>
      <c r="D179" s="194"/>
      <c r="E179" s="194"/>
      <c r="F179" s="204"/>
      <c r="G179" s="192"/>
      <c r="H179" s="205"/>
      <c r="I179" s="192"/>
    </row>
    <row r="180" spans="1:9" ht="16.5" customHeight="1">
      <c r="A180" s="191"/>
      <c r="B180" s="186" t="s">
        <v>1003</v>
      </c>
      <c r="C180" s="194"/>
      <c r="D180" s="194"/>
      <c r="E180" s="194"/>
      <c r="F180" s="204">
        <v>30</v>
      </c>
      <c r="G180" s="192">
        <f>F180*G178</f>
        <v>0</v>
      </c>
      <c r="H180" s="207">
        <f>F180*H178</f>
        <v>0</v>
      </c>
      <c r="I180" s="192">
        <f>F180*I178</f>
        <v>96</v>
      </c>
    </row>
    <row r="181" spans="1:9" ht="16.5" customHeight="1">
      <c r="A181" s="191"/>
      <c r="B181" s="186" t="s">
        <v>1004</v>
      </c>
      <c r="C181" s="194"/>
      <c r="D181" s="194"/>
      <c r="E181" s="194"/>
      <c r="F181" s="204"/>
      <c r="G181" s="192"/>
      <c r="H181" s="207"/>
      <c r="I181" s="192"/>
    </row>
    <row r="182" spans="1:9" ht="16.5" customHeight="1">
      <c r="A182" s="191"/>
      <c r="B182" s="186"/>
      <c r="C182" s="208"/>
      <c r="D182" s="208"/>
      <c r="E182" s="208"/>
      <c r="F182" s="204"/>
      <c r="G182" s="192"/>
      <c r="H182" s="207"/>
      <c r="I182" s="192"/>
    </row>
    <row r="183" spans="1:9" ht="16.5" customHeight="1">
      <c r="A183" s="191"/>
      <c r="B183" s="186" t="s">
        <v>927</v>
      </c>
      <c r="C183" s="187"/>
      <c r="D183" s="187"/>
      <c r="E183" s="187"/>
      <c r="F183" s="204"/>
      <c r="G183" s="192"/>
      <c r="H183" s="207"/>
      <c r="I183" s="192"/>
    </row>
    <row r="184" spans="1:9" ht="16.5" customHeight="1">
      <c r="A184" s="191"/>
      <c r="B184" s="186" t="s">
        <v>1013</v>
      </c>
      <c r="C184" s="193"/>
      <c r="D184" s="193"/>
      <c r="E184" s="187"/>
      <c r="F184" s="204">
        <v>30</v>
      </c>
      <c r="G184" s="192"/>
      <c r="H184" s="207"/>
      <c r="I184" s="192"/>
    </row>
    <row r="185" spans="1:9" ht="16.5" customHeight="1">
      <c r="A185" s="191"/>
      <c r="B185" s="213"/>
      <c r="C185" s="194"/>
      <c r="D185" s="194"/>
      <c r="E185" s="194"/>
      <c r="F185" s="194"/>
      <c r="G185" s="197"/>
      <c r="H185" s="198"/>
      <c r="I185" s="197"/>
    </row>
    <row r="186" spans="1:9" ht="16.5" customHeight="1">
      <c r="A186" s="191" t="s">
        <v>1014</v>
      </c>
      <c r="B186" s="192" t="s">
        <v>1015</v>
      </c>
      <c r="C186" s="203"/>
      <c r="D186" s="203"/>
      <c r="E186" s="203"/>
      <c r="F186" s="204" t="s">
        <v>1016</v>
      </c>
      <c r="G186" s="204"/>
      <c r="H186" s="205"/>
      <c r="I186" s="204">
        <v>0.2</v>
      </c>
    </row>
    <row r="187" spans="1:9" ht="16.5" customHeight="1">
      <c r="A187" s="206"/>
      <c r="B187" s="186" t="s">
        <v>1017</v>
      </c>
      <c r="C187" s="208"/>
      <c r="D187" s="208"/>
      <c r="E187" s="208"/>
      <c r="F187" s="204">
        <v>9</v>
      </c>
      <c r="G187" s="192">
        <f>F187*G186</f>
        <v>0</v>
      </c>
      <c r="H187" s="207">
        <f>F187*H186</f>
        <v>0</v>
      </c>
      <c r="I187" s="192">
        <f>F187*I186</f>
        <v>1.8</v>
      </c>
    </row>
    <row r="188" spans="1:9" ht="16.5" customHeight="1">
      <c r="A188" s="206"/>
      <c r="B188" s="186"/>
      <c r="C188" s="208"/>
      <c r="D188" s="208"/>
      <c r="E188" s="208"/>
      <c r="F188" s="204"/>
      <c r="G188" s="192"/>
      <c r="H188" s="207"/>
      <c r="I188" s="192"/>
    </row>
    <row r="189" spans="1:9" ht="16.5" customHeight="1">
      <c r="A189" s="206"/>
      <c r="B189" s="186" t="s">
        <v>927</v>
      </c>
      <c r="C189" s="187"/>
      <c r="D189" s="187"/>
      <c r="E189" s="187"/>
      <c r="F189" s="204"/>
      <c r="G189" s="192"/>
      <c r="H189" s="207"/>
      <c r="I189" s="192"/>
    </row>
    <row r="190" spans="1:9" ht="16.5" customHeight="1">
      <c r="A190" s="206"/>
      <c r="B190" s="186" t="s">
        <v>1018</v>
      </c>
      <c r="C190" s="193"/>
      <c r="D190" s="193"/>
      <c r="E190" s="187"/>
      <c r="F190" s="204">
        <v>9</v>
      </c>
      <c r="G190" s="192"/>
      <c r="H190" s="207"/>
      <c r="I190" s="192"/>
    </row>
    <row r="191" spans="1:9" ht="16.5" customHeight="1">
      <c r="A191" s="304"/>
      <c r="B191" s="304"/>
      <c r="C191" s="304"/>
      <c r="D191" s="183"/>
      <c r="E191" s="183"/>
      <c r="F191" s="203"/>
      <c r="G191" s="203"/>
      <c r="H191" s="214"/>
      <c r="I191" s="203"/>
    </row>
    <row r="192" spans="1:9" ht="16.5" customHeight="1">
      <c r="A192" s="197" t="s">
        <v>1019</v>
      </c>
      <c r="B192" s="194"/>
      <c r="C192" s="194"/>
      <c r="D192" s="194"/>
      <c r="E192" s="194"/>
      <c r="F192" s="194"/>
      <c r="G192" s="197">
        <f>G36+G49+G55+G61+G67+G74+G81+G89+G98+G106+G113+G120+G126+G132+G141+G149+G157+G165+G172+G180+G187</f>
        <v>0</v>
      </c>
      <c r="H192" s="198">
        <f>H36+H49+H55+H61+H67+H74+H81+H89+H98+H106+H113+H120+H126+H132+H141+H149+H157+H165+H172+H180+H187</f>
        <v>0</v>
      </c>
      <c r="I192" s="198">
        <f>I36+I49+I55+I61+I67+I74+I81+I89+I98+I106+I113+I120+I126+I132+I141+I149+I157+I165+I172+I180+I187</f>
        <v>4138.400000000001</v>
      </c>
    </row>
    <row r="193" spans="1:9" ht="16.5" customHeight="1">
      <c r="A193" s="197"/>
      <c r="B193" s="194"/>
      <c r="C193" s="194"/>
      <c r="D193" s="194"/>
      <c r="E193" s="194"/>
      <c r="F193" s="194"/>
      <c r="G193" s="197"/>
      <c r="H193" s="198"/>
      <c r="I193" s="198"/>
    </row>
    <row r="194" spans="1:9" ht="16.5" customHeight="1">
      <c r="A194" s="191"/>
      <c r="B194" s="209"/>
      <c r="C194" s="194"/>
      <c r="D194" s="194"/>
      <c r="E194" s="194"/>
      <c r="F194" s="194"/>
      <c r="G194" s="197"/>
      <c r="H194" s="198"/>
      <c r="I194" s="197"/>
    </row>
    <row r="195" spans="1:5" ht="16.5" customHeight="1">
      <c r="A195" s="183" t="s">
        <v>1020</v>
      </c>
      <c r="B195" s="183"/>
      <c r="C195" s="183"/>
      <c r="D195" s="183"/>
      <c r="E195" s="183"/>
    </row>
    <row r="196" spans="1:9" ht="16.5" customHeight="1">
      <c r="A196" s="184"/>
      <c r="B196" s="184"/>
      <c r="C196" s="184"/>
      <c r="D196" s="184"/>
      <c r="E196" s="184"/>
      <c r="F196" s="184"/>
      <c r="G196" s="185" t="s">
        <v>894</v>
      </c>
      <c r="H196" s="185" t="s">
        <v>895</v>
      </c>
      <c r="I196" s="184"/>
    </row>
    <row r="197" spans="1:9" ht="16.5" customHeight="1">
      <c r="A197" s="186" t="s">
        <v>910</v>
      </c>
      <c r="B197" s="186" t="s">
        <v>911</v>
      </c>
      <c r="C197" s="184"/>
      <c r="D197" s="184"/>
      <c r="E197" s="184"/>
      <c r="F197" s="186" t="s">
        <v>912</v>
      </c>
      <c r="G197" s="186" t="s">
        <v>913</v>
      </c>
      <c r="H197" s="186" t="s">
        <v>913</v>
      </c>
      <c r="I197" s="186" t="s">
        <v>914</v>
      </c>
    </row>
    <row r="198" spans="1:9" ht="16.5" customHeight="1">
      <c r="A198" s="184"/>
      <c r="B198" s="186" t="s">
        <v>915</v>
      </c>
      <c r="C198" s="184"/>
      <c r="D198" s="184"/>
      <c r="E198" s="184"/>
      <c r="F198" s="184"/>
      <c r="G198" s="186" t="s">
        <v>916</v>
      </c>
      <c r="H198" s="186" t="s">
        <v>916</v>
      </c>
      <c r="I198" s="188"/>
    </row>
    <row r="199" spans="1:9" ht="16.5" customHeight="1">
      <c r="A199" s="190" t="s">
        <v>906</v>
      </c>
      <c r="B199" s="190"/>
      <c r="C199" s="190"/>
      <c r="D199" s="190"/>
      <c r="E199" s="190"/>
      <c r="F199" s="190"/>
      <c r="G199" s="190"/>
      <c r="H199" s="190"/>
      <c r="I199" s="190"/>
    </row>
    <row r="200" spans="1:9" ht="9.75" customHeight="1">
      <c r="A200" s="190"/>
      <c r="B200" s="190"/>
      <c r="C200" s="190"/>
      <c r="D200" s="190"/>
      <c r="E200" s="190"/>
      <c r="F200" s="190"/>
      <c r="G200" s="190"/>
      <c r="H200" s="190"/>
      <c r="I200" s="190"/>
    </row>
    <row r="201" spans="1:10" ht="15.6">
      <c r="A201" s="191" t="s">
        <v>1021</v>
      </c>
      <c r="B201" s="192" t="s">
        <v>1022</v>
      </c>
      <c r="C201" s="193"/>
      <c r="D201" s="193"/>
      <c r="E201" s="193"/>
      <c r="F201" s="194" t="s">
        <v>217</v>
      </c>
      <c r="G201" s="194"/>
      <c r="H201" s="195"/>
      <c r="I201" s="194">
        <v>133</v>
      </c>
      <c r="J201" s="208"/>
    </row>
    <row r="202" spans="1:10" ht="15.6">
      <c r="A202" s="191"/>
      <c r="B202" s="186" t="s">
        <v>1023</v>
      </c>
      <c r="C202" s="193"/>
      <c r="D202" s="193"/>
      <c r="E202" s="193"/>
      <c r="F202" s="194"/>
      <c r="G202" s="194"/>
      <c r="H202" s="195"/>
      <c r="I202" s="194"/>
      <c r="J202" s="208"/>
    </row>
    <row r="203" spans="1:10" ht="15.6">
      <c r="A203" s="191"/>
      <c r="B203" s="186" t="s">
        <v>920</v>
      </c>
      <c r="C203" s="193"/>
      <c r="D203" s="193"/>
      <c r="E203" s="193"/>
      <c r="F203" s="194"/>
      <c r="G203" s="194"/>
      <c r="H203" s="195"/>
      <c r="I203" s="194"/>
      <c r="J203" s="208"/>
    </row>
    <row r="204" spans="1:10" ht="15.6">
      <c r="A204" s="191"/>
      <c r="B204" s="186" t="s">
        <v>1024</v>
      </c>
      <c r="C204" s="187"/>
      <c r="D204" s="187"/>
      <c r="E204" s="187"/>
      <c r="F204" s="194">
        <v>1</v>
      </c>
      <c r="G204" s="197">
        <f>F204*G201</f>
        <v>0</v>
      </c>
      <c r="H204" s="198">
        <f>F204*H201</f>
        <v>0</v>
      </c>
      <c r="I204" s="197">
        <f>F204*I201</f>
        <v>133</v>
      </c>
      <c r="J204" s="208"/>
    </row>
    <row r="205" spans="1:10" ht="15.6">
      <c r="A205" s="191"/>
      <c r="B205" s="186" t="s">
        <v>1025</v>
      </c>
      <c r="C205" s="187"/>
      <c r="D205" s="187"/>
      <c r="E205" s="187"/>
      <c r="F205" s="194"/>
      <c r="G205" s="197"/>
      <c r="H205" s="198"/>
      <c r="I205" s="197"/>
      <c r="J205" s="208"/>
    </row>
    <row r="206" spans="1:10" ht="15.6">
      <c r="A206" s="191"/>
      <c r="B206" s="186" t="s">
        <v>1026</v>
      </c>
      <c r="C206" s="187"/>
      <c r="D206" s="187"/>
      <c r="E206" s="187"/>
      <c r="F206" s="194"/>
      <c r="G206" s="197"/>
      <c r="H206" s="198"/>
      <c r="I206" s="197"/>
      <c r="J206" s="208"/>
    </row>
    <row r="207" spans="1:10" ht="15.6">
      <c r="A207" s="191"/>
      <c r="B207" s="186" t="s">
        <v>1027</v>
      </c>
      <c r="C207" s="187"/>
      <c r="D207" s="187"/>
      <c r="E207" s="187"/>
      <c r="F207" s="187"/>
      <c r="G207" s="201"/>
      <c r="H207" s="202"/>
      <c r="I207" s="201"/>
      <c r="J207" s="208"/>
    </row>
    <row r="208" spans="1:10" ht="15.6">
      <c r="A208" s="191"/>
      <c r="B208" s="186" t="s">
        <v>1028</v>
      </c>
      <c r="C208" s="187"/>
      <c r="D208" s="187"/>
      <c r="E208" s="187"/>
      <c r="F208" s="187"/>
      <c r="G208" s="201"/>
      <c r="H208" s="202"/>
      <c r="I208" s="201"/>
      <c r="J208" s="208"/>
    </row>
    <row r="209" spans="1:10" ht="15.6">
      <c r="A209" s="191"/>
      <c r="B209" s="186" t="s">
        <v>1029</v>
      </c>
      <c r="C209" s="187"/>
      <c r="D209" s="187"/>
      <c r="E209" s="187"/>
      <c r="F209" s="187"/>
      <c r="G209" s="194"/>
      <c r="H209" s="195"/>
      <c r="I209" s="194"/>
      <c r="J209" s="208"/>
    </row>
    <row r="210" spans="1:10" ht="15.6">
      <c r="A210" s="191"/>
      <c r="B210" s="186" t="s">
        <v>1030</v>
      </c>
      <c r="C210" s="187"/>
      <c r="D210" s="187"/>
      <c r="E210" s="187"/>
      <c r="F210" s="187"/>
      <c r="G210" s="194"/>
      <c r="H210" s="195"/>
      <c r="I210" s="194"/>
      <c r="J210" s="208"/>
    </row>
    <row r="211" spans="1:10" ht="15.6">
      <c r="A211" s="191"/>
      <c r="B211" s="186"/>
      <c r="C211" s="187"/>
      <c r="D211" s="187"/>
      <c r="E211" s="187"/>
      <c r="F211" s="187"/>
      <c r="G211" s="194"/>
      <c r="H211" s="195"/>
      <c r="I211" s="194"/>
      <c r="J211" s="208"/>
    </row>
    <row r="212" spans="1:10" ht="15.6">
      <c r="A212" s="191"/>
      <c r="B212" s="186" t="s">
        <v>927</v>
      </c>
      <c r="C212" s="187"/>
      <c r="D212" s="187"/>
      <c r="E212" s="187"/>
      <c r="F212" s="187"/>
      <c r="G212" s="194"/>
      <c r="H212" s="195"/>
      <c r="I212" s="194"/>
      <c r="J212" s="208"/>
    </row>
    <row r="213" spans="1:10" ht="15.6">
      <c r="A213" s="191"/>
      <c r="B213" s="186" t="s">
        <v>1031</v>
      </c>
      <c r="C213" s="193"/>
      <c r="D213" s="193"/>
      <c r="E213" s="187"/>
      <c r="F213" s="194">
        <v>1</v>
      </c>
      <c r="G213" s="194"/>
      <c r="H213" s="195"/>
      <c r="I213" s="194"/>
      <c r="J213" s="208"/>
    </row>
    <row r="214" spans="1:10" ht="15.6">
      <c r="A214" s="200"/>
      <c r="B214" s="186"/>
      <c r="C214" s="193"/>
      <c r="D214" s="193"/>
      <c r="E214" s="187"/>
      <c r="F214" s="187"/>
      <c r="G214" s="201"/>
      <c r="H214" s="202"/>
      <c r="I214" s="201"/>
      <c r="J214" s="208"/>
    </row>
    <row r="215" spans="1:10" ht="15.6">
      <c r="A215" s="191" t="s">
        <v>1032</v>
      </c>
      <c r="B215" s="192" t="s">
        <v>1033</v>
      </c>
      <c r="C215" s="203"/>
      <c r="D215" s="203"/>
      <c r="E215" s="203"/>
      <c r="F215" s="204" t="s">
        <v>217</v>
      </c>
      <c r="G215" s="204"/>
      <c r="H215" s="205"/>
      <c r="I215" s="204">
        <v>7</v>
      </c>
      <c r="J215" s="208"/>
    </row>
    <row r="216" spans="1:10" ht="15">
      <c r="A216" s="206"/>
      <c r="B216" s="186" t="s">
        <v>1034</v>
      </c>
      <c r="C216" s="203"/>
      <c r="D216" s="203"/>
      <c r="E216" s="203"/>
      <c r="F216" s="204">
        <v>1</v>
      </c>
      <c r="G216" s="192">
        <f>F216*G215</f>
        <v>0</v>
      </c>
      <c r="H216" s="207">
        <f>F216*H215</f>
        <v>0</v>
      </c>
      <c r="I216" s="192">
        <f>F216*I215</f>
        <v>7</v>
      </c>
      <c r="J216" s="203"/>
    </row>
    <row r="217" spans="1:10" ht="15.6">
      <c r="A217" s="206"/>
      <c r="B217" s="186"/>
      <c r="C217" s="208"/>
      <c r="D217" s="208"/>
      <c r="E217" s="208"/>
      <c r="F217" s="194"/>
      <c r="G217" s="197"/>
      <c r="H217" s="198"/>
      <c r="I217" s="197"/>
      <c r="J217" s="203"/>
    </row>
    <row r="218" spans="1:10" ht="15">
      <c r="A218" s="206"/>
      <c r="B218" s="186" t="s">
        <v>927</v>
      </c>
      <c r="C218" s="187"/>
      <c r="D218" s="187"/>
      <c r="E218" s="187"/>
      <c r="F218" s="187"/>
      <c r="G218" s="197"/>
      <c r="H218" s="198"/>
      <c r="I218" s="197"/>
      <c r="J218" s="203"/>
    </row>
    <row r="219" spans="1:10" ht="15">
      <c r="A219" s="206"/>
      <c r="B219" s="186" t="s">
        <v>928</v>
      </c>
      <c r="C219" s="193"/>
      <c r="D219" s="193"/>
      <c r="E219" s="187"/>
      <c r="F219" s="194">
        <v>1</v>
      </c>
      <c r="G219" s="197"/>
      <c r="H219" s="198"/>
      <c r="I219" s="197"/>
      <c r="J219" s="203"/>
    </row>
    <row r="220" spans="1:10" ht="15">
      <c r="A220" s="206"/>
      <c r="B220" s="186"/>
      <c r="C220" s="203"/>
      <c r="D220" s="203"/>
      <c r="E220" s="203"/>
      <c r="F220" s="204"/>
      <c r="G220" s="192"/>
      <c r="H220" s="207"/>
      <c r="I220" s="192"/>
      <c r="J220" s="203"/>
    </row>
    <row r="221" spans="1:10" ht="15">
      <c r="A221" s="191" t="s">
        <v>1035</v>
      </c>
      <c r="B221" s="192" t="s">
        <v>933</v>
      </c>
      <c r="C221" s="203"/>
      <c r="D221" s="203"/>
      <c r="E221" s="203"/>
      <c r="F221" s="204" t="s">
        <v>217</v>
      </c>
      <c r="G221" s="204"/>
      <c r="H221" s="205"/>
      <c r="I221" s="204">
        <v>13</v>
      </c>
      <c r="J221" s="203"/>
    </row>
    <row r="222" spans="1:10" ht="15">
      <c r="A222" s="206"/>
      <c r="B222" s="186" t="s">
        <v>934</v>
      </c>
      <c r="C222" s="203"/>
      <c r="D222" s="203"/>
      <c r="E222" s="203"/>
      <c r="F222" s="204">
        <v>10</v>
      </c>
      <c r="G222" s="192">
        <f>F222*G221</f>
        <v>0</v>
      </c>
      <c r="H222" s="207">
        <f>F222*H221</f>
        <v>0</v>
      </c>
      <c r="I222" s="192">
        <f>F222*I221</f>
        <v>130</v>
      </c>
      <c r="J222" s="203"/>
    </row>
    <row r="223" spans="1:10" ht="15">
      <c r="A223" s="206"/>
      <c r="B223" s="183"/>
      <c r="G223" s="192"/>
      <c r="H223" s="207"/>
      <c r="I223" s="192"/>
      <c r="J223" s="203"/>
    </row>
    <row r="224" spans="1:10" ht="15">
      <c r="A224" s="206"/>
      <c r="B224" s="186" t="s">
        <v>927</v>
      </c>
      <c r="C224" s="187"/>
      <c r="D224" s="187"/>
      <c r="E224" s="187"/>
      <c r="F224" s="187"/>
      <c r="G224" s="192"/>
      <c r="H224" s="207"/>
      <c r="I224" s="192"/>
      <c r="J224" s="203"/>
    </row>
    <row r="225" spans="1:10" ht="15">
      <c r="A225" s="206"/>
      <c r="B225" s="186" t="s">
        <v>1036</v>
      </c>
      <c r="C225" s="193"/>
      <c r="D225" s="193"/>
      <c r="E225" s="187"/>
      <c r="F225" s="194">
        <v>10</v>
      </c>
      <c r="G225" s="192"/>
      <c r="H225" s="207"/>
      <c r="I225" s="192"/>
      <c r="J225" s="203"/>
    </row>
    <row r="226" spans="1:10" ht="15">
      <c r="A226" s="206"/>
      <c r="B226" s="183"/>
      <c r="G226" s="192"/>
      <c r="H226" s="207"/>
      <c r="I226" s="192"/>
      <c r="J226" s="203"/>
    </row>
    <row r="227" spans="1:10" ht="15">
      <c r="A227" s="191" t="s">
        <v>1037</v>
      </c>
      <c r="B227" s="192" t="s">
        <v>933</v>
      </c>
      <c r="C227" s="203"/>
      <c r="D227" s="203"/>
      <c r="E227" s="203"/>
      <c r="F227" s="204" t="s">
        <v>217</v>
      </c>
      <c r="G227" s="204"/>
      <c r="H227" s="205"/>
      <c r="I227" s="204">
        <v>17</v>
      </c>
      <c r="J227" s="203"/>
    </row>
    <row r="228" spans="1:10" ht="15">
      <c r="A228" s="206"/>
      <c r="B228" s="186" t="s">
        <v>937</v>
      </c>
      <c r="C228" s="203"/>
      <c r="D228" s="203"/>
      <c r="E228" s="203"/>
      <c r="F228" s="204">
        <v>4</v>
      </c>
      <c r="G228" s="192">
        <f>F228*G227</f>
        <v>0</v>
      </c>
      <c r="H228" s="207">
        <f>F228*H227</f>
        <v>0</v>
      </c>
      <c r="I228" s="192">
        <f>F228*I227</f>
        <v>68</v>
      </c>
      <c r="J228" s="203"/>
    </row>
    <row r="229" spans="1:10" ht="15">
      <c r="A229" s="206"/>
      <c r="B229" s="183"/>
      <c r="G229" s="192"/>
      <c r="H229" s="207"/>
      <c r="I229" s="192"/>
      <c r="J229" s="203"/>
    </row>
    <row r="230" spans="1:10" ht="15">
      <c r="A230" s="206"/>
      <c r="B230" s="186" t="s">
        <v>927</v>
      </c>
      <c r="C230" s="187"/>
      <c r="D230" s="187"/>
      <c r="E230" s="187"/>
      <c r="F230" s="187"/>
      <c r="G230" s="204"/>
      <c r="H230" s="205"/>
      <c r="I230" s="204"/>
      <c r="J230" s="203"/>
    </row>
    <row r="231" spans="1:10" ht="15">
      <c r="A231" s="206"/>
      <c r="B231" s="186" t="s">
        <v>1038</v>
      </c>
      <c r="C231" s="193"/>
      <c r="D231" s="193"/>
      <c r="E231" s="187"/>
      <c r="F231" s="194">
        <v>4</v>
      </c>
      <c r="G231" s="192"/>
      <c r="H231" s="207"/>
      <c r="I231" s="192"/>
      <c r="J231" s="203"/>
    </row>
    <row r="232" spans="1:10" ht="15">
      <c r="A232" s="206"/>
      <c r="B232" s="186"/>
      <c r="C232" s="193"/>
      <c r="D232" s="193"/>
      <c r="E232" s="187"/>
      <c r="F232" s="194"/>
      <c r="G232" s="192"/>
      <c r="H232" s="207"/>
      <c r="I232" s="192"/>
      <c r="J232" s="203"/>
    </row>
    <row r="233" spans="1:10" ht="15">
      <c r="A233" s="191" t="s">
        <v>1039</v>
      </c>
      <c r="B233" s="197" t="s">
        <v>1040</v>
      </c>
      <c r="C233" s="194"/>
      <c r="D233" s="194"/>
      <c r="E233" s="194"/>
      <c r="F233" s="194" t="s">
        <v>217</v>
      </c>
      <c r="G233" s="194"/>
      <c r="H233" s="195"/>
      <c r="I233" s="194">
        <v>2.9</v>
      </c>
      <c r="J233" s="203"/>
    </row>
    <row r="234" spans="1:10" ht="15">
      <c r="A234" s="206"/>
      <c r="B234" s="186" t="s">
        <v>973</v>
      </c>
      <c r="C234" s="194"/>
      <c r="D234" s="194"/>
      <c r="E234" s="194"/>
      <c r="F234" s="194">
        <v>2</v>
      </c>
      <c r="G234" s="197">
        <f>F234*G233</f>
        <v>0</v>
      </c>
      <c r="H234" s="198">
        <f>F234*H233</f>
        <v>0</v>
      </c>
      <c r="I234" s="197">
        <f>F234*I233</f>
        <v>5.8</v>
      </c>
      <c r="J234" s="203"/>
    </row>
    <row r="235" spans="1:10" ht="15">
      <c r="A235" s="206"/>
      <c r="B235" s="186"/>
      <c r="C235" s="193"/>
      <c r="D235" s="193"/>
      <c r="E235" s="187"/>
      <c r="F235" s="194"/>
      <c r="G235" s="192"/>
      <c r="H235" s="207"/>
      <c r="I235" s="192"/>
      <c r="J235" s="203"/>
    </row>
    <row r="236" spans="1:10" ht="15">
      <c r="A236" s="206"/>
      <c r="B236" s="186" t="s">
        <v>927</v>
      </c>
      <c r="C236" s="187"/>
      <c r="D236" s="187"/>
      <c r="E236" s="187"/>
      <c r="F236" s="187"/>
      <c r="G236" s="192"/>
      <c r="H236" s="207"/>
      <c r="I236" s="192"/>
      <c r="J236" s="203"/>
    </row>
    <row r="237" spans="1:10" ht="15">
      <c r="A237" s="206"/>
      <c r="B237" s="186" t="s">
        <v>1041</v>
      </c>
      <c r="C237" s="193"/>
      <c r="D237" s="193"/>
      <c r="E237" s="187"/>
      <c r="F237" s="194">
        <v>2</v>
      </c>
      <c r="G237" s="192"/>
      <c r="H237" s="207"/>
      <c r="I237" s="192"/>
      <c r="J237" s="203"/>
    </row>
    <row r="238" spans="1:10" ht="15">
      <c r="A238" s="206"/>
      <c r="B238" s="183"/>
      <c r="G238" s="192"/>
      <c r="H238" s="207"/>
      <c r="I238" s="192"/>
      <c r="J238" s="203"/>
    </row>
    <row r="239" spans="1:10" ht="15.6">
      <c r="A239" s="191" t="s">
        <v>1042</v>
      </c>
      <c r="B239" s="197" t="s">
        <v>1043</v>
      </c>
      <c r="C239" s="194"/>
      <c r="D239" s="194"/>
      <c r="E239" s="194"/>
      <c r="F239" s="194" t="s">
        <v>217</v>
      </c>
      <c r="G239" s="194"/>
      <c r="H239" s="195"/>
      <c r="I239" s="194">
        <v>13.5</v>
      </c>
      <c r="J239" s="208"/>
    </row>
    <row r="240" spans="1:10" ht="15.6">
      <c r="A240" s="206"/>
      <c r="B240" s="186" t="s">
        <v>941</v>
      </c>
      <c r="C240" s="194"/>
      <c r="D240" s="194"/>
      <c r="E240" s="194"/>
      <c r="F240" s="194">
        <v>1</v>
      </c>
      <c r="G240" s="197">
        <f>F240*G239</f>
        <v>0</v>
      </c>
      <c r="H240" s="198">
        <f>F240*H239</f>
        <v>0</v>
      </c>
      <c r="I240" s="197">
        <f>F240*I239</f>
        <v>13.5</v>
      </c>
      <c r="J240" s="208"/>
    </row>
    <row r="241" spans="1:10" ht="15.6">
      <c r="A241" s="206"/>
      <c r="B241" s="186" t="s">
        <v>942</v>
      </c>
      <c r="C241" s="194"/>
      <c r="D241" s="194"/>
      <c r="E241" s="194"/>
      <c r="F241" s="194"/>
      <c r="G241" s="197"/>
      <c r="H241" s="198"/>
      <c r="I241" s="197"/>
      <c r="J241" s="208"/>
    </row>
    <row r="242" spans="1:10" ht="15.6">
      <c r="A242" s="206"/>
      <c r="B242" s="209"/>
      <c r="C242" s="194"/>
      <c r="D242" s="194"/>
      <c r="E242" s="194"/>
      <c r="F242" s="194"/>
      <c r="G242" s="197"/>
      <c r="H242" s="198"/>
      <c r="I242" s="197"/>
      <c r="J242" s="208"/>
    </row>
    <row r="243" spans="1:10" ht="15.6">
      <c r="A243" s="206"/>
      <c r="B243" s="186" t="s">
        <v>927</v>
      </c>
      <c r="C243" s="187"/>
      <c r="D243" s="187"/>
      <c r="E243" s="187"/>
      <c r="F243" s="187"/>
      <c r="G243" s="197"/>
      <c r="H243" s="198"/>
      <c r="I243" s="197"/>
      <c r="J243" s="208"/>
    </row>
    <row r="244" spans="1:10" ht="15.6">
      <c r="A244" s="206"/>
      <c r="B244" s="186" t="s">
        <v>1044</v>
      </c>
      <c r="C244" s="193"/>
      <c r="D244" s="193"/>
      <c r="E244" s="187"/>
      <c r="F244" s="194">
        <v>1</v>
      </c>
      <c r="G244" s="197"/>
      <c r="H244" s="198"/>
      <c r="I244" s="197"/>
      <c r="J244" s="208"/>
    </row>
    <row r="245" spans="1:10" ht="15.6">
      <c r="A245" s="206"/>
      <c r="B245" s="209"/>
      <c r="C245" s="194"/>
      <c r="D245" s="194"/>
      <c r="E245" s="194"/>
      <c r="F245" s="194"/>
      <c r="G245" s="197"/>
      <c r="H245" s="198"/>
      <c r="I245" s="197"/>
      <c r="J245" s="208"/>
    </row>
    <row r="246" spans="1:10" ht="15.6">
      <c r="A246" s="191" t="s">
        <v>1045</v>
      </c>
      <c r="B246" s="197" t="s">
        <v>1046</v>
      </c>
      <c r="C246" s="194"/>
      <c r="D246" s="194"/>
      <c r="E246" s="194"/>
      <c r="F246" s="194" t="s">
        <v>217</v>
      </c>
      <c r="G246" s="194"/>
      <c r="H246" s="195"/>
      <c r="I246" s="194">
        <v>17</v>
      </c>
      <c r="J246" s="208"/>
    </row>
    <row r="247" spans="1:10" ht="15.6">
      <c r="A247" s="206"/>
      <c r="B247" s="186" t="s">
        <v>941</v>
      </c>
      <c r="C247" s="194"/>
      <c r="D247" s="194"/>
      <c r="E247" s="194"/>
      <c r="F247" s="194">
        <v>1</v>
      </c>
      <c r="G247" s="197">
        <f>F247*G246</f>
        <v>0</v>
      </c>
      <c r="H247" s="198">
        <f>F247*H246</f>
        <v>0</v>
      </c>
      <c r="I247" s="197">
        <f>F247*I246</f>
        <v>17</v>
      </c>
      <c r="J247" s="208"/>
    </row>
    <row r="248" spans="1:10" ht="15.6">
      <c r="A248" s="206"/>
      <c r="B248" s="186" t="s">
        <v>942</v>
      </c>
      <c r="C248" s="194"/>
      <c r="D248" s="194"/>
      <c r="E248" s="194"/>
      <c r="F248" s="194"/>
      <c r="G248" s="197"/>
      <c r="H248" s="198"/>
      <c r="I248" s="197"/>
      <c r="J248" s="208"/>
    </row>
    <row r="249" spans="1:10" ht="15.6">
      <c r="A249" s="206"/>
      <c r="B249" s="209"/>
      <c r="C249" s="194"/>
      <c r="D249" s="194"/>
      <c r="E249" s="194"/>
      <c r="F249" s="194"/>
      <c r="G249" s="197"/>
      <c r="H249" s="198"/>
      <c r="I249" s="197"/>
      <c r="J249" s="208"/>
    </row>
    <row r="250" spans="1:10" ht="15.6">
      <c r="A250" s="206"/>
      <c r="B250" s="186" t="s">
        <v>927</v>
      </c>
      <c r="C250" s="187"/>
      <c r="D250" s="187"/>
      <c r="E250" s="187"/>
      <c r="F250" s="187"/>
      <c r="G250" s="197"/>
      <c r="H250" s="198"/>
      <c r="I250" s="197"/>
      <c r="J250" s="208"/>
    </row>
    <row r="251" spans="1:10" ht="15.6">
      <c r="A251" s="206"/>
      <c r="B251" s="186" t="s">
        <v>1044</v>
      </c>
      <c r="C251" s="193"/>
      <c r="D251" s="193"/>
      <c r="E251" s="187"/>
      <c r="F251" s="194">
        <v>1</v>
      </c>
      <c r="G251" s="197"/>
      <c r="H251" s="198"/>
      <c r="I251" s="197"/>
      <c r="J251" s="208"/>
    </row>
    <row r="252" spans="1:10" ht="15.6">
      <c r="A252" s="199"/>
      <c r="B252" s="215"/>
      <c r="C252" s="215"/>
      <c r="D252" s="215"/>
      <c r="E252" s="215"/>
      <c r="F252" s="183"/>
      <c r="G252" s="183"/>
      <c r="H252" s="183"/>
      <c r="I252" s="183"/>
      <c r="J252" s="208"/>
    </row>
    <row r="253" spans="1:10" ht="15.6">
      <c r="A253" s="191" t="s">
        <v>1047</v>
      </c>
      <c r="B253" s="197" t="s">
        <v>953</v>
      </c>
      <c r="C253" s="194"/>
      <c r="D253" s="194"/>
      <c r="E253" s="194"/>
      <c r="F253" s="194" t="s">
        <v>217</v>
      </c>
      <c r="G253" s="194"/>
      <c r="H253" s="195"/>
      <c r="I253" s="194">
        <v>15.5</v>
      </c>
      <c r="J253" s="208"/>
    </row>
    <row r="254" spans="1:10" ht="15.6">
      <c r="A254" s="206"/>
      <c r="B254" s="186" t="s">
        <v>1048</v>
      </c>
      <c r="C254" s="194"/>
      <c r="D254" s="194"/>
      <c r="E254" s="194"/>
      <c r="F254" s="194">
        <v>4</v>
      </c>
      <c r="G254" s="197">
        <f>F254*G253</f>
        <v>0</v>
      </c>
      <c r="H254" s="198">
        <f>F254*H253</f>
        <v>0</v>
      </c>
      <c r="I254" s="197">
        <f>F254*I253</f>
        <v>62</v>
      </c>
      <c r="J254" s="208"/>
    </row>
    <row r="255" spans="1:10" ht="15.6">
      <c r="A255" s="206"/>
      <c r="B255" s="186" t="s">
        <v>955</v>
      </c>
      <c r="C255" s="194"/>
      <c r="D255" s="194"/>
      <c r="E255" s="194"/>
      <c r="F255" s="194"/>
      <c r="G255" s="197"/>
      <c r="H255" s="198"/>
      <c r="I255" s="197"/>
      <c r="J255" s="208"/>
    </row>
    <row r="256" spans="1:10" ht="15.6">
      <c r="A256" s="191"/>
      <c r="B256" s="186" t="s">
        <v>956</v>
      </c>
      <c r="C256" s="194"/>
      <c r="D256" s="194"/>
      <c r="E256" s="194"/>
      <c r="F256" s="194"/>
      <c r="G256" s="197"/>
      <c r="H256" s="198"/>
      <c r="I256" s="197"/>
      <c r="J256" s="208"/>
    </row>
    <row r="257" spans="1:10" ht="15.6">
      <c r="A257" s="206"/>
      <c r="B257" s="186" t="s">
        <v>957</v>
      </c>
      <c r="C257" s="194"/>
      <c r="D257" s="194"/>
      <c r="E257" s="194"/>
      <c r="F257" s="194"/>
      <c r="G257" s="197"/>
      <c r="H257" s="198"/>
      <c r="I257" s="197"/>
      <c r="J257" s="208"/>
    </row>
    <row r="258" spans="1:10" ht="15.6">
      <c r="A258" s="206"/>
      <c r="B258" s="186"/>
      <c r="C258" s="194"/>
      <c r="D258" s="194"/>
      <c r="E258" s="194"/>
      <c r="F258" s="194"/>
      <c r="G258" s="197"/>
      <c r="H258" s="198"/>
      <c r="I258" s="197"/>
      <c r="J258" s="208"/>
    </row>
    <row r="259" spans="1:10" ht="15.6">
      <c r="A259" s="206"/>
      <c r="B259" s="186" t="s">
        <v>927</v>
      </c>
      <c r="C259" s="187"/>
      <c r="D259" s="187"/>
      <c r="E259" s="187"/>
      <c r="F259" s="187"/>
      <c r="G259" s="197"/>
      <c r="H259" s="198"/>
      <c r="I259" s="197"/>
      <c r="J259" s="208"/>
    </row>
    <row r="260" spans="1:10" ht="15.6">
      <c r="A260" s="206"/>
      <c r="B260" s="186" t="s">
        <v>1049</v>
      </c>
      <c r="C260" s="193"/>
      <c r="D260" s="193"/>
      <c r="E260" s="187"/>
      <c r="F260" s="194">
        <v>4</v>
      </c>
      <c r="G260" s="197"/>
      <c r="H260" s="198"/>
      <c r="I260" s="197"/>
      <c r="J260" s="208"/>
    </row>
    <row r="261" spans="1:10" ht="15.6">
      <c r="A261" s="206"/>
      <c r="B261" s="186"/>
      <c r="C261" s="194"/>
      <c r="D261" s="194"/>
      <c r="E261" s="194"/>
      <c r="F261" s="194"/>
      <c r="G261" s="197"/>
      <c r="H261" s="198"/>
      <c r="I261" s="197"/>
      <c r="J261" s="208"/>
    </row>
    <row r="262" spans="1:10" ht="15.6">
      <c r="A262" s="191" t="s">
        <v>1050</v>
      </c>
      <c r="B262" s="197" t="s">
        <v>960</v>
      </c>
      <c r="C262" s="194"/>
      <c r="D262" s="194"/>
      <c r="E262" s="194"/>
      <c r="F262" s="194" t="s">
        <v>217</v>
      </c>
      <c r="G262" s="194"/>
      <c r="H262" s="195"/>
      <c r="I262" s="194">
        <v>13.5</v>
      </c>
      <c r="J262" s="208"/>
    </row>
    <row r="263" spans="1:10" ht="15.6">
      <c r="A263" s="206"/>
      <c r="B263" s="186"/>
      <c r="C263" s="194"/>
      <c r="D263" s="194"/>
      <c r="E263" s="194"/>
      <c r="F263" s="194">
        <v>4</v>
      </c>
      <c r="G263" s="197">
        <f>F263*G262</f>
        <v>0</v>
      </c>
      <c r="H263" s="210">
        <f>F263*H262</f>
        <v>0</v>
      </c>
      <c r="I263" s="197">
        <f>F263*I262</f>
        <v>54</v>
      </c>
      <c r="J263" s="208"/>
    </row>
    <row r="264" spans="1:10" ht="15.6">
      <c r="A264" s="206"/>
      <c r="B264" s="186" t="s">
        <v>955</v>
      </c>
      <c r="C264" s="194"/>
      <c r="D264" s="194"/>
      <c r="E264" s="194"/>
      <c r="F264" s="194"/>
      <c r="G264" s="194"/>
      <c r="H264" s="194"/>
      <c r="I264" s="194"/>
      <c r="J264" s="208"/>
    </row>
    <row r="265" spans="1:10" ht="15.6">
      <c r="A265" s="206"/>
      <c r="B265" s="186" t="s">
        <v>956</v>
      </c>
      <c r="C265" s="194"/>
      <c r="D265" s="194"/>
      <c r="E265" s="194"/>
      <c r="F265" s="194"/>
      <c r="G265" s="194"/>
      <c r="H265" s="194"/>
      <c r="I265" s="194"/>
      <c r="J265" s="208"/>
    </row>
    <row r="266" spans="1:10" ht="15.6">
      <c r="A266" s="206"/>
      <c r="B266" s="186"/>
      <c r="C266" s="194"/>
      <c r="D266" s="194"/>
      <c r="E266" s="194"/>
      <c r="F266" s="194"/>
      <c r="G266" s="194"/>
      <c r="H266" s="194"/>
      <c r="I266" s="194"/>
      <c r="J266" s="208"/>
    </row>
    <row r="267" spans="1:10" ht="15.6">
      <c r="A267" s="206"/>
      <c r="B267" s="186" t="s">
        <v>927</v>
      </c>
      <c r="C267" s="187"/>
      <c r="D267" s="187"/>
      <c r="E267" s="187"/>
      <c r="F267" s="187"/>
      <c r="G267" s="194"/>
      <c r="H267" s="194"/>
      <c r="I267" s="194"/>
      <c r="J267" s="208"/>
    </row>
    <row r="268" spans="1:10" ht="15.6">
      <c r="A268" s="206"/>
      <c r="B268" s="186" t="s">
        <v>1049</v>
      </c>
      <c r="C268" s="193"/>
      <c r="D268" s="193"/>
      <c r="E268" s="187"/>
      <c r="F268" s="194">
        <v>4</v>
      </c>
      <c r="G268" s="194"/>
      <c r="H268" s="194"/>
      <c r="I268" s="194"/>
      <c r="J268" s="208"/>
    </row>
    <row r="269" spans="1:10" ht="15.6">
      <c r="A269" s="206"/>
      <c r="B269" s="186"/>
      <c r="C269" s="193"/>
      <c r="D269" s="193"/>
      <c r="E269" s="187"/>
      <c r="F269" s="194"/>
      <c r="G269" s="194"/>
      <c r="H269" s="194"/>
      <c r="I269" s="194"/>
      <c r="J269" s="208"/>
    </row>
    <row r="270" spans="1:10" ht="15.6">
      <c r="A270" s="191" t="s">
        <v>1051</v>
      </c>
      <c r="B270" s="197" t="s">
        <v>1052</v>
      </c>
      <c r="C270" s="193"/>
      <c r="D270" s="193"/>
      <c r="E270" s="187"/>
      <c r="F270" s="194" t="s">
        <v>217</v>
      </c>
      <c r="G270" s="194"/>
      <c r="H270" s="195"/>
      <c r="I270" s="194">
        <v>2</v>
      </c>
      <c r="J270" s="208"/>
    </row>
    <row r="271" spans="1:10" ht="15.6">
      <c r="A271" s="206"/>
      <c r="B271" s="186" t="s">
        <v>1053</v>
      </c>
      <c r="C271" s="193"/>
      <c r="D271" s="193"/>
      <c r="E271" s="187"/>
      <c r="F271" s="194">
        <v>4</v>
      </c>
      <c r="G271" s="197">
        <f>F271*G270</f>
        <v>0</v>
      </c>
      <c r="H271" s="210">
        <f>F271*H270</f>
        <v>0</v>
      </c>
      <c r="I271" s="197">
        <f>F271*I270</f>
        <v>8</v>
      </c>
      <c r="J271" s="208"/>
    </row>
    <row r="272" spans="1:10" ht="15.6">
      <c r="A272" s="206"/>
      <c r="B272" s="186" t="s">
        <v>1054</v>
      </c>
      <c r="C272" s="193"/>
      <c r="D272" s="193"/>
      <c r="E272" s="187"/>
      <c r="F272" s="194"/>
      <c r="G272" s="194"/>
      <c r="H272" s="194"/>
      <c r="I272" s="194"/>
      <c r="J272" s="208"/>
    </row>
    <row r="273" spans="1:10" ht="15.6">
      <c r="A273" s="206"/>
      <c r="B273" s="186"/>
      <c r="C273" s="193"/>
      <c r="D273" s="193"/>
      <c r="E273" s="187"/>
      <c r="F273" s="194"/>
      <c r="G273" s="194"/>
      <c r="H273" s="194"/>
      <c r="I273" s="194"/>
      <c r="J273" s="208"/>
    </row>
    <row r="274" spans="1:10" ht="15.6">
      <c r="A274" s="206"/>
      <c r="B274" s="186" t="s">
        <v>927</v>
      </c>
      <c r="C274" s="187"/>
      <c r="D274" s="187"/>
      <c r="E274" s="187"/>
      <c r="F274" s="187"/>
      <c r="G274" s="194"/>
      <c r="H274" s="194"/>
      <c r="I274" s="194"/>
      <c r="J274" s="208"/>
    </row>
    <row r="275" spans="1:10" ht="15.6">
      <c r="A275" s="206"/>
      <c r="B275" s="186" t="s">
        <v>1049</v>
      </c>
      <c r="C275" s="193"/>
      <c r="D275" s="193"/>
      <c r="E275" s="187"/>
      <c r="F275" s="194">
        <v>4</v>
      </c>
      <c r="G275" s="194"/>
      <c r="H275" s="194"/>
      <c r="I275" s="194"/>
      <c r="J275" s="208"/>
    </row>
    <row r="276" spans="1:10" ht="15.6">
      <c r="A276" s="206"/>
      <c r="B276" s="186"/>
      <c r="C276" s="194"/>
      <c r="D276" s="194"/>
      <c r="E276" s="194"/>
      <c r="F276" s="194"/>
      <c r="G276" s="197"/>
      <c r="H276" s="198"/>
      <c r="I276" s="197"/>
      <c r="J276" s="208"/>
    </row>
    <row r="277" spans="1:10" ht="15.6">
      <c r="A277" s="191" t="s">
        <v>1055</v>
      </c>
      <c r="B277" s="192" t="s">
        <v>979</v>
      </c>
      <c r="C277" s="194"/>
      <c r="D277" s="194"/>
      <c r="E277" s="193"/>
      <c r="F277" s="194" t="s">
        <v>69</v>
      </c>
      <c r="G277" s="204"/>
      <c r="H277" s="205"/>
      <c r="I277" s="204">
        <v>2</v>
      </c>
      <c r="J277" s="208"/>
    </row>
    <row r="278" spans="1:10" ht="15.6">
      <c r="A278" s="191"/>
      <c r="B278" s="186" t="s">
        <v>1056</v>
      </c>
      <c r="C278" s="194"/>
      <c r="D278" s="194"/>
      <c r="E278" s="193"/>
      <c r="F278" s="194">
        <v>6</v>
      </c>
      <c r="G278" s="192">
        <f>F278*G277</f>
        <v>0</v>
      </c>
      <c r="H278" s="207">
        <f>F278*H277</f>
        <v>0</v>
      </c>
      <c r="I278" s="192">
        <f>F278*I277</f>
        <v>12</v>
      </c>
      <c r="J278" s="208"/>
    </row>
    <row r="279" spans="1:10" ht="15.6">
      <c r="A279" s="191"/>
      <c r="B279" s="186" t="s">
        <v>981</v>
      </c>
      <c r="C279" s="194"/>
      <c r="D279" s="194"/>
      <c r="E279" s="194"/>
      <c r="F279" s="194"/>
      <c r="G279" s="192"/>
      <c r="H279" s="207"/>
      <c r="I279" s="192"/>
      <c r="J279" s="208"/>
    </row>
    <row r="280" spans="1:10" ht="15.6">
      <c r="A280" s="191"/>
      <c r="B280" s="186" t="s">
        <v>982</v>
      </c>
      <c r="C280" s="194"/>
      <c r="D280" s="194"/>
      <c r="E280" s="194"/>
      <c r="F280" s="194"/>
      <c r="G280" s="192"/>
      <c r="H280" s="207"/>
      <c r="I280" s="192"/>
      <c r="J280" s="208"/>
    </row>
    <row r="281" spans="1:10" ht="15.6">
      <c r="A281" s="191"/>
      <c r="B281" s="186" t="s">
        <v>983</v>
      </c>
      <c r="C281" s="194"/>
      <c r="D281" s="194"/>
      <c r="E281" s="194"/>
      <c r="F281" s="194"/>
      <c r="G281" s="192"/>
      <c r="H281" s="207"/>
      <c r="I281" s="192"/>
      <c r="J281" s="208"/>
    </row>
    <row r="282" spans="1:10" ht="15.6">
      <c r="A282" s="191"/>
      <c r="B282" s="186"/>
      <c r="C282" s="194"/>
      <c r="D282" s="194"/>
      <c r="E282" s="194"/>
      <c r="F282" s="194"/>
      <c r="G282" s="194"/>
      <c r="H282" s="194"/>
      <c r="I282" s="194"/>
      <c r="J282" s="208"/>
    </row>
    <row r="283" spans="1:10" ht="15.6">
      <c r="A283" s="191"/>
      <c r="B283" s="186" t="s">
        <v>927</v>
      </c>
      <c r="C283" s="187"/>
      <c r="D283" s="187"/>
      <c r="E283" s="187"/>
      <c r="F283" s="187"/>
      <c r="G283" s="194"/>
      <c r="H283" s="194"/>
      <c r="I283" s="194"/>
      <c r="J283" s="208"/>
    </row>
    <row r="284" spans="1:10" ht="15.6">
      <c r="A284" s="191"/>
      <c r="B284" s="186" t="s">
        <v>1057</v>
      </c>
      <c r="C284" s="193"/>
      <c r="D284" s="193"/>
      <c r="E284" s="187"/>
      <c r="F284" s="194">
        <v>6</v>
      </c>
      <c r="G284" s="194"/>
      <c r="H284" s="194"/>
      <c r="I284" s="194"/>
      <c r="J284" s="208"/>
    </row>
    <row r="285" spans="1:10" ht="15.6">
      <c r="A285" s="206"/>
      <c r="B285" s="186"/>
      <c r="C285" s="194"/>
      <c r="D285" s="194"/>
      <c r="E285" s="194"/>
      <c r="F285" s="194"/>
      <c r="G285" s="197"/>
      <c r="H285" s="198"/>
      <c r="I285" s="197"/>
      <c r="J285" s="208"/>
    </row>
    <row r="286" spans="1:10" ht="15.6">
      <c r="A286" s="191" t="s">
        <v>1058</v>
      </c>
      <c r="B286" s="192" t="s">
        <v>979</v>
      </c>
      <c r="C286" s="194"/>
      <c r="D286" s="194"/>
      <c r="E286" s="193"/>
      <c r="F286" s="194" t="s">
        <v>69</v>
      </c>
      <c r="G286" s="204"/>
      <c r="H286" s="205"/>
      <c r="I286" s="204">
        <v>2</v>
      </c>
      <c r="J286" s="208"/>
    </row>
    <row r="287" spans="1:10" ht="15.6">
      <c r="A287" s="191"/>
      <c r="B287" s="186" t="s">
        <v>980</v>
      </c>
      <c r="C287" s="194"/>
      <c r="D287" s="194"/>
      <c r="E287" s="193"/>
      <c r="F287" s="194">
        <v>12</v>
      </c>
      <c r="G287" s="192">
        <f>F287*G286</f>
        <v>0</v>
      </c>
      <c r="H287" s="207">
        <f>F287*H286</f>
        <v>0</v>
      </c>
      <c r="I287" s="192">
        <f>F287*I286</f>
        <v>24</v>
      </c>
      <c r="J287" s="208"/>
    </row>
    <row r="288" spans="1:10" ht="15.6">
      <c r="A288" s="191"/>
      <c r="B288" s="186" t="s">
        <v>981</v>
      </c>
      <c r="C288" s="194"/>
      <c r="D288" s="194"/>
      <c r="E288" s="194"/>
      <c r="F288" s="194"/>
      <c r="G288" s="194"/>
      <c r="H288" s="194"/>
      <c r="I288" s="194"/>
      <c r="J288" s="208"/>
    </row>
    <row r="289" spans="1:10" ht="15.6">
      <c r="A289" s="191"/>
      <c r="B289" s="186" t="s">
        <v>982</v>
      </c>
      <c r="C289" s="194"/>
      <c r="D289" s="194"/>
      <c r="E289" s="194"/>
      <c r="F289" s="194"/>
      <c r="G289" s="194"/>
      <c r="H289" s="194"/>
      <c r="I289" s="194"/>
      <c r="J289" s="208"/>
    </row>
    <row r="290" spans="1:10" ht="15.6">
      <c r="A290" s="191"/>
      <c r="B290" s="186" t="s">
        <v>983</v>
      </c>
      <c r="C290" s="194"/>
      <c r="D290" s="194"/>
      <c r="E290" s="194"/>
      <c r="F290" s="194"/>
      <c r="G290" s="194"/>
      <c r="H290" s="194"/>
      <c r="I290" s="194"/>
      <c r="J290" s="208"/>
    </row>
    <row r="291" spans="1:10" ht="15.6">
      <c r="A291" s="191"/>
      <c r="B291" s="186"/>
      <c r="C291" s="194"/>
      <c r="D291" s="194"/>
      <c r="E291" s="194"/>
      <c r="F291" s="194"/>
      <c r="G291" s="194"/>
      <c r="H291" s="194"/>
      <c r="I291" s="194"/>
      <c r="J291" s="208"/>
    </row>
    <row r="292" spans="1:10" ht="15.6">
      <c r="A292" s="191"/>
      <c r="B292" s="186" t="s">
        <v>927</v>
      </c>
      <c r="C292" s="187"/>
      <c r="D292" s="187"/>
      <c r="E292" s="187"/>
      <c r="F292" s="187"/>
      <c r="G292" s="194"/>
      <c r="H292" s="194"/>
      <c r="I292" s="194"/>
      <c r="J292" s="208"/>
    </row>
    <row r="293" spans="1:10" ht="15.6">
      <c r="A293" s="191"/>
      <c r="B293" s="186" t="s">
        <v>1059</v>
      </c>
      <c r="C293" s="193"/>
      <c r="D293" s="193"/>
      <c r="E293" s="187"/>
      <c r="F293" s="194">
        <v>12</v>
      </c>
      <c r="G293" s="194"/>
      <c r="H293" s="194"/>
      <c r="I293" s="194"/>
      <c r="J293" s="208"/>
    </row>
    <row r="294" spans="1:10" ht="14.25" customHeight="1">
      <c r="A294" s="206"/>
      <c r="B294" s="186"/>
      <c r="C294" s="194"/>
      <c r="D294" s="194"/>
      <c r="E294" s="194"/>
      <c r="F294" s="194"/>
      <c r="G294" s="197"/>
      <c r="H294" s="198"/>
      <c r="I294" s="197"/>
      <c r="J294" s="208"/>
    </row>
    <row r="295" spans="1:10" ht="15.6" hidden="1">
      <c r="A295" s="191" t="s">
        <v>1060</v>
      </c>
      <c r="B295" s="192" t="s">
        <v>986</v>
      </c>
      <c r="C295" s="203"/>
      <c r="D295" s="203"/>
      <c r="E295" s="203"/>
      <c r="F295" s="204" t="s">
        <v>69</v>
      </c>
      <c r="G295" s="204">
        <v>148</v>
      </c>
      <c r="H295" s="205">
        <f>G295*0.35</f>
        <v>51.8</v>
      </c>
      <c r="I295" s="204">
        <v>2.5</v>
      </c>
      <c r="J295" s="208"/>
    </row>
    <row r="296" spans="1:10" ht="15.6" hidden="1">
      <c r="A296" s="191"/>
      <c r="B296" s="186" t="s">
        <v>987</v>
      </c>
      <c r="C296" s="208"/>
      <c r="D296" s="208"/>
      <c r="E296" s="208"/>
      <c r="F296" s="204">
        <v>1</v>
      </c>
      <c r="G296" s="192">
        <f>F296*G295</f>
        <v>148</v>
      </c>
      <c r="H296" s="207">
        <f>F296*H295</f>
        <v>51.8</v>
      </c>
      <c r="I296" s="192">
        <f>F296*I295</f>
        <v>2.5</v>
      </c>
      <c r="J296" s="208"/>
    </row>
    <row r="297" spans="1:10" ht="15.6" hidden="1">
      <c r="A297" s="191"/>
      <c r="B297" s="186" t="s">
        <v>988</v>
      </c>
      <c r="C297" s="194"/>
      <c r="D297" s="194"/>
      <c r="E297" s="194"/>
      <c r="F297" s="194"/>
      <c r="G297" s="194"/>
      <c r="H297" s="194"/>
      <c r="I297" s="194"/>
      <c r="J297" s="208"/>
    </row>
    <row r="298" spans="1:10" ht="15.6" hidden="1">
      <c r="A298" s="191"/>
      <c r="B298" s="211" t="s">
        <v>989</v>
      </c>
      <c r="C298" s="194"/>
      <c r="D298" s="194"/>
      <c r="E298" s="194"/>
      <c r="F298" s="194"/>
      <c r="G298" s="194"/>
      <c r="H298" s="194"/>
      <c r="I298" s="194"/>
      <c r="J298" s="208"/>
    </row>
    <row r="299" spans="1:10" ht="15.6" hidden="1">
      <c r="A299" s="191"/>
      <c r="B299" s="186"/>
      <c r="C299" s="194"/>
      <c r="D299" s="194"/>
      <c r="E299" s="194"/>
      <c r="F299" s="194"/>
      <c r="G299" s="194"/>
      <c r="H299" s="194"/>
      <c r="I299" s="194"/>
      <c r="J299" s="208"/>
    </row>
    <row r="300" spans="1:10" ht="15.6" hidden="1">
      <c r="A300" s="191"/>
      <c r="B300" s="186" t="s">
        <v>927</v>
      </c>
      <c r="C300" s="187"/>
      <c r="D300" s="187"/>
      <c r="E300" s="187"/>
      <c r="F300" s="187"/>
      <c r="G300" s="194"/>
      <c r="H300" s="194"/>
      <c r="I300" s="194"/>
      <c r="J300" s="208"/>
    </row>
    <row r="301" spans="1:10" ht="15.6" hidden="1">
      <c r="A301" s="191"/>
      <c r="B301" s="186" t="s">
        <v>1061</v>
      </c>
      <c r="C301" s="193"/>
      <c r="D301" s="193"/>
      <c r="E301" s="187"/>
      <c r="F301" s="194">
        <v>1</v>
      </c>
      <c r="G301" s="194"/>
      <c r="H301" s="194"/>
      <c r="I301" s="194"/>
      <c r="J301" s="208"/>
    </row>
    <row r="302" spans="1:10" ht="15.6" hidden="1">
      <c r="A302" s="206"/>
      <c r="B302" s="186"/>
      <c r="C302" s="194"/>
      <c r="D302" s="194"/>
      <c r="E302" s="194"/>
      <c r="F302" s="194"/>
      <c r="G302" s="197"/>
      <c r="H302" s="198"/>
      <c r="I302" s="197"/>
      <c r="J302" s="208"/>
    </row>
    <row r="303" spans="1:10" ht="12.75" customHeight="1">
      <c r="A303" s="191" t="s">
        <v>1060</v>
      </c>
      <c r="B303" s="192" t="s">
        <v>986</v>
      </c>
      <c r="C303" s="203"/>
      <c r="D303" s="203"/>
      <c r="E303" s="203"/>
      <c r="F303" s="204" t="s">
        <v>69</v>
      </c>
      <c r="G303" s="204"/>
      <c r="H303" s="205"/>
      <c r="I303" s="204">
        <v>2.5</v>
      </c>
      <c r="J303" s="208"/>
    </row>
    <row r="304" spans="1:10" ht="12.75" customHeight="1">
      <c r="A304" s="206"/>
      <c r="B304" s="186" t="s">
        <v>987</v>
      </c>
      <c r="C304" s="208"/>
      <c r="D304" s="208"/>
      <c r="E304" s="208"/>
      <c r="F304" s="204">
        <v>1</v>
      </c>
      <c r="G304" s="192">
        <f>F304*G303</f>
        <v>0</v>
      </c>
      <c r="H304" s="207">
        <f>F304*H303</f>
        <v>0</v>
      </c>
      <c r="I304" s="192">
        <f>F304*I303</f>
        <v>2.5</v>
      </c>
      <c r="J304" s="208"/>
    </row>
    <row r="305" spans="1:10" ht="12.75" customHeight="1">
      <c r="A305" s="206"/>
      <c r="B305" s="186" t="s">
        <v>988</v>
      </c>
      <c r="C305" s="194"/>
      <c r="D305" s="194"/>
      <c r="E305" s="194"/>
      <c r="F305" s="194"/>
      <c r="G305" s="194"/>
      <c r="H305" s="194"/>
      <c r="I305" s="194"/>
      <c r="J305" s="208"/>
    </row>
    <row r="306" spans="1:10" ht="12.75" customHeight="1">
      <c r="A306" s="206"/>
      <c r="B306" s="211" t="s">
        <v>989</v>
      </c>
      <c r="C306" s="194"/>
      <c r="D306" s="194"/>
      <c r="E306" s="194"/>
      <c r="F306" s="194"/>
      <c r="G306" s="194"/>
      <c r="H306" s="194"/>
      <c r="I306" s="194"/>
      <c r="J306" s="208"/>
    </row>
    <row r="307" spans="1:10" ht="12.75" customHeight="1">
      <c r="A307" s="206"/>
      <c r="B307" s="186"/>
      <c r="C307" s="194"/>
      <c r="D307" s="194"/>
      <c r="E307" s="194"/>
      <c r="F307" s="194"/>
      <c r="G307" s="194"/>
      <c r="H307" s="194"/>
      <c r="I307" s="194"/>
      <c r="J307" s="208"/>
    </row>
    <row r="308" spans="1:10" ht="12.75" customHeight="1">
      <c r="A308" s="206"/>
      <c r="B308" s="186" t="s">
        <v>927</v>
      </c>
      <c r="C308" s="187"/>
      <c r="D308" s="187"/>
      <c r="E308" s="187"/>
      <c r="F308" s="187"/>
      <c r="G308" s="194"/>
      <c r="H308" s="194"/>
      <c r="I308" s="194"/>
      <c r="J308" s="208"/>
    </row>
    <row r="309" spans="1:10" ht="12.75" customHeight="1">
      <c r="A309" s="206"/>
      <c r="B309" s="186" t="s">
        <v>1061</v>
      </c>
      <c r="C309" s="193"/>
      <c r="D309" s="193"/>
      <c r="E309" s="187"/>
      <c r="F309" s="194">
        <v>1</v>
      </c>
      <c r="G309" s="194"/>
      <c r="H309" s="194"/>
      <c r="I309" s="194"/>
      <c r="J309" s="208"/>
    </row>
    <row r="310" spans="1:10" ht="12.75" customHeight="1">
      <c r="A310" s="206"/>
      <c r="B310" s="186"/>
      <c r="C310" s="194"/>
      <c r="D310" s="194"/>
      <c r="E310" s="194"/>
      <c r="F310" s="194"/>
      <c r="G310" s="197"/>
      <c r="H310" s="198"/>
      <c r="I310" s="197"/>
      <c r="J310" s="208"/>
    </row>
    <row r="311" spans="1:10" ht="16.2">
      <c r="A311" s="191" t="s">
        <v>1062</v>
      </c>
      <c r="B311" s="197" t="s">
        <v>995</v>
      </c>
      <c r="C311" s="212"/>
      <c r="D311" s="212"/>
      <c r="E311" s="212"/>
      <c r="F311" s="204" t="s">
        <v>996</v>
      </c>
      <c r="G311" s="194"/>
      <c r="H311" s="195"/>
      <c r="I311" s="194">
        <v>0.8</v>
      </c>
      <c r="J311" s="208"/>
    </row>
    <row r="312" spans="1:10" ht="15.6">
      <c r="A312" s="191"/>
      <c r="B312" s="186" t="s">
        <v>997</v>
      </c>
      <c r="C312" s="183"/>
      <c r="D312" s="183"/>
      <c r="E312" s="183"/>
      <c r="F312" s="204">
        <v>132</v>
      </c>
      <c r="G312" s="197">
        <f>F312*G311</f>
        <v>0</v>
      </c>
      <c r="H312" s="198">
        <f>F312*H311</f>
        <v>0</v>
      </c>
      <c r="I312" s="197">
        <f>F312*I311</f>
        <v>105.60000000000001</v>
      </c>
      <c r="J312" s="208"/>
    </row>
    <row r="313" spans="1:10" ht="15.6">
      <c r="A313" s="191"/>
      <c r="B313" s="186" t="s">
        <v>988</v>
      </c>
      <c r="C313" s="183"/>
      <c r="D313" s="183"/>
      <c r="E313" s="183"/>
      <c r="F313" s="204"/>
      <c r="G313" s="197"/>
      <c r="H313" s="198"/>
      <c r="I313" s="197"/>
      <c r="J313" s="208"/>
    </row>
    <row r="314" spans="1:10" ht="15.6">
      <c r="A314" s="191"/>
      <c r="B314" s="211" t="s">
        <v>998</v>
      </c>
      <c r="C314" s="183"/>
      <c r="D314" s="183"/>
      <c r="E314" s="183"/>
      <c r="F314" s="204"/>
      <c r="G314" s="197"/>
      <c r="H314" s="198"/>
      <c r="I314" s="197"/>
      <c r="J314" s="208"/>
    </row>
    <row r="315" spans="1:10" ht="15.6">
      <c r="A315" s="191"/>
      <c r="B315" s="211"/>
      <c r="C315" s="183"/>
      <c r="D315" s="183"/>
      <c r="E315" s="183"/>
      <c r="F315" s="204"/>
      <c r="G315" s="197"/>
      <c r="H315" s="198"/>
      <c r="I315" s="197"/>
      <c r="J315" s="208"/>
    </row>
    <row r="316" spans="1:10" ht="15.6">
      <c r="A316" s="191"/>
      <c r="B316" s="186" t="s">
        <v>927</v>
      </c>
      <c r="C316" s="187"/>
      <c r="D316" s="187"/>
      <c r="E316" s="187"/>
      <c r="F316" s="187"/>
      <c r="G316" s="197"/>
      <c r="H316" s="198"/>
      <c r="I316" s="197"/>
      <c r="J316" s="208"/>
    </row>
    <row r="317" spans="1:10" ht="15.6">
      <c r="A317" s="191"/>
      <c r="B317" s="186" t="s">
        <v>1063</v>
      </c>
      <c r="C317" s="193"/>
      <c r="D317" s="193"/>
      <c r="E317" s="187"/>
      <c r="F317" s="194">
        <v>132</v>
      </c>
      <c r="G317" s="197"/>
      <c r="H317" s="198"/>
      <c r="I317" s="197"/>
      <c r="J317" s="208"/>
    </row>
    <row r="318" spans="1:10" ht="15.6">
      <c r="A318" s="191"/>
      <c r="B318" s="186"/>
      <c r="C318" s="208"/>
      <c r="D318" s="208"/>
      <c r="E318" s="208"/>
      <c r="F318" s="204"/>
      <c r="G318" s="192"/>
      <c r="H318" s="207"/>
      <c r="I318" s="192"/>
      <c r="J318" s="208"/>
    </row>
    <row r="319" spans="1:10" ht="16.2">
      <c r="A319" s="191" t="s">
        <v>1064</v>
      </c>
      <c r="B319" s="197" t="s">
        <v>1001</v>
      </c>
      <c r="C319" s="194"/>
      <c r="D319" s="194"/>
      <c r="E319" s="194"/>
      <c r="F319" s="194" t="s">
        <v>1002</v>
      </c>
      <c r="G319" s="194"/>
      <c r="H319" s="195"/>
      <c r="I319" s="194">
        <v>1.6</v>
      </c>
      <c r="J319" s="208"/>
    </row>
    <row r="320" spans="1:10" ht="15.6">
      <c r="A320" s="191"/>
      <c r="B320" s="186" t="s">
        <v>1003</v>
      </c>
      <c r="C320" s="194"/>
      <c r="D320" s="194"/>
      <c r="E320" s="194"/>
      <c r="F320" s="194">
        <v>120</v>
      </c>
      <c r="G320" s="197">
        <f>F320*G319</f>
        <v>0</v>
      </c>
      <c r="H320" s="198">
        <f>F320*H319</f>
        <v>0</v>
      </c>
      <c r="I320" s="197">
        <f>F320*I319</f>
        <v>192</v>
      </c>
      <c r="J320" s="208"/>
    </row>
    <row r="321" spans="1:10" ht="15.6">
      <c r="A321" s="191"/>
      <c r="B321" s="186" t="s">
        <v>1004</v>
      </c>
      <c r="C321" s="194"/>
      <c r="D321" s="194"/>
      <c r="E321" s="194"/>
      <c r="F321" s="194"/>
      <c r="G321" s="197"/>
      <c r="H321" s="198"/>
      <c r="I321" s="197"/>
      <c r="J321" s="208"/>
    </row>
    <row r="322" spans="1:10" ht="15.6">
      <c r="A322" s="191"/>
      <c r="B322" s="186"/>
      <c r="C322" s="194"/>
      <c r="D322" s="194"/>
      <c r="E322" s="194"/>
      <c r="F322" s="194"/>
      <c r="G322" s="197"/>
      <c r="H322" s="198"/>
      <c r="I322" s="197"/>
      <c r="J322" s="208"/>
    </row>
    <row r="323" spans="1:10" ht="15.6">
      <c r="A323" s="191"/>
      <c r="B323" s="186" t="s">
        <v>927</v>
      </c>
      <c r="C323" s="187"/>
      <c r="D323" s="187"/>
      <c r="E323" s="187"/>
      <c r="F323" s="187"/>
      <c r="G323" s="197"/>
      <c r="H323" s="198"/>
      <c r="I323" s="197"/>
      <c r="J323" s="208"/>
    </row>
    <row r="324" spans="1:10" ht="15.6">
      <c r="A324" s="191"/>
      <c r="B324" s="186" t="s">
        <v>1065</v>
      </c>
      <c r="C324" s="193"/>
      <c r="D324" s="193"/>
      <c r="E324" s="187"/>
      <c r="F324" s="194">
        <v>120</v>
      </c>
      <c r="G324" s="197"/>
      <c r="H324" s="198"/>
      <c r="I324" s="197"/>
      <c r="J324" s="208"/>
    </row>
    <row r="325" spans="1:10" ht="15.6">
      <c r="A325" s="191"/>
      <c r="B325" s="186"/>
      <c r="C325" s="194"/>
      <c r="D325" s="194"/>
      <c r="E325" s="194"/>
      <c r="F325" s="194"/>
      <c r="G325" s="194"/>
      <c r="H325" s="194"/>
      <c r="I325" s="194"/>
      <c r="J325" s="208"/>
    </row>
    <row r="326" spans="1:10" ht="16.2">
      <c r="A326" s="191" t="s">
        <v>1066</v>
      </c>
      <c r="B326" s="197" t="s">
        <v>1007</v>
      </c>
      <c r="C326" s="194"/>
      <c r="D326" s="194"/>
      <c r="E326" s="194"/>
      <c r="F326" s="194" t="s">
        <v>1002</v>
      </c>
      <c r="G326" s="194"/>
      <c r="H326" s="195"/>
      <c r="I326" s="194">
        <v>3.6</v>
      </c>
      <c r="J326" s="208"/>
    </row>
    <row r="327" spans="1:10" ht="15.6">
      <c r="A327" s="191"/>
      <c r="B327" s="186" t="s">
        <v>1003</v>
      </c>
      <c r="C327" s="194"/>
      <c r="D327" s="194"/>
      <c r="E327" s="194"/>
      <c r="F327" s="194">
        <v>36</v>
      </c>
      <c r="G327" s="197">
        <f>F327*G326</f>
        <v>0</v>
      </c>
      <c r="H327" s="198">
        <f>F327*H326</f>
        <v>0</v>
      </c>
      <c r="I327" s="197">
        <f>F327*I326</f>
        <v>129.6</v>
      </c>
      <c r="J327" s="208"/>
    </row>
    <row r="328" spans="1:10" ht="15.6">
      <c r="A328" s="191"/>
      <c r="B328" s="186" t="s">
        <v>1008</v>
      </c>
      <c r="C328" s="194"/>
      <c r="D328" s="194"/>
      <c r="E328" s="194"/>
      <c r="F328" s="194"/>
      <c r="G328" s="197"/>
      <c r="H328" s="198"/>
      <c r="I328" s="197"/>
      <c r="J328" s="208"/>
    </row>
    <row r="329" spans="1:10" ht="15.6">
      <c r="A329" s="191"/>
      <c r="B329" s="186"/>
      <c r="C329" s="194"/>
      <c r="D329" s="194"/>
      <c r="E329" s="194"/>
      <c r="F329" s="194"/>
      <c r="G329" s="197"/>
      <c r="H329" s="198"/>
      <c r="I329" s="197"/>
      <c r="J329" s="208"/>
    </row>
    <row r="330" spans="1:10" ht="15.6">
      <c r="A330" s="191"/>
      <c r="B330" s="186" t="s">
        <v>927</v>
      </c>
      <c r="C330" s="187"/>
      <c r="D330" s="187"/>
      <c r="E330" s="187"/>
      <c r="F330" s="187"/>
      <c r="G330" s="197"/>
      <c r="H330" s="198"/>
      <c r="I330" s="197"/>
      <c r="J330" s="208"/>
    </row>
    <row r="331" spans="1:10" ht="15.6">
      <c r="A331" s="191"/>
      <c r="B331" s="186" t="s">
        <v>1067</v>
      </c>
      <c r="C331" s="193"/>
      <c r="D331" s="193"/>
      <c r="E331" s="187"/>
      <c r="F331" s="194">
        <v>36</v>
      </c>
      <c r="G331" s="197"/>
      <c r="H331" s="198"/>
      <c r="I331" s="197"/>
      <c r="J331" s="208"/>
    </row>
    <row r="332" spans="1:10" ht="15.6">
      <c r="A332" s="191"/>
      <c r="B332" s="209"/>
      <c r="C332" s="194"/>
      <c r="D332" s="194"/>
      <c r="E332" s="194"/>
      <c r="F332" s="194"/>
      <c r="G332" s="197"/>
      <c r="H332" s="198"/>
      <c r="I332" s="197"/>
      <c r="J332" s="208"/>
    </row>
    <row r="333" spans="1:10" ht="16.2">
      <c r="A333" s="191" t="s">
        <v>1068</v>
      </c>
      <c r="B333" s="197" t="s">
        <v>1011</v>
      </c>
      <c r="C333" s="194"/>
      <c r="D333" s="194"/>
      <c r="E333" s="194"/>
      <c r="F333" s="204" t="s">
        <v>996</v>
      </c>
      <c r="G333" s="194"/>
      <c r="H333" s="205"/>
      <c r="I333" s="194">
        <v>3.2</v>
      </c>
      <c r="J333" s="208"/>
    </row>
    <row r="334" spans="1:10" ht="15.6">
      <c r="A334" s="191"/>
      <c r="B334" s="186" t="s">
        <v>1012</v>
      </c>
      <c r="C334" s="194"/>
      <c r="D334" s="194"/>
      <c r="E334" s="194"/>
      <c r="F334" s="204"/>
      <c r="G334" s="192"/>
      <c r="H334" s="205"/>
      <c r="I334" s="192"/>
      <c r="J334" s="208"/>
    </row>
    <row r="335" spans="1:10" ht="15.6">
      <c r="A335" s="191"/>
      <c r="B335" s="186" t="s">
        <v>1003</v>
      </c>
      <c r="C335" s="194"/>
      <c r="D335" s="194"/>
      <c r="E335" s="194"/>
      <c r="F335" s="204">
        <v>8</v>
      </c>
      <c r="G335" s="192">
        <f>F335*G333</f>
        <v>0</v>
      </c>
      <c r="H335" s="207">
        <f>F335*H333</f>
        <v>0</v>
      </c>
      <c r="I335" s="192">
        <f>F335*I333</f>
        <v>25.6</v>
      </c>
      <c r="J335" s="208"/>
    </row>
    <row r="336" spans="1:10" ht="15.6">
      <c r="A336" s="191"/>
      <c r="B336" s="186" t="s">
        <v>1004</v>
      </c>
      <c r="C336" s="194"/>
      <c r="D336" s="194"/>
      <c r="E336" s="194"/>
      <c r="F336" s="204"/>
      <c r="G336" s="192"/>
      <c r="H336" s="207"/>
      <c r="I336" s="192"/>
      <c r="J336" s="208"/>
    </row>
    <row r="337" spans="1:10" ht="15.6">
      <c r="A337" s="191"/>
      <c r="B337" s="186"/>
      <c r="C337" s="208"/>
      <c r="D337" s="208"/>
      <c r="E337" s="208"/>
      <c r="F337" s="204"/>
      <c r="G337" s="192"/>
      <c r="H337" s="207"/>
      <c r="I337" s="192"/>
      <c r="J337" s="208"/>
    </row>
    <row r="338" spans="1:10" ht="15.6">
      <c r="A338" s="191"/>
      <c r="B338" s="186" t="s">
        <v>927</v>
      </c>
      <c r="C338" s="187"/>
      <c r="D338" s="187"/>
      <c r="E338" s="187"/>
      <c r="F338" s="204"/>
      <c r="G338" s="192"/>
      <c r="H338" s="207"/>
      <c r="I338" s="192"/>
      <c r="J338" s="208"/>
    </row>
    <row r="339" spans="1:10" ht="15.6">
      <c r="A339" s="191"/>
      <c r="B339" s="186" t="s">
        <v>1069</v>
      </c>
      <c r="C339" s="193"/>
      <c r="D339" s="193"/>
      <c r="E339" s="187"/>
      <c r="F339" s="204">
        <v>8</v>
      </c>
      <c r="G339" s="192"/>
      <c r="H339" s="207"/>
      <c r="I339" s="192"/>
      <c r="J339" s="208"/>
    </row>
    <row r="340" spans="1:10" ht="15.6">
      <c r="A340" s="191"/>
      <c r="B340" s="213"/>
      <c r="C340" s="194"/>
      <c r="D340" s="194"/>
      <c r="E340" s="194"/>
      <c r="F340" s="194"/>
      <c r="G340" s="197"/>
      <c r="H340" s="198"/>
      <c r="I340" s="197"/>
      <c r="J340" s="208"/>
    </row>
    <row r="341" spans="1:10" ht="15.6">
      <c r="A341" s="191" t="s">
        <v>1070</v>
      </c>
      <c r="B341" s="192" t="s">
        <v>1015</v>
      </c>
      <c r="C341" s="203"/>
      <c r="D341" s="203"/>
      <c r="E341" s="203"/>
      <c r="F341" s="204" t="s">
        <v>1016</v>
      </c>
      <c r="G341" s="204"/>
      <c r="H341" s="205"/>
      <c r="I341" s="204">
        <v>0.2</v>
      </c>
      <c r="J341" s="208"/>
    </row>
    <row r="342" spans="1:10" ht="15.6">
      <c r="A342" s="206"/>
      <c r="B342" s="186" t="s">
        <v>1017</v>
      </c>
      <c r="C342" s="208"/>
      <c r="D342" s="208"/>
      <c r="E342" s="208"/>
      <c r="F342" s="204">
        <v>6</v>
      </c>
      <c r="G342" s="192">
        <f>F342*G341</f>
        <v>0</v>
      </c>
      <c r="H342" s="207">
        <f>F342*H341</f>
        <v>0</v>
      </c>
      <c r="I342" s="192">
        <f>F342*I341</f>
        <v>1.2000000000000002</v>
      </c>
      <c r="J342" s="208"/>
    </row>
    <row r="343" spans="1:10" ht="15.6">
      <c r="A343" s="206"/>
      <c r="B343" s="186"/>
      <c r="C343" s="194"/>
      <c r="D343" s="194"/>
      <c r="E343" s="194"/>
      <c r="F343" s="194"/>
      <c r="G343" s="197"/>
      <c r="H343" s="198"/>
      <c r="I343" s="197"/>
      <c r="J343" s="208"/>
    </row>
    <row r="344" spans="1:10" ht="15.6">
      <c r="A344" s="206"/>
      <c r="B344" s="186" t="s">
        <v>927</v>
      </c>
      <c r="C344" s="187"/>
      <c r="D344" s="187"/>
      <c r="E344" s="187"/>
      <c r="F344" s="204"/>
      <c r="G344" s="192"/>
      <c r="H344" s="207"/>
      <c r="I344" s="192"/>
      <c r="J344" s="208"/>
    </row>
    <row r="345" spans="1:10" ht="15.6">
      <c r="A345" s="206"/>
      <c r="B345" s="186" t="s">
        <v>1071</v>
      </c>
      <c r="C345" s="193"/>
      <c r="D345" s="193"/>
      <c r="E345" s="187"/>
      <c r="F345" s="204">
        <v>6</v>
      </c>
      <c r="G345" s="192"/>
      <c r="H345" s="207"/>
      <c r="I345" s="192"/>
      <c r="J345" s="208"/>
    </row>
    <row r="346" spans="1:10" ht="15.6">
      <c r="A346" s="304"/>
      <c r="B346" s="304"/>
      <c r="C346" s="304"/>
      <c r="D346" s="183"/>
      <c r="E346" s="183"/>
      <c r="F346" s="203"/>
      <c r="G346" s="203"/>
      <c r="H346" s="214"/>
      <c r="I346" s="203"/>
      <c r="J346" s="208"/>
    </row>
    <row r="347" spans="1:10" ht="15.6">
      <c r="A347" s="197" t="s">
        <v>1019</v>
      </c>
      <c r="B347" s="194"/>
      <c r="C347" s="194"/>
      <c r="D347" s="194"/>
      <c r="E347" s="194"/>
      <c r="F347" s="194"/>
      <c r="G347" s="197">
        <f>G204+G216+G222+G228+G234+G240+G247+G254+G263+G271+G278+G287+G304+G312+G320+G327+G335+G342</f>
        <v>0</v>
      </c>
      <c r="H347" s="198">
        <f>H204+H216+H222+H228+H234+H240+H247+H254+H263+H271+H278+H287+H304+H312+H320+H327+H335+H342</f>
        <v>0</v>
      </c>
      <c r="I347" s="198">
        <f>I204+I216+I222+I228+I234+I240+I247+I254+I263+I271+I278+I287+I304+I312+I320+I327+I335+I342</f>
        <v>990.8000000000001</v>
      </c>
      <c r="J347" s="208"/>
    </row>
    <row r="348" spans="1:10" ht="15.6">
      <c r="A348" s="191"/>
      <c r="B348" s="194"/>
      <c r="C348" s="194"/>
      <c r="D348" s="194"/>
      <c r="E348" s="194"/>
      <c r="F348" s="194"/>
      <c r="G348" s="197"/>
      <c r="H348" s="198"/>
      <c r="I348" s="198"/>
      <c r="J348" s="208"/>
    </row>
    <row r="349" spans="1:9" ht="15">
      <c r="A349" s="183" t="s">
        <v>1072</v>
      </c>
      <c r="B349" s="183"/>
      <c r="C349" s="183"/>
      <c r="D349" s="183"/>
      <c r="E349" s="183"/>
      <c r="F349" s="190"/>
      <c r="G349" s="190"/>
      <c r="H349" s="190"/>
      <c r="I349" s="190"/>
    </row>
    <row r="350" spans="1:9" ht="15">
      <c r="A350" s="216"/>
      <c r="B350" s="190"/>
      <c r="C350" s="190"/>
      <c r="D350" s="190"/>
      <c r="E350" s="190"/>
      <c r="F350" s="190"/>
      <c r="G350" s="190"/>
      <c r="H350" s="190"/>
      <c r="I350" s="190"/>
    </row>
    <row r="351" spans="1:9" ht="15">
      <c r="A351" s="186" t="s">
        <v>910</v>
      </c>
      <c r="B351" s="186" t="s">
        <v>911</v>
      </c>
      <c r="C351" s="184"/>
      <c r="D351" s="184"/>
      <c r="E351" s="184"/>
      <c r="F351" s="186" t="s">
        <v>912</v>
      </c>
      <c r="G351" s="186" t="s">
        <v>913</v>
      </c>
      <c r="H351" s="186" t="s">
        <v>913</v>
      </c>
      <c r="I351" s="186" t="s">
        <v>914</v>
      </c>
    </row>
    <row r="352" spans="1:10" ht="15">
      <c r="A352" s="184"/>
      <c r="B352" s="186" t="s">
        <v>915</v>
      </c>
      <c r="C352" s="184"/>
      <c r="D352" s="184"/>
      <c r="E352" s="184"/>
      <c r="F352" s="184"/>
      <c r="G352" s="186" t="s">
        <v>916</v>
      </c>
      <c r="H352" s="186" t="s">
        <v>916</v>
      </c>
      <c r="I352" s="184"/>
      <c r="J352" s="217"/>
    </row>
    <row r="353" spans="1:9" ht="15">
      <c r="A353" s="190" t="s">
        <v>906</v>
      </c>
      <c r="B353" s="190"/>
      <c r="C353" s="190"/>
      <c r="D353" s="190"/>
      <c r="E353" s="190"/>
      <c r="F353" s="190"/>
      <c r="G353" s="190"/>
      <c r="H353" s="190"/>
      <c r="I353" s="190"/>
    </row>
    <row r="354" spans="1:9" ht="15">
      <c r="A354" s="191" t="s">
        <v>1073</v>
      </c>
      <c r="B354" s="192" t="s">
        <v>1074</v>
      </c>
      <c r="C354" s="203"/>
      <c r="D354" s="203"/>
      <c r="E354" s="203"/>
      <c r="F354" s="194" t="s">
        <v>217</v>
      </c>
      <c r="G354" s="194"/>
      <c r="H354" s="195"/>
      <c r="I354" s="194">
        <v>2</v>
      </c>
    </row>
    <row r="355" spans="1:9" ht="15.6">
      <c r="A355" s="199"/>
      <c r="B355" s="186" t="s">
        <v>1075</v>
      </c>
      <c r="C355" s="208"/>
      <c r="D355" s="208"/>
      <c r="E355" s="208"/>
      <c r="F355" s="194">
        <v>2</v>
      </c>
      <c r="G355" s="197">
        <f>F355*G354</f>
        <v>0</v>
      </c>
      <c r="H355" s="210">
        <f>F355*H354</f>
        <v>0</v>
      </c>
      <c r="I355" s="197">
        <f>F355*I354</f>
        <v>4</v>
      </c>
    </row>
    <row r="356" spans="1:9" ht="15.6">
      <c r="A356" s="199"/>
      <c r="B356" s="186" t="s">
        <v>1076</v>
      </c>
      <c r="C356" s="208"/>
      <c r="D356" s="208"/>
      <c r="E356" s="208"/>
      <c r="F356" s="194"/>
      <c r="G356" s="197"/>
      <c r="H356" s="210"/>
      <c r="I356" s="197"/>
    </row>
    <row r="357" spans="1:9" ht="15.6">
      <c r="A357" s="199"/>
      <c r="B357" s="186" t="s">
        <v>942</v>
      </c>
      <c r="C357" s="208"/>
      <c r="D357" s="208"/>
      <c r="E357" s="208"/>
      <c r="F357" s="194"/>
      <c r="G357" s="197"/>
      <c r="H357" s="210"/>
      <c r="I357" s="197"/>
    </row>
    <row r="358" spans="1:9" ht="15.6">
      <c r="A358" s="199"/>
      <c r="B358" s="186"/>
      <c r="C358" s="184"/>
      <c r="D358" s="184"/>
      <c r="E358" s="184"/>
      <c r="F358" s="194"/>
      <c r="G358" s="197"/>
      <c r="H358" s="198"/>
      <c r="I358" s="197"/>
    </row>
    <row r="359" spans="1:14" ht="16.5" customHeight="1">
      <c r="A359" s="199"/>
      <c r="B359" s="186" t="s">
        <v>927</v>
      </c>
      <c r="C359" s="187"/>
      <c r="D359" s="187"/>
      <c r="E359" s="187"/>
      <c r="F359" s="184"/>
      <c r="G359" s="197"/>
      <c r="H359" s="198"/>
      <c r="I359" s="197"/>
      <c r="J359" s="208"/>
      <c r="N359" s="76"/>
    </row>
    <row r="360" spans="1:14" ht="16.5" customHeight="1">
      <c r="A360" s="199"/>
      <c r="B360" s="186" t="s">
        <v>1077</v>
      </c>
      <c r="C360" s="193"/>
      <c r="D360" s="193"/>
      <c r="E360" s="187"/>
      <c r="F360" s="194">
        <v>2</v>
      </c>
      <c r="G360" s="197"/>
      <c r="H360" s="198"/>
      <c r="I360" s="197"/>
      <c r="J360" s="208"/>
      <c r="N360" s="76"/>
    </row>
    <row r="361" spans="1:10" ht="15.6">
      <c r="A361" s="218"/>
      <c r="B361" s="219"/>
      <c r="C361" s="203"/>
      <c r="D361" s="203"/>
      <c r="E361" s="203"/>
      <c r="F361" s="183"/>
      <c r="G361" s="212"/>
      <c r="H361" s="212"/>
      <c r="I361" s="212"/>
      <c r="J361" s="208"/>
    </row>
    <row r="362" spans="1:10" ht="15.6">
      <c r="A362" s="191" t="s">
        <v>1078</v>
      </c>
      <c r="B362" s="192" t="s">
        <v>1079</v>
      </c>
      <c r="C362" s="203"/>
      <c r="D362" s="203"/>
      <c r="E362" s="203"/>
      <c r="F362" s="194" t="s">
        <v>217</v>
      </c>
      <c r="G362" s="194"/>
      <c r="H362" s="195"/>
      <c r="I362" s="194">
        <v>0.25</v>
      </c>
      <c r="J362" s="208"/>
    </row>
    <row r="363" spans="1:10" ht="15.6">
      <c r="A363" s="206"/>
      <c r="B363" s="186" t="s">
        <v>1080</v>
      </c>
      <c r="C363" s="208"/>
      <c r="D363" s="208"/>
      <c r="E363" s="208"/>
      <c r="F363" s="194">
        <v>4</v>
      </c>
      <c r="G363" s="197">
        <f>F363*G362</f>
        <v>0</v>
      </c>
      <c r="H363" s="198">
        <f>F363*H362</f>
        <v>0</v>
      </c>
      <c r="I363" s="197">
        <f>F363*I362</f>
        <v>1</v>
      </c>
      <c r="J363" s="208"/>
    </row>
    <row r="364" spans="1:10" ht="15.6">
      <c r="A364" s="206"/>
      <c r="B364" s="186" t="s">
        <v>1081</v>
      </c>
      <c r="C364" s="208"/>
      <c r="D364" s="208"/>
      <c r="E364" s="208"/>
      <c r="F364" s="194"/>
      <c r="G364" s="197"/>
      <c r="H364" s="198"/>
      <c r="I364" s="197"/>
      <c r="J364" s="208"/>
    </row>
    <row r="365" spans="1:10" ht="15.6">
      <c r="A365" s="206"/>
      <c r="B365" s="186"/>
      <c r="C365" s="208"/>
      <c r="D365" s="208"/>
      <c r="E365" s="208"/>
      <c r="F365" s="194"/>
      <c r="G365" s="197"/>
      <c r="H365" s="198"/>
      <c r="I365" s="197"/>
      <c r="J365" s="208"/>
    </row>
    <row r="366" spans="1:23" ht="15.6">
      <c r="A366" s="206"/>
      <c r="B366" s="186" t="s">
        <v>927</v>
      </c>
      <c r="C366" s="187"/>
      <c r="D366" s="187"/>
      <c r="E366" s="187"/>
      <c r="F366" s="184"/>
      <c r="G366" s="197"/>
      <c r="H366" s="198"/>
      <c r="I366" s="197"/>
      <c r="J366" s="208"/>
      <c r="L366" s="220"/>
      <c r="M366" s="220"/>
      <c r="N366" s="220"/>
      <c r="O366" s="220"/>
      <c r="P366" s="220"/>
      <c r="Q366" s="220"/>
      <c r="R366" s="220"/>
      <c r="S366" s="220"/>
      <c r="T366" s="220"/>
      <c r="U366" s="220"/>
      <c r="V366" s="220"/>
      <c r="W366" s="220"/>
    </row>
    <row r="367" spans="1:23" ht="15.6">
      <c r="A367" s="206"/>
      <c r="B367" s="186" t="s">
        <v>1082</v>
      </c>
      <c r="C367" s="193"/>
      <c r="D367" s="193"/>
      <c r="E367" s="187"/>
      <c r="F367" s="194">
        <v>4</v>
      </c>
      <c r="G367" s="197"/>
      <c r="H367" s="198"/>
      <c r="I367" s="197"/>
      <c r="J367" s="208"/>
      <c r="L367" s="220"/>
      <c r="M367" s="220"/>
      <c r="N367" s="220"/>
      <c r="O367" s="220"/>
      <c r="P367" s="220"/>
      <c r="Q367" s="220"/>
      <c r="R367" s="220"/>
      <c r="S367" s="220"/>
      <c r="T367" s="220"/>
      <c r="U367" s="220"/>
      <c r="V367" s="220"/>
      <c r="W367" s="220"/>
    </row>
    <row r="368" spans="1:23" ht="15.6">
      <c r="A368" s="218"/>
      <c r="B368" s="203"/>
      <c r="C368" s="203"/>
      <c r="D368" s="203"/>
      <c r="E368" s="203"/>
      <c r="F368" s="183"/>
      <c r="G368" s="183"/>
      <c r="H368" s="183"/>
      <c r="I368" s="183"/>
      <c r="J368" s="208"/>
      <c r="L368" s="221"/>
      <c r="M368" s="221"/>
      <c r="N368" s="221"/>
      <c r="O368" s="221"/>
      <c r="P368" s="221"/>
      <c r="Q368" s="221"/>
      <c r="R368" s="221"/>
      <c r="S368" s="221"/>
      <c r="T368" s="221"/>
      <c r="U368" s="221"/>
      <c r="V368" s="221"/>
      <c r="W368" s="221"/>
    </row>
    <row r="369" spans="1:23" ht="15.6">
      <c r="A369" s="191" t="s">
        <v>1083</v>
      </c>
      <c r="B369" s="197" t="s">
        <v>1084</v>
      </c>
      <c r="C369" s="183"/>
      <c r="D369" s="183"/>
      <c r="E369" s="183"/>
      <c r="F369" s="194" t="s">
        <v>217</v>
      </c>
      <c r="G369" s="194"/>
      <c r="H369" s="195"/>
      <c r="I369" s="194">
        <v>0.25</v>
      </c>
      <c r="J369" s="208"/>
      <c r="L369" s="222"/>
      <c r="M369" s="222"/>
      <c r="N369" s="222"/>
      <c r="O369" s="222"/>
      <c r="P369" s="222"/>
      <c r="Q369" s="222"/>
      <c r="R369" s="222"/>
      <c r="S369" s="222"/>
      <c r="T369" s="222"/>
      <c r="U369" s="222"/>
      <c r="V369" s="222"/>
      <c r="W369" s="222"/>
    </row>
    <row r="370" spans="1:23" ht="15.6">
      <c r="A370" s="206"/>
      <c r="B370" s="186" t="s">
        <v>1085</v>
      </c>
      <c r="C370" s="215"/>
      <c r="D370" s="215"/>
      <c r="E370" s="215"/>
      <c r="F370" s="194">
        <v>2</v>
      </c>
      <c r="G370" s="197">
        <f>F370*G369</f>
        <v>0</v>
      </c>
      <c r="H370" s="198">
        <f>F370*H369</f>
        <v>0</v>
      </c>
      <c r="I370" s="197">
        <f>F370*I369</f>
        <v>0.5</v>
      </c>
      <c r="J370" s="208"/>
      <c r="L370" s="223"/>
      <c r="M370" s="223"/>
      <c r="N370" s="223"/>
      <c r="O370" s="223"/>
      <c r="P370" s="223"/>
      <c r="Q370" s="223"/>
      <c r="R370" s="223"/>
      <c r="S370" s="223"/>
      <c r="T370" s="223"/>
      <c r="U370" s="223"/>
      <c r="V370" s="223"/>
      <c r="W370" s="223"/>
    </row>
    <row r="371" spans="1:23" ht="15.6">
      <c r="A371" s="206"/>
      <c r="B371" s="186" t="s">
        <v>1086</v>
      </c>
      <c r="C371" s="215"/>
      <c r="D371" s="215"/>
      <c r="E371" s="215"/>
      <c r="F371" s="194"/>
      <c r="G371" s="197"/>
      <c r="H371" s="198"/>
      <c r="I371" s="197"/>
      <c r="J371" s="208"/>
      <c r="L371" s="224"/>
      <c r="M371" s="224"/>
      <c r="N371" s="224"/>
      <c r="O371" s="224"/>
      <c r="P371" s="224"/>
      <c r="Q371" s="224"/>
      <c r="R371" s="224"/>
      <c r="S371" s="224"/>
      <c r="T371" s="224"/>
      <c r="U371" s="224"/>
      <c r="V371" s="224"/>
      <c r="W371" s="224"/>
    </row>
    <row r="372" spans="1:23" ht="15.6">
      <c r="A372" s="206"/>
      <c r="B372" s="186"/>
      <c r="C372" s="215"/>
      <c r="D372" s="215"/>
      <c r="E372" s="215"/>
      <c r="F372" s="194"/>
      <c r="G372" s="197"/>
      <c r="H372" s="198"/>
      <c r="I372" s="197"/>
      <c r="J372" s="208"/>
      <c r="L372" s="224"/>
      <c r="M372" s="224"/>
      <c r="N372" s="224"/>
      <c r="O372" s="224"/>
      <c r="P372" s="224"/>
      <c r="Q372" s="224"/>
      <c r="R372" s="224"/>
      <c r="S372" s="224"/>
      <c r="T372" s="224"/>
      <c r="U372" s="224"/>
      <c r="V372" s="224"/>
      <c r="W372" s="224"/>
    </row>
    <row r="373" spans="1:23" ht="15.6">
      <c r="A373" s="206"/>
      <c r="B373" s="186" t="s">
        <v>927</v>
      </c>
      <c r="C373" s="187"/>
      <c r="D373" s="187"/>
      <c r="E373" s="187"/>
      <c r="F373" s="184"/>
      <c r="G373" s="197"/>
      <c r="H373" s="198"/>
      <c r="I373" s="197"/>
      <c r="J373" s="208"/>
      <c r="L373" s="224"/>
      <c r="M373" s="224"/>
      <c r="N373" s="224"/>
      <c r="O373" s="224"/>
      <c r="P373" s="224"/>
      <c r="Q373" s="224"/>
      <c r="R373" s="224"/>
      <c r="S373" s="224"/>
      <c r="T373" s="224"/>
      <c r="U373" s="224"/>
      <c r="V373" s="224"/>
      <c r="W373" s="224"/>
    </row>
    <row r="374" spans="1:23" ht="15.6">
      <c r="A374" s="206"/>
      <c r="B374" s="186" t="s">
        <v>1077</v>
      </c>
      <c r="C374" s="193"/>
      <c r="D374" s="193"/>
      <c r="E374" s="187"/>
      <c r="F374" s="194">
        <v>2</v>
      </c>
      <c r="G374" s="197"/>
      <c r="H374" s="198"/>
      <c r="I374" s="197"/>
      <c r="J374" s="208"/>
      <c r="L374" s="224"/>
      <c r="M374" s="224"/>
      <c r="N374" s="224"/>
      <c r="O374" s="224"/>
      <c r="P374" s="224"/>
      <c r="Q374" s="224"/>
      <c r="R374" s="224"/>
      <c r="S374" s="224"/>
      <c r="T374" s="224"/>
      <c r="U374" s="224"/>
      <c r="V374" s="224"/>
      <c r="W374" s="224"/>
    </row>
    <row r="375" spans="1:10" ht="15.6">
      <c r="A375" s="206"/>
      <c r="B375" s="203"/>
      <c r="C375" s="203"/>
      <c r="D375" s="203"/>
      <c r="E375" s="203"/>
      <c r="F375" s="183"/>
      <c r="G375" s="183"/>
      <c r="H375" s="183"/>
      <c r="I375" s="183"/>
      <c r="J375" s="208"/>
    </row>
    <row r="376" spans="1:10" ht="15.6">
      <c r="A376" s="191" t="s">
        <v>1087</v>
      </c>
      <c r="B376" s="197" t="s">
        <v>1088</v>
      </c>
      <c r="C376" s="197"/>
      <c r="D376" s="197"/>
      <c r="E376" s="194"/>
      <c r="F376" s="194" t="s">
        <v>217</v>
      </c>
      <c r="G376" s="194"/>
      <c r="H376" s="195"/>
      <c r="I376" s="194">
        <v>6.1</v>
      </c>
      <c r="J376" s="208"/>
    </row>
    <row r="377" spans="1:10" ht="15.6">
      <c r="A377" s="206"/>
      <c r="B377" s="186" t="s">
        <v>1089</v>
      </c>
      <c r="C377" s="184"/>
      <c r="D377" s="194"/>
      <c r="E377" s="194"/>
      <c r="F377" s="194">
        <v>4</v>
      </c>
      <c r="G377" s="197">
        <f>F377*G376</f>
        <v>0</v>
      </c>
      <c r="H377" s="198">
        <f>F377*H376</f>
        <v>0</v>
      </c>
      <c r="I377" s="197">
        <f>F377*I376</f>
        <v>24.4</v>
      </c>
      <c r="J377" s="208"/>
    </row>
    <row r="378" spans="1:10" ht="15.6">
      <c r="A378" s="206"/>
      <c r="B378" s="186" t="s">
        <v>988</v>
      </c>
      <c r="C378" s="194"/>
      <c r="D378" s="194"/>
      <c r="E378" s="194"/>
      <c r="F378" s="194"/>
      <c r="G378" s="197"/>
      <c r="H378" s="198"/>
      <c r="I378" s="197"/>
      <c r="J378" s="208"/>
    </row>
    <row r="379" spans="1:10" ht="15.6">
      <c r="A379" s="206"/>
      <c r="B379" s="211" t="s">
        <v>989</v>
      </c>
      <c r="C379" s="194"/>
      <c r="D379" s="194"/>
      <c r="E379" s="194"/>
      <c r="F379" s="194"/>
      <c r="G379" s="197"/>
      <c r="H379" s="198"/>
      <c r="I379" s="197"/>
      <c r="J379" s="208"/>
    </row>
    <row r="380" spans="1:10" ht="15.6">
      <c r="A380" s="218"/>
      <c r="J380" s="208"/>
    </row>
    <row r="381" spans="1:10" ht="15.6">
      <c r="A381" s="218"/>
      <c r="B381" s="186" t="s">
        <v>927</v>
      </c>
      <c r="C381" s="187"/>
      <c r="D381" s="187"/>
      <c r="E381" s="187"/>
      <c r="F381" s="184"/>
      <c r="G381" s="212"/>
      <c r="H381" s="225"/>
      <c r="I381" s="212"/>
      <c r="J381" s="208"/>
    </row>
    <row r="382" spans="1:10" ht="15.6">
      <c r="A382" s="218"/>
      <c r="B382" s="186" t="s">
        <v>1090</v>
      </c>
      <c r="C382" s="193"/>
      <c r="D382" s="193"/>
      <c r="E382" s="187"/>
      <c r="F382" s="194">
        <v>4</v>
      </c>
      <c r="G382" s="212"/>
      <c r="H382" s="225"/>
      <c r="I382" s="212"/>
      <c r="J382" s="208"/>
    </row>
    <row r="383" spans="1:10" ht="15.6">
      <c r="A383" s="218"/>
      <c r="B383" s="186"/>
      <c r="C383" s="183"/>
      <c r="D383" s="183"/>
      <c r="E383" s="183"/>
      <c r="F383" s="183"/>
      <c r="G383" s="212"/>
      <c r="H383" s="225"/>
      <c r="I383" s="212"/>
      <c r="J383" s="208"/>
    </row>
    <row r="384" spans="1:10" ht="15.6">
      <c r="A384" s="191" t="s">
        <v>1091</v>
      </c>
      <c r="B384" s="192" t="s">
        <v>1092</v>
      </c>
      <c r="C384" s="203"/>
      <c r="D384" s="203"/>
      <c r="E384" s="203"/>
      <c r="F384" s="204" t="s">
        <v>217</v>
      </c>
      <c r="G384" s="204"/>
      <c r="H384" s="205"/>
      <c r="I384" s="204">
        <v>0.5</v>
      </c>
      <c r="J384" s="208"/>
    </row>
    <row r="385" spans="1:10" ht="15.6">
      <c r="A385" s="206"/>
      <c r="B385" s="186" t="s">
        <v>1093</v>
      </c>
      <c r="C385" s="203"/>
      <c r="D385" s="203"/>
      <c r="E385" s="208"/>
      <c r="F385" s="204">
        <v>1</v>
      </c>
      <c r="G385" s="192">
        <f>F385*G384</f>
        <v>0</v>
      </c>
      <c r="H385" s="207">
        <f>F385*H384</f>
        <v>0</v>
      </c>
      <c r="I385" s="192">
        <f>F385*I384</f>
        <v>0.5</v>
      </c>
      <c r="J385" s="208"/>
    </row>
    <row r="386" spans="1:10" ht="15.6">
      <c r="A386" s="206"/>
      <c r="B386" s="186" t="s">
        <v>1086</v>
      </c>
      <c r="C386" s="203"/>
      <c r="D386" s="203"/>
      <c r="E386" s="208"/>
      <c r="F386" s="204"/>
      <c r="G386" s="192"/>
      <c r="H386" s="207"/>
      <c r="I386" s="192"/>
      <c r="J386" s="208"/>
    </row>
    <row r="387" spans="1:10" ht="15.6">
      <c r="A387" s="206"/>
      <c r="B387" s="186"/>
      <c r="C387" s="215"/>
      <c r="D387" s="215"/>
      <c r="E387" s="208"/>
      <c r="F387" s="204"/>
      <c r="G387" s="192"/>
      <c r="H387" s="207"/>
      <c r="I387" s="192"/>
      <c r="J387" s="208"/>
    </row>
    <row r="388" spans="1:10" ht="15.6">
      <c r="A388" s="206"/>
      <c r="B388" s="186" t="s">
        <v>927</v>
      </c>
      <c r="C388" s="187"/>
      <c r="D388" s="187"/>
      <c r="E388" s="187"/>
      <c r="F388" s="184"/>
      <c r="G388" s="192"/>
      <c r="H388" s="207"/>
      <c r="I388" s="192"/>
      <c r="J388" s="208"/>
    </row>
    <row r="389" spans="1:10" ht="15.6">
      <c r="A389" s="206"/>
      <c r="B389" s="186" t="s">
        <v>1094</v>
      </c>
      <c r="C389" s="193"/>
      <c r="D389" s="193"/>
      <c r="E389" s="187"/>
      <c r="F389" s="194">
        <v>1</v>
      </c>
      <c r="G389" s="192"/>
      <c r="H389" s="207"/>
      <c r="I389" s="192"/>
      <c r="J389" s="208"/>
    </row>
    <row r="390" spans="1:10" ht="15.6">
      <c r="A390" s="206"/>
      <c r="B390" s="183"/>
      <c r="C390" s="183"/>
      <c r="D390" s="183"/>
      <c r="E390" s="183"/>
      <c r="F390" s="183"/>
      <c r="G390" s="183"/>
      <c r="H390" s="183"/>
      <c r="I390" s="183"/>
      <c r="J390" s="208"/>
    </row>
    <row r="391" spans="1:10" ht="15.6">
      <c r="A391" s="191" t="s">
        <v>1095</v>
      </c>
      <c r="B391" s="192" t="s">
        <v>1096</v>
      </c>
      <c r="C391" s="203"/>
      <c r="D391" s="203"/>
      <c r="E391" s="203"/>
      <c r="F391" s="204" t="s">
        <v>217</v>
      </c>
      <c r="G391" s="204"/>
      <c r="H391" s="205"/>
      <c r="I391" s="204">
        <v>1.1</v>
      </c>
      <c r="J391" s="208"/>
    </row>
    <row r="392" spans="1:10" ht="15.6">
      <c r="A392" s="206"/>
      <c r="B392" s="186" t="s">
        <v>1097</v>
      </c>
      <c r="C392" s="208"/>
      <c r="D392" s="208"/>
      <c r="E392" s="208"/>
      <c r="F392" s="204">
        <v>1</v>
      </c>
      <c r="G392" s="192">
        <f>F392*G391</f>
        <v>0</v>
      </c>
      <c r="H392" s="207">
        <f>F392*H391</f>
        <v>0</v>
      </c>
      <c r="I392" s="192">
        <f>F392*I391</f>
        <v>1.1</v>
      </c>
      <c r="J392" s="208"/>
    </row>
    <row r="393" spans="1:10" ht="15.6">
      <c r="A393" s="206"/>
      <c r="B393" s="186" t="s">
        <v>1086</v>
      </c>
      <c r="C393" s="208"/>
      <c r="D393" s="208"/>
      <c r="E393" s="208"/>
      <c r="F393" s="204"/>
      <c r="G393" s="192"/>
      <c r="H393" s="207"/>
      <c r="I393" s="192"/>
      <c r="J393" s="208"/>
    </row>
    <row r="394" spans="1:10" ht="15.6">
      <c r="A394" s="206"/>
      <c r="B394" s="186"/>
      <c r="C394" s="203"/>
      <c r="D394" s="203"/>
      <c r="E394" s="203"/>
      <c r="F394" s="194"/>
      <c r="G394" s="197"/>
      <c r="H394" s="198"/>
      <c r="I394" s="197"/>
      <c r="J394" s="208"/>
    </row>
    <row r="395" spans="1:10" ht="15.6">
      <c r="A395" s="206"/>
      <c r="B395" s="186" t="s">
        <v>927</v>
      </c>
      <c r="C395" s="187"/>
      <c r="D395" s="187"/>
      <c r="E395" s="187"/>
      <c r="F395" s="184"/>
      <c r="G395" s="197"/>
      <c r="H395" s="198"/>
      <c r="I395" s="197"/>
      <c r="J395" s="208"/>
    </row>
    <row r="396" spans="1:10" ht="15.6">
      <c r="A396" s="206"/>
      <c r="B396" s="186" t="s">
        <v>1098</v>
      </c>
      <c r="C396" s="193"/>
      <c r="D396" s="193"/>
      <c r="E396" s="187"/>
      <c r="F396" s="194">
        <v>1</v>
      </c>
      <c r="G396" s="197"/>
      <c r="H396" s="198"/>
      <c r="I396" s="197"/>
      <c r="J396" s="208"/>
    </row>
    <row r="397" spans="1:10" ht="15.6">
      <c r="A397" s="206"/>
      <c r="B397" s="186"/>
      <c r="C397" s="203"/>
      <c r="D397" s="203"/>
      <c r="E397" s="203"/>
      <c r="F397" s="194"/>
      <c r="G397" s="197"/>
      <c r="H397" s="198"/>
      <c r="I397" s="197"/>
      <c r="J397" s="208"/>
    </row>
    <row r="398" spans="1:10" ht="15.6">
      <c r="A398" s="191" t="s">
        <v>1099</v>
      </c>
      <c r="B398" s="192" t="s">
        <v>1100</v>
      </c>
      <c r="C398" s="203"/>
      <c r="D398" s="203"/>
      <c r="E398" s="203"/>
      <c r="F398" s="194" t="s">
        <v>217</v>
      </c>
      <c r="G398" s="194"/>
      <c r="H398" s="195"/>
      <c r="I398" s="194">
        <v>0.3</v>
      </c>
      <c r="J398" s="208"/>
    </row>
    <row r="399" spans="1:10" ht="15.6">
      <c r="A399" s="191"/>
      <c r="B399" s="186" t="s">
        <v>1101</v>
      </c>
      <c r="C399" s="203"/>
      <c r="D399" s="203"/>
      <c r="E399" s="203"/>
      <c r="F399" s="194">
        <v>5</v>
      </c>
      <c r="G399" s="197">
        <f>F399*G398</f>
        <v>0</v>
      </c>
      <c r="H399" s="198">
        <f>F399*H398</f>
        <v>0</v>
      </c>
      <c r="I399" s="197">
        <f>F399*I398</f>
        <v>1.5</v>
      </c>
      <c r="J399" s="208"/>
    </row>
    <row r="400" spans="1:10" ht="15.6">
      <c r="A400" s="191"/>
      <c r="B400" s="186" t="s">
        <v>1102</v>
      </c>
      <c r="C400" s="203"/>
      <c r="D400" s="203"/>
      <c r="E400" s="203"/>
      <c r="F400" s="194"/>
      <c r="G400" s="197"/>
      <c r="H400" s="198"/>
      <c r="I400" s="197"/>
      <c r="J400" s="208"/>
    </row>
    <row r="401" spans="1:10" ht="15.6">
      <c r="A401" s="191"/>
      <c r="B401" s="186"/>
      <c r="C401" s="187"/>
      <c r="D401" s="187"/>
      <c r="E401" s="187"/>
      <c r="F401" s="184"/>
      <c r="G401" s="197"/>
      <c r="H401" s="198"/>
      <c r="I401" s="197"/>
      <c r="J401" s="208"/>
    </row>
    <row r="402" spans="1:10" ht="15.6">
      <c r="A402" s="191"/>
      <c r="B402" s="186" t="s">
        <v>927</v>
      </c>
      <c r="C402" s="187"/>
      <c r="D402" s="187"/>
      <c r="E402" s="187"/>
      <c r="F402" s="184"/>
      <c r="G402" s="197"/>
      <c r="H402" s="198"/>
      <c r="I402" s="197"/>
      <c r="J402" s="208"/>
    </row>
    <row r="403" spans="1:10" ht="15.6">
      <c r="A403" s="191"/>
      <c r="B403" s="186" t="s">
        <v>1103</v>
      </c>
      <c r="C403" s="193"/>
      <c r="D403" s="193"/>
      <c r="E403" s="187"/>
      <c r="F403" s="194">
        <v>5</v>
      </c>
      <c r="G403" s="197"/>
      <c r="H403" s="198"/>
      <c r="I403" s="197"/>
      <c r="J403" s="208"/>
    </row>
    <row r="404" spans="1:10" ht="15.6">
      <c r="A404" s="206"/>
      <c r="B404" s="186"/>
      <c r="C404" s="183"/>
      <c r="D404" s="183"/>
      <c r="E404" s="183"/>
      <c r="F404" s="183"/>
      <c r="G404" s="212"/>
      <c r="H404" s="225"/>
      <c r="I404" s="212"/>
      <c r="J404" s="208"/>
    </row>
    <row r="405" spans="1:10" ht="15.6">
      <c r="A405" s="191" t="s">
        <v>1104</v>
      </c>
      <c r="B405" s="192" t="s">
        <v>1100</v>
      </c>
      <c r="C405" s="203"/>
      <c r="D405" s="203"/>
      <c r="E405" s="203"/>
      <c r="F405" s="194" t="s">
        <v>217</v>
      </c>
      <c r="G405" s="194"/>
      <c r="H405" s="195"/>
      <c r="I405" s="194">
        <v>0.4</v>
      </c>
      <c r="J405" s="208"/>
    </row>
    <row r="406" spans="1:10" ht="15.6">
      <c r="A406" s="191"/>
      <c r="B406" s="186" t="s">
        <v>1105</v>
      </c>
      <c r="C406" s="203"/>
      <c r="D406" s="203"/>
      <c r="E406" s="203"/>
      <c r="F406" s="194">
        <v>5</v>
      </c>
      <c r="G406" s="197">
        <f>F406*G405</f>
        <v>0</v>
      </c>
      <c r="H406" s="198">
        <f>F406*H405</f>
        <v>0</v>
      </c>
      <c r="I406" s="197">
        <f>F406*I405</f>
        <v>2</v>
      </c>
      <c r="J406" s="208"/>
    </row>
    <row r="407" spans="1:10" ht="15.6">
      <c r="A407" s="191"/>
      <c r="B407" s="186" t="s">
        <v>1102</v>
      </c>
      <c r="C407" s="203"/>
      <c r="D407" s="203"/>
      <c r="E407" s="203"/>
      <c r="F407" s="194"/>
      <c r="G407" s="197"/>
      <c r="H407" s="198"/>
      <c r="I407" s="197"/>
      <c r="J407" s="208"/>
    </row>
    <row r="408" spans="1:10" ht="15.6">
      <c r="A408" s="191"/>
      <c r="B408" s="186"/>
      <c r="C408" s="203"/>
      <c r="D408" s="203"/>
      <c r="E408" s="203"/>
      <c r="F408" s="194"/>
      <c r="G408" s="197"/>
      <c r="H408" s="198"/>
      <c r="I408" s="197"/>
      <c r="J408" s="208"/>
    </row>
    <row r="409" spans="1:10" ht="15.6">
      <c r="A409" s="191"/>
      <c r="B409" s="186" t="s">
        <v>927</v>
      </c>
      <c r="C409" s="187"/>
      <c r="D409" s="187"/>
      <c r="E409" s="187"/>
      <c r="F409" s="184"/>
      <c r="G409" s="192"/>
      <c r="H409" s="207"/>
      <c r="I409" s="192"/>
      <c r="J409" s="208"/>
    </row>
    <row r="410" spans="1:10" ht="15.6">
      <c r="A410" s="191"/>
      <c r="B410" s="186" t="s">
        <v>1106</v>
      </c>
      <c r="C410" s="193"/>
      <c r="D410" s="193"/>
      <c r="E410" s="187"/>
      <c r="F410" s="194">
        <v>5</v>
      </c>
      <c r="G410" s="192"/>
      <c r="H410" s="207"/>
      <c r="I410" s="192"/>
      <c r="J410" s="208"/>
    </row>
    <row r="411" spans="1:10" ht="15.6">
      <c r="A411" s="191"/>
      <c r="B411" s="209"/>
      <c r="C411" s="194"/>
      <c r="D411" s="194"/>
      <c r="E411" s="194"/>
      <c r="F411" s="194"/>
      <c r="G411" s="197"/>
      <c r="H411" s="198"/>
      <c r="I411" s="197"/>
      <c r="J411" s="208"/>
    </row>
    <row r="412" spans="1:10" ht="15.6">
      <c r="A412" s="191" t="s">
        <v>1107</v>
      </c>
      <c r="B412" s="192" t="s">
        <v>1108</v>
      </c>
      <c r="C412" s="203"/>
      <c r="D412" s="203"/>
      <c r="E412" s="203"/>
      <c r="F412" s="204" t="s">
        <v>69</v>
      </c>
      <c r="G412" s="204"/>
      <c r="H412" s="205"/>
      <c r="I412" s="204">
        <v>2</v>
      </c>
      <c r="J412" s="208"/>
    </row>
    <row r="413" spans="1:10" ht="15.6">
      <c r="A413" s="191"/>
      <c r="B413" s="211" t="s">
        <v>981</v>
      </c>
      <c r="C413" s="194"/>
      <c r="D413" s="194"/>
      <c r="E413" s="194"/>
      <c r="F413" s="194">
        <v>5</v>
      </c>
      <c r="G413" s="197">
        <f>F413*G412</f>
        <v>0</v>
      </c>
      <c r="H413" s="198">
        <f>F413*H412</f>
        <v>0</v>
      </c>
      <c r="I413" s="197">
        <f>F413*I412</f>
        <v>10</v>
      </c>
      <c r="J413" s="208"/>
    </row>
    <row r="414" spans="1:10" ht="15.6">
      <c r="A414" s="191"/>
      <c r="B414" s="186" t="s">
        <v>982</v>
      </c>
      <c r="C414" s="194"/>
      <c r="D414" s="194"/>
      <c r="E414" s="194"/>
      <c r="F414" s="194"/>
      <c r="G414" s="204"/>
      <c r="H414" s="205"/>
      <c r="I414" s="204"/>
      <c r="J414" s="208"/>
    </row>
    <row r="415" spans="1:10" ht="15.6">
      <c r="A415" s="191"/>
      <c r="B415" s="186" t="s">
        <v>983</v>
      </c>
      <c r="C415" s="194"/>
      <c r="D415" s="194"/>
      <c r="E415" s="194"/>
      <c r="F415" s="194"/>
      <c r="G415" s="204"/>
      <c r="H415" s="205"/>
      <c r="I415" s="204"/>
      <c r="J415" s="208"/>
    </row>
    <row r="416" spans="1:10" ht="15.6">
      <c r="A416" s="191"/>
      <c r="B416" s="186"/>
      <c r="C416" s="203"/>
      <c r="D416" s="203"/>
      <c r="E416" s="203"/>
      <c r="F416" s="204"/>
      <c r="G416" s="192"/>
      <c r="H416" s="207"/>
      <c r="I416" s="192"/>
      <c r="J416" s="208"/>
    </row>
    <row r="417" spans="1:10" ht="15.6">
      <c r="A417" s="191"/>
      <c r="B417" s="186" t="s">
        <v>927</v>
      </c>
      <c r="C417" s="187"/>
      <c r="D417" s="187"/>
      <c r="E417" s="187"/>
      <c r="F417" s="184"/>
      <c r="G417" s="192"/>
      <c r="H417" s="207"/>
      <c r="I417" s="192"/>
      <c r="J417" s="208"/>
    </row>
    <row r="418" spans="1:10" ht="15.6">
      <c r="A418" s="191"/>
      <c r="B418" s="186" t="s">
        <v>1103</v>
      </c>
      <c r="C418" s="193"/>
      <c r="D418" s="193"/>
      <c r="E418" s="187"/>
      <c r="F418" s="194">
        <v>5</v>
      </c>
      <c r="G418" s="192"/>
      <c r="H418" s="207"/>
      <c r="I418" s="192"/>
      <c r="J418" s="208"/>
    </row>
    <row r="419" spans="1:10" ht="15.6">
      <c r="A419" s="191"/>
      <c r="B419" s="194"/>
      <c r="C419" s="194"/>
      <c r="D419" s="194"/>
      <c r="E419" s="194"/>
      <c r="F419" s="194"/>
      <c r="G419" s="194"/>
      <c r="H419" s="194"/>
      <c r="I419" s="194"/>
      <c r="J419" s="208"/>
    </row>
    <row r="420" spans="1:10" ht="15.6">
      <c r="A420" s="191" t="s">
        <v>1109</v>
      </c>
      <c r="B420" s="192" t="s">
        <v>1110</v>
      </c>
      <c r="C420" s="203"/>
      <c r="D420" s="203"/>
      <c r="E420" s="203"/>
      <c r="F420" s="204" t="s">
        <v>69</v>
      </c>
      <c r="G420" s="204"/>
      <c r="H420" s="205"/>
      <c r="I420" s="204">
        <v>2</v>
      </c>
      <c r="J420" s="208"/>
    </row>
    <row r="421" spans="1:10" ht="15.6">
      <c r="A421" s="191"/>
      <c r="B421" s="211" t="s">
        <v>981</v>
      </c>
      <c r="C421" s="194"/>
      <c r="D421" s="194"/>
      <c r="E421" s="194"/>
      <c r="F421" s="194">
        <v>6</v>
      </c>
      <c r="G421" s="197">
        <f>F421*G420</f>
        <v>0</v>
      </c>
      <c r="H421" s="198">
        <f>F421*H420</f>
        <v>0</v>
      </c>
      <c r="I421" s="197">
        <f>F421*I420</f>
        <v>12</v>
      </c>
      <c r="J421" s="208"/>
    </row>
    <row r="422" spans="1:10" ht="15.6">
      <c r="A422" s="191"/>
      <c r="B422" s="186" t="s">
        <v>982</v>
      </c>
      <c r="C422" s="194"/>
      <c r="D422" s="194"/>
      <c r="E422" s="194"/>
      <c r="F422" s="194"/>
      <c r="G422" s="204"/>
      <c r="H422" s="205"/>
      <c r="I422" s="204"/>
      <c r="J422" s="208"/>
    </row>
    <row r="423" spans="1:10" ht="15.6">
      <c r="A423" s="191"/>
      <c r="B423" s="186" t="s">
        <v>983</v>
      </c>
      <c r="C423" s="194"/>
      <c r="D423" s="194"/>
      <c r="E423" s="194"/>
      <c r="F423" s="194"/>
      <c r="G423" s="204"/>
      <c r="H423" s="205"/>
      <c r="I423" s="204"/>
      <c r="J423" s="208"/>
    </row>
    <row r="424" spans="1:10" ht="15.6">
      <c r="A424" s="191"/>
      <c r="B424" s="186"/>
      <c r="C424" s="203"/>
      <c r="D424" s="203"/>
      <c r="E424" s="203"/>
      <c r="F424" s="204"/>
      <c r="G424" s="192"/>
      <c r="H424" s="207"/>
      <c r="I424" s="192"/>
      <c r="J424" s="208"/>
    </row>
    <row r="425" spans="1:10" ht="15.6">
      <c r="A425" s="191"/>
      <c r="B425" s="186" t="s">
        <v>927</v>
      </c>
      <c r="C425" s="187"/>
      <c r="D425" s="187"/>
      <c r="E425" s="187"/>
      <c r="F425" s="184"/>
      <c r="G425" s="192"/>
      <c r="H425" s="207"/>
      <c r="I425" s="192"/>
      <c r="J425" s="208"/>
    </row>
    <row r="426" spans="1:10" ht="15.6">
      <c r="A426" s="191"/>
      <c r="B426" s="186" t="s">
        <v>1111</v>
      </c>
      <c r="C426" s="193"/>
      <c r="D426" s="193"/>
      <c r="E426" s="187"/>
      <c r="F426" s="194">
        <v>6</v>
      </c>
      <c r="G426" s="192"/>
      <c r="H426" s="207"/>
      <c r="I426" s="192"/>
      <c r="J426" s="208"/>
    </row>
    <row r="427" spans="1:10" ht="15.6">
      <c r="A427" s="191"/>
      <c r="B427" s="209"/>
      <c r="C427" s="194"/>
      <c r="D427" s="194"/>
      <c r="E427" s="194"/>
      <c r="F427" s="194"/>
      <c r="G427" s="197"/>
      <c r="H427" s="198"/>
      <c r="I427" s="197"/>
      <c r="J427" s="208"/>
    </row>
    <row r="428" spans="1:10" ht="15.6">
      <c r="A428" s="191" t="s">
        <v>1112</v>
      </c>
      <c r="B428" s="197" t="s">
        <v>1113</v>
      </c>
      <c r="C428" s="194"/>
      <c r="D428" s="194"/>
      <c r="E428" s="194"/>
      <c r="F428" s="194" t="s">
        <v>69</v>
      </c>
      <c r="G428" s="194"/>
      <c r="H428" s="195"/>
      <c r="I428" s="194">
        <v>1.9</v>
      </c>
      <c r="J428" s="208"/>
    </row>
    <row r="429" spans="2:10" ht="15.6">
      <c r="B429" s="186" t="s">
        <v>987</v>
      </c>
      <c r="C429" s="208"/>
      <c r="D429" s="208"/>
      <c r="E429" s="208"/>
      <c r="F429" s="194">
        <v>4</v>
      </c>
      <c r="G429" s="197">
        <f>F429*G428</f>
        <v>0</v>
      </c>
      <c r="H429" s="198">
        <f>F429*H428</f>
        <v>0</v>
      </c>
      <c r="I429" s="197">
        <f>F429*I428</f>
        <v>7.6</v>
      </c>
      <c r="J429" s="208"/>
    </row>
    <row r="430" spans="2:10" ht="15.6">
      <c r="B430" s="186" t="s">
        <v>988</v>
      </c>
      <c r="C430" s="194"/>
      <c r="D430" s="194"/>
      <c r="E430" s="194"/>
      <c r="F430" s="194"/>
      <c r="G430" s="197"/>
      <c r="H430" s="198"/>
      <c r="I430" s="197"/>
      <c r="J430" s="208"/>
    </row>
    <row r="431" spans="2:10" ht="15.6">
      <c r="B431" s="211" t="s">
        <v>989</v>
      </c>
      <c r="C431" s="194"/>
      <c r="D431" s="194"/>
      <c r="E431" s="194"/>
      <c r="F431" s="194"/>
      <c r="G431" s="197"/>
      <c r="H431" s="198"/>
      <c r="I431" s="197"/>
      <c r="J431" s="208"/>
    </row>
    <row r="432" spans="2:10" ht="15.6">
      <c r="B432" s="186"/>
      <c r="C432" s="194"/>
      <c r="D432" s="194"/>
      <c r="E432" s="194"/>
      <c r="F432" s="194"/>
      <c r="G432" s="197"/>
      <c r="H432" s="198"/>
      <c r="I432" s="197"/>
      <c r="J432" s="208"/>
    </row>
    <row r="433" spans="2:10" ht="15.6">
      <c r="B433" s="186" t="s">
        <v>927</v>
      </c>
      <c r="C433" s="187"/>
      <c r="D433" s="187"/>
      <c r="E433" s="187"/>
      <c r="F433" s="184"/>
      <c r="G433" s="197"/>
      <c r="H433" s="198"/>
      <c r="I433" s="197"/>
      <c r="J433" s="208"/>
    </row>
    <row r="434" spans="2:10" ht="15.6">
      <c r="B434" s="186" t="s">
        <v>1114</v>
      </c>
      <c r="C434" s="193"/>
      <c r="D434" s="193"/>
      <c r="E434" s="187"/>
      <c r="F434" s="194">
        <v>4</v>
      </c>
      <c r="G434" s="197"/>
      <c r="H434" s="198"/>
      <c r="I434" s="197"/>
      <c r="J434" s="208"/>
    </row>
    <row r="435" spans="2:10" ht="15.6">
      <c r="B435" s="217"/>
      <c r="C435" s="194"/>
      <c r="D435" s="194"/>
      <c r="E435" s="194"/>
      <c r="F435" s="194"/>
      <c r="G435" s="197"/>
      <c r="H435" s="198"/>
      <c r="I435" s="197"/>
      <c r="J435" s="208"/>
    </row>
    <row r="436" spans="1:10" ht="15.6">
      <c r="A436" s="191" t="s">
        <v>1115</v>
      </c>
      <c r="B436" s="192" t="s">
        <v>1116</v>
      </c>
      <c r="C436" s="203"/>
      <c r="D436" s="203"/>
      <c r="E436" s="203"/>
      <c r="F436" s="204" t="s">
        <v>217</v>
      </c>
      <c r="G436" s="204"/>
      <c r="H436" s="205"/>
      <c r="I436" s="204">
        <v>0.6</v>
      </c>
      <c r="J436" s="208"/>
    </row>
    <row r="437" spans="2:10" ht="15.6">
      <c r="B437" s="186" t="s">
        <v>987</v>
      </c>
      <c r="C437" s="208"/>
      <c r="D437" s="208"/>
      <c r="E437" s="208"/>
      <c r="F437" s="204">
        <v>1</v>
      </c>
      <c r="G437" s="192">
        <f>F437*G436</f>
        <v>0</v>
      </c>
      <c r="H437" s="207">
        <f>F437*H436</f>
        <v>0</v>
      </c>
      <c r="I437" s="192">
        <f>F437*I436</f>
        <v>0.6</v>
      </c>
      <c r="J437" s="208"/>
    </row>
    <row r="438" spans="2:10" ht="15.6">
      <c r="B438" s="186" t="s">
        <v>988</v>
      </c>
      <c r="C438" s="194"/>
      <c r="D438" s="194"/>
      <c r="E438" s="194"/>
      <c r="F438" s="204"/>
      <c r="G438" s="192"/>
      <c r="H438" s="207"/>
      <c r="I438" s="192"/>
      <c r="J438" s="208"/>
    </row>
    <row r="439" spans="2:10" ht="15.6">
      <c r="B439" s="211" t="s">
        <v>989</v>
      </c>
      <c r="C439" s="194"/>
      <c r="D439" s="194"/>
      <c r="E439" s="194"/>
      <c r="F439" s="204"/>
      <c r="G439" s="192"/>
      <c r="H439" s="207"/>
      <c r="I439" s="192"/>
      <c r="J439" s="208"/>
    </row>
    <row r="440" spans="2:10" ht="15.6">
      <c r="B440" s="186"/>
      <c r="C440" s="208"/>
      <c r="D440" s="208"/>
      <c r="E440" s="208"/>
      <c r="F440" s="204"/>
      <c r="G440" s="192"/>
      <c r="H440" s="207"/>
      <c r="I440" s="192"/>
      <c r="J440" s="208"/>
    </row>
    <row r="441" spans="2:10" ht="15.6">
      <c r="B441" s="186" t="s">
        <v>927</v>
      </c>
      <c r="C441" s="187"/>
      <c r="D441" s="187"/>
      <c r="E441" s="187"/>
      <c r="F441" s="184"/>
      <c r="G441" s="192"/>
      <c r="H441" s="207"/>
      <c r="I441" s="192"/>
      <c r="J441" s="208"/>
    </row>
    <row r="442" spans="2:10" ht="15.6">
      <c r="B442" s="186" t="s">
        <v>1117</v>
      </c>
      <c r="C442" s="193"/>
      <c r="D442" s="193"/>
      <c r="E442" s="187"/>
      <c r="F442" s="194">
        <v>1</v>
      </c>
      <c r="G442" s="192"/>
      <c r="H442" s="207"/>
      <c r="I442" s="192"/>
      <c r="J442" s="208"/>
    </row>
    <row r="443" spans="2:10" ht="15.6">
      <c r="B443" s="186"/>
      <c r="C443" s="193"/>
      <c r="D443" s="193"/>
      <c r="E443" s="187"/>
      <c r="F443" s="194"/>
      <c r="G443" s="192"/>
      <c r="H443" s="207"/>
      <c r="I443" s="192"/>
      <c r="J443" s="208"/>
    </row>
    <row r="444" spans="1:10" ht="15.6">
      <c r="A444" s="191" t="s">
        <v>1118</v>
      </c>
      <c r="B444" s="192" t="s">
        <v>1119</v>
      </c>
      <c r="C444" s="203"/>
      <c r="D444" s="203"/>
      <c r="E444" s="203"/>
      <c r="F444" s="204" t="s">
        <v>69</v>
      </c>
      <c r="G444" s="194"/>
      <c r="H444" s="195"/>
      <c r="I444" s="194">
        <v>2.1</v>
      </c>
      <c r="J444" s="208"/>
    </row>
    <row r="445" spans="2:10" ht="15.6">
      <c r="B445" s="186" t="s">
        <v>987</v>
      </c>
      <c r="C445" s="208"/>
      <c r="D445" s="208"/>
      <c r="E445" s="208"/>
      <c r="F445" s="204">
        <v>16</v>
      </c>
      <c r="G445" s="197">
        <f>F445*G444</f>
        <v>0</v>
      </c>
      <c r="H445" s="198">
        <f>F445*H444</f>
        <v>0</v>
      </c>
      <c r="I445" s="197">
        <f>F445*I444</f>
        <v>33.6</v>
      </c>
      <c r="J445" s="208"/>
    </row>
    <row r="446" spans="2:10" ht="15.6">
      <c r="B446" s="186" t="s">
        <v>988</v>
      </c>
      <c r="C446" s="194"/>
      <c r="D446" s="194"/>
      <c r="E446" s="194"/>
      <c r="F446" s="204"/>
      <c r="G446" s="197"/>
      <c r="H446" s="198"/>
      <c r="I446" s="197"/>
      <c r="J446" s="208"/>
    </row>
    <row r="447" spans="2:10" ht="15.6">
      <c r="B447" s="211" t="s">
        <v>989</v>
      </c>
      <c r="C447" s="194"/>
      <c r="D447" s="194"/>
      <c r="E447" s="194"/>
      <c r="F447" s="204"/>
      <c r="G447" s="197"/>
      <c r="H447" s="198"/>
      <c r="I447" s="197"/>
      <c r="J447" s="208"/>
    </row>
    <row r="448" spans="2:10" ht="15.6">
      <c r="B448" s="211" t="s">
        <v>1120</v>
      </c>
      <c r="C448" s="194"/>
      <c r="D448" s="194"/>
      <c r="E448" s="194"/>
      <c r="F448" s="204"/>
      <c r="G448" s="197"/>
      <c r="H448" s="198"/>
      <c r="I448" s="197"/>
      <c r="J448" s="208"/>
    </row>
    <row r="449" spans="2:10" ht="15.6">
      <c r="B449" s="186"/>
      <c r="C449" s="208"/>
      <c r="D449" s="208"/>
      <c r="E449" s="208"/>
      <c r="F449" s="204"/>
      <c r="G449" s="197"/>
      <c r="H449" s="198"/>
      <c r="I449" s="197"/>
      <c r="J449" s="208"/>
    </row>
    <row r="450" spans="2:10" ht="15.6">
      <c r="B450" s="186" t="s">
        <v>927</v>
      </c>
      <c r="C450" s="187"/>
      <c r="D450" s="187"/>
      <c r="E450" s="187"/>
      <c r="F450" s="184"/>
      <c r="G450" s="197"/>
      <c r="H450" s="198"/>
      <c r="I450" s="197"/>
      <c r="J450" s="208"/>
    </row>
    <row r="451" spans="2:10" ht="15.6">
      <c r="B451" s="186" t="s">
        <v>1121</v>
      </c>
      <c r="C451" s="193"/>
      <c r="D451" s="193"/>
      <c r="E451" s="187"/>
      <c r="F451" s="194">
        <v>16</v>
      </c>
      <c r="G451" s="197"/>
      <c r="H451" s="198"/>
      <c r="I451" s="197"/>
      <c r="J451" s="208"/>
    </row>
    <row r="452" ht="15.6">
      <c r="J452" s="208"/>
    </row>
    <row r="453" spans="1:10" ht="15.6">
      <c r="A453" s="191" t="s">
        <v>1122</v>
      </c>
      <c r="B453" s="197" t="s">
        <v>1123</v>
      </c>
      <c r="C453" s="194"/>
      <c r="D453" s="194"/>
      <c r="E453" s="194"/>
      <c r="F453" s="194" t="s">
        <v>217</v>
      </c>
      <c r="G453" s="194"/>
      <c r="H453" s="205"/>
      <c r="I453" s="194">
        <v>0.7</v>
      </c>
      <c r="J453" s="208"/>
    </row>
    <row r="454" spans="2:10" ht="15.6">
      <c r="B454" s="186" t="s">
        <v>987</v>
      </c>
      <c r="C454" s="208"/>
      <c r="D454" s="208"/>
      <c r="E454" s="208"/>
      <c r="F454" s="194">
        <v>7</v>
      </c>
      <c r="G454" s="192">
        <f>F454*G453</f>
        <v>0</v>
      </c>
      <c r="H454" s="207">
        <f>F454*H453</f>
        <v>0</v>
      </c>
      <c r="I454" s="192">
        <f>F454*I453</f>
        <v>4.8999999999999995</v>
      </c>
      <c r="J454" s="208"/>
    </row>
    <row r="455" spans="2:10" ht="15.6">
      <c r="B455" s="186" t="s">
        <v>988</v>
      </c>
      <c r="C455" s="194"/>
      <c r="D455" s="194"/>
      <c r="E455" s="194"/>
      <c r="F455" s="194"/>
      <c r="G455" s="192"/>
      <c r="H455" s="207"/>
      <c r="I455" s="192"/>
      <c r="J455" s="208"/>
    </row>
    <row r="456" spans="2:10" ht="15.6">
      <c r="B456" s="211" t="s">
        <v>989</v>
      </c>
      <c r="C456" s="194"/>
      <c r="D456" s="194"/>
      <c r="E456" s="194"/>
      <c r="F456" s="194"/>
      <c r="G456" s="192"/>
      <c r="H456" s="207"/>
      <c r="I456" s="192"/>
      <c r="J456" s="208"/>
    </row>
    <row r="457" spans="2:10" ht="15.6">
      <c r="B457" s="186"/>
      <c r="C457" s="194"/>
      <c r="D457" s="194"/>
      <c r="E457" s="194"/>
      <c r="F457" s="194"/>
      <c r="G457" s="192"/>
      <c r="H457" s="207"/>
      <c r="I457" s="192"/>
      <c r="J457" s="208"/>
    </row>
    <row r="458" spans="2:10" ht="15.6">
      <c r="B458" s="186" t="s">
        <v>927</v>
      </c>
      <c r="C458" s="187"/>
      <c r="D458" s="187"/>
      <c r="E458" s="187"/>
      <c r="F458" s="184"/>
      <c r="G458" s="192"/>
      <c r="H458" s="207"/>
      <c r="I458" s="192"/>
      <c r="J458" s="208"/>
    </row>
    <row r="459" spans="2:10" ht="15.6">
      <c r="B459" s="186" t="s">
        <v>1124</v>
      </c>
      <c r="C459" s="193"/>
      <c r="D459" s="193"/>
      <c r="E459" s="187"/>
      <c r="F459" s="194">
        <v>7</v>
      </c>
      <c r="G459" s="192"/>
      <c r="H459" s="207"/>
      <c r="I459" s="192"/>
      <c r="J459" s="208"/>
    </row>
    <row r="460" spans="2:10" ht="15.6">
      <c r="B460" s="186"/>
      <c r="C460" s="208"/>
      <c r="D460" s="208"/>
      <c r="E460" s="208"/>
      <c r="F460" s="204"/>
      <c r="G460" s="192"/>
      <c r="H460" s="207"/>
      <c r="I460" s="192"/>
      <c r="J460" s="208"/>
    </row>
    <row r="461" spans="1:10" ht="15.6">
      <c r="A461" s="191" t="s">
        <v>1125</v>
      </c>
      <c r="B461" s="192" t="s">
        <v>1126</v>
      </c>
      <c r="C461" s="203"/>
      <c r="D461" s="203"/>
      <c r="E461" s="203"/>
      <c r="F461" s="204" t="s">
        <v>217</v>
      </c>
      <c r="G461" s="204"/>
      <c r="H461" s="205"/>
      <c r="I461" s="204">
        <v>0.3</v>
      </c>
      <c r="J461" s="208"/>
    </row>
    <row r="462" spans="2:10" ht="15.6">
      <c r="B462" s="186" t="s">
        <v>987</v>
      </c>
      <c r="C462" s="208"/>
      <c r="D462" s="208"/>
      <c r="E462" s="208"/>
      <c r="F462" s="204">
        <v>2</v>
      </c>
      <c r="G462" s="192">
        <f>F462*G461</f>
        <v>0</v>
      </c>
      <c r="H462" s="207">
        <f>F462*H461</f>
        <v>0</v>
      </c>
      <c r="I462" s="192">
        <f>F462*I461</f>
        <v>0.6</v>
      </c>
      <c r="J462" s="208"/>
    </row>
    <row r="463" spans="2:10" ht="15.6">
      <c r="B463" s="186" t="s">
        <v>988</v>
      </c>
      <c r="C463" s="194"/>
      <c r="D463" s="194"/>
      <c r="E463" s="194"/>
      <c r="F463" s="204"/>
      <c r="G463" s="192"/>
      <c r="H463" s="207"/>
      <c r="I463" s="192"/>
      <c r="J463" s="208"/>
    </row>
    <row r="464" spans="2:10" ht="15.6">
      <c r="B464" s="211" t="s">
        <v>989</v>
      </c>
      <c r="C464" s="194"/>
      <c r="D464" s="194"/>
      <c r="E464" s="194"/>
      <c r="F464" s="204"/>
      <c r="G464" s="192"/>
      <c r="H464" s="207"/>
      <c r="I464" s="192"/>
      <c r="J464" s="208"/>
    </row>
    <row r="465" spans="2:10" ht="15.6">
      <c r="B465" s="186"/>
      <c r="C465" s="208"/>
      <c r="D465" s="208"/>
      <c r="E465" s="208"/>
      <c r="F465" s="204"/>
      <c r="G465" s="192"/>
      <c r="H465" s="207"/>
      <c r="I465" s="192"/>
      <c r="J465" s="208"/>
    </row>
    <row r="466" spans="2:10" ht="15.6">
      <c r="B466" s="186" t="s">
        <v>927</v>
      </c>
      <c r="C466" s="187"/>
      <c r="D466" s="187"/>
      <c r="E466" s="187"/>
      <c r="F466" s="184"/>
      <c r="G466" s="192"/>
      <c r="H466" s="207"/>
      <c r="I466" s="192"/>
      <c r="J466" s="208"/>
    </row>
    <row r="467" spans="2:10" ht="15.6">
      <c r="B467" s="186" t="s">
        <v>1127</v>
      </c>
      <c r="C467" s="193"/>
      <c r="D467" s="193"/>
      <c r="E467" s="187"/>
      <c r="F467" s="194">
        <v>2</v>
      </c>
      <c r="G467" s="192"/>
      <c r="H467" s="207"/>
      <c r="I467" s="192"/>
      <c r="J467" s="208"/>
    </row>
    <row r="468" spans="2:10" ht="15.6">
      <c r="B468" s="186"/>
      <c r="C468" s="215"/>
      <c r="D468" s="215"/>
      <c r="E468" s="208"/>
      <c r="F468" s="204"/>
      <c r="G468" s="192"/>
      <c r="H468" s="207"/>
      <c r="I468" s="192"/>
      <c r="J468" s="208"/>
    </row>
    <row r="469" spans="1:10" ht="15.6">
      <c r="A469" s="191" t="s">
        <v>1128</v>
      </c>
      <c r="B469" s="192" t="s">
        <v>1129</v>
      </c>
      <c r="C469" s="203"/>
      <c r="D469" s="203"/>
      <c r="E469" s="203"/>
      <c r="F469" s="204" t="s">
        <v>217</v>
      </c>
      <c r="G469" s="204"/>
      <c r="H469" s="205"/>
      <c r="I469" s="204">
        <v>1</v>
      </c>
      <c r="J469" s="208"/>
    </row>
    <row r="470" spans="1:10" ht="15.6">
      <c r="A470" t="s">
        <v>1130</v>
      </c>
      <c r="B470" s="186" t="s">
        <v>987</v>
      </c>
      <c r="C470" s="208"/>
      <c r="D470" s="208"/>
      <c r="E470" s="208"/>
      <c r="F470" s="204">
        <v>2</v>
      </c>
      <c r="G470" s="192">
        <f>F470*G469</f>
        <v>0</v>
      </c>
      <c r="H470" s="207">
        <f>F470*H469</f>
        <v>0</v>
      </c>
      <c r="I470" s="192">
        <f>F470*I469</f>
        <v>2</v>
      </c>
      <c r="J470" s="208"/>
    </row>
    <row r="471" spans="2:10" ht="15.6">
      <c r="B471" s="186" t="s">
        <v>988</v>
      </c>
      <c r="C471" s="194"/>
      <c r="D471" s="194"/>
      <c r="E471" s="194"/>
      <c r="F471" s="204"/>
      <c r="G471" s="192"/>
      <c r="H471" s="207"/>
      <c r="I471" s="192"/>
      <c r="J471" s="208"/>
    </row>
    <row r="472" spans="2:10" ht="15.6">
      <c r="B472" s="211" t="s">
        <v>989</v>
      </c>
      <c r="C472" s="194"/>
      <c r="D472" s="194"/>
      <c r="E472" s="194"/>
      <c r="F472" s="204"/>
      <c r="G472" s="192"/>
      <c r="H472" s="207"/>
      <c r="I472" s="192"/>
      <c r="J472" s="208"/>
    </row>
    <row r="473" spans="2:10" ht="15.6">
      <c r="B473" s="186"/>
      <c r="C473" s="208"/>
      <c r="D473" s="208"/>
      <c r="E473" s="208"/>
      <c r="F473" s="204"/>
      <c r="G473" s="192"/>
      <c r="H473" s="207"/>
      <c r="I473" s="192"/>
      <c r="J473" s="208"/>
    </row>
    <row r="474" spans="2:10" ht="15.6">
      <c r="B474" s="186" t="s">
        <v>927</v>
      </c>
      <c r="C474" s="187"/>
      <c r="D474" s="187"/>
      <c r="E474" s="187"/>
      <c r="F474" s="184"/>
      <c r="G474" s="192"/>
      <c r="H474" s="207"/>
      <c r="I474" s="192"/>
      <c r="J474" s="208"/>
    </row>
    <row r="475" spans="2:10" ht="15.6">
      <c r="B475" s="186" t="s">
        <v>1127</v>
      </c>
      <c r="C475" s="193"/>
      <c r="D475" s="193"/>
      <c r="E475" s="187"/>
      <c r="F475" s="194">
        <v>2</v>
      </c>
      <c r="G475" s="192"/>
      <c r="H475" s="207"/>
      <c r="I475" s="192"/>
      <c r="J475" s="208"/>
    </row>
    <row r="476" spans="2:10" ht="15.6">
      <c r="B476" s="186"/>
      <c r="C476" s="193"/>
      <c r="D476" s="193"/>
      <c r="E476" s="187"/>
      <c r="F476" s="194"/>
      <c r="G476" s="192"/>
      <c r="H476" s="207"/>
      <c r="I476" s="192"/>
      <c r="J476" s="208"/>
    </row>
    <row r="477" spans="1:10" ht="15.6">
      <c r="A477" s="191" t="s">
        <v>1131</v>
      </c>
      <c r="B477" s="192" t="s">
        <v>1132</v>
      </c>
      <c r="C477" s="203"/>
      <c r="D477" s="203"/>
      <c r="E477" s="203"/>
      <c r="F477" s="204" t="s">
        <v>217</v>
      </c>
      <c r="G477" s="204"/>
      <c r="H477" s="205"/>
      <c r="I477" s="204">
        <v>1</v>
      </c>
      <c r="J477" s="208"/>
    </row>
    <row r="478" spans="1:10" ht="15.6">
      <c r="A478" t="s">
        <v>1130</v>
      </c>
      <c r="B478" s="186" t="s">
        <v>987</v>
      </c>
      <c r="C478" s="208"/>
      <c r="D478" s="208"/>
      <c r="E478" s="208"/>
      <c r="F478" s="204">
        <v>1</v>
      </c>
      <c r="G478" s="192">
        <f>F478*G477</f>
        <v>0</v>
      </c>
      <c r="H478" s="207">
        <f>F478*H477</f>
        <v>0</v>
      </c>
      <c r="I478" s="192">
        <f>F478*I477</f>
        <v>1</v>
      </c>
      <c r="J478" s="208"/>
    </row>
    <row r="479" spans="2:10" ht="15.6">
      <c r="B479" s="186" t="s">
        <v>988</v>
      </c>
      <c r="C479" s="194"/>
      <c r="D479" s="194"/>
      <c r="E479" s="194"/>
      <c r="F479" s="204"/>
      <c r="G479" s="192"/>
      <c r="H479" s="207"/>
      <c r="I479" s="192"/>
      <c r="J479" s="208"/>
    </row>
    <row r="480" spans="2:10" ht="15.6">
      <c r="B480" s="211" t="s">
        <v>989</v>
      </c>
      <c r="C480" s="194"/>
      <c r="D480" s="194"/>
      <c r="E480" s="194"/>
      <c r="F480" s="204"/>
      <c r="G480" s="192"/>
      <c r="H480" s="207"/>
      <c r="I480" s="192"/>
      <c r="J480" s="208"/>
    </row>
    <row r="481" spans="2:10" ht="15.6">
      <c r="B481" s="186"/>
      <c r="C481" s="208"/>
      <c r="D481" s="208"/>
      <c r="E481" s="208"/>
      <c r="F481" s="204"/>
      <c r="G481" s="192"/>
      <c r="H481" s="207"/>
      <c r="I481" s="192"/>
      <c r="J481" s="208"/>
    </row>
    <row r="482" spans="2:10" ht="15.6">
      <c r="B482" s="186" t="s">
        <v>927</v>
      </c>
      <c r="C482" s="187"/>
      <c r="D482" s="187"/>
      <c r="E482" s="187"/>
      <c r="F482" s="184"/>
      <c r="G482" s="192"/>
      <c r="H482" s="207"/>
      <c r="I482" s="192"/>
      <c r="J482" s="208"/>
    </row>
    <row r="483" spans="2:10" ht="15.6">
      <c r="B483" s="186" t="s">
        <v>1133</v>
      </c>
      <c r="C483" s="193"/>
      <c r="D483" s="193"/>
      <c r="E483" s="187"/>
      <c r="F483" s="194">
        <v>1</v>
      </c>
      <c r="G483" s="192"/>
      <c r="H483" s="207"/>
      <c r="I483" s="192"/>
      <c r="J483" s="208"/>
    </row>
    <row r="484" spans="2:10" ht="15.6">
      <c r="B484" s="186"/>
      <c r="C484" s="193"/>
      <c r="D484" s="193"/>
      <c r="E484" s="187"/>
      <c r="F484" s="194"/>
      <c r="G484" s="192"/>
      <c r="H484" s="207"/>
      <c r="I484" s="192"/>
      <c r="J484" s="208"/>
    </row>
    <row r="485" spans="1:10" ht="15.6">
      <c r="A485" s="191" t="s">
        <v>1134</v>
      </c>
      <c r="B485" s="192" t="s">
        <v>1135</v>
      </c>
      <c r="C485" s="203"/>
      <c r="D485" s="203"/>
      <c r="E485" s="203"/>
      <c r="F485" s="204" t="s">
        <v>69</v>
      </c>
      <c r="G485" s="204"/>
      <c r="H485" s="205"/>
      <c r="I485" s="204">
        <v>3.4</v>
      </c>
      <c r="J485" s="208"/>
    </row>
    <row r="486" spans="2:10" ht="15.6">
      <c r="B486" s="186" t="s">
        <v>987</v>
      </c>
      <c r="C486" s="208"/>
      <c r="D486" s="208"/>
      <c r="E486" s="208"/>
      <c r="F486" s="204">
        <v>1</v>
      </c>
      <c r="G486" s="192">
        <f>F486*G485</f>
        <v>0</v>
      </c>
      <c r="H486" s="207">
        <f>F486*H485</f>
        <v>0</v>
      </c>
      <c r="I486" s="192">
        <f>F486*I485</f>
        <v>3.4</v>
      </c>
      <c r="J486" s="208"/>
    </row>
    <row r="487" spans="2:10" ht="15.6">
      <c r="B487" s="186" t="s">
        <v>988</v>
      </c>
      <c r="C487" s="194"/>
      <c r="D487" s="194"/>
      <c r="E487" s="194"/>
      <c r="F487" s="194"/>
      <c r="G487" s="192"/>
      <c r="H487" s="207"/>
      <c r="I487" s="192"/>
      <c r="J487" s="208"/>
    </row>
    <row r="488" spans="2:10" ht="15.6">
      <c r="B488" s="211" t="s">
        <v>989</v>
      </c>
      <c r="C488" s="194"/>
      <c r="D488" s="194"/>
      <c r="E488" s="194"/>
      <c r="F488" s="194"/>
      <c r="G488" s="192"/>
      <c r="H488" s="207"/>
      <c r="I488" s="192"/>
      <c r="J488" s="208"/>
    </row>
    <row r="489" spans="2:10" ht="15.6">
      <c r="B489" s="186"/>
      <c r="C489" s="194"/>
      <c r="D489" s="194"/>
      <c r="E489" s="194"/>
      <c r="F489" s="194"/>
      <c r="G489" s="192"/>
      <c r="H489" s="207"/>
      <c r="I489" s="192"/>
      <c r="J489" s="208"/>
    </row>
    <row r="490" spans="2:10" ht="15.6">
      <c r="B490" s="186" t="s">
        <v>927</v>
      </c>
      <c r="C490" s="187"/>
      <c r="D490" s="187"/>
      <c r="E490" s="187"/>
      <c r="F490" s="194"/>
      <c r="G490" s="192"/>
      <c r="H490" s="207"/>
      <c r="I490" s="192"/>
      <c r="J490" s="208"/>
    </row>
    <row r="491" spans="2:10" ht="15.6">
      <c r="B491" s="186" t="s">
        <v>1136</v>
      </c>
      <c r="C491" s="193"/>
      <c r="D491" s="193"/>
      <c r="E491" s="187"/>
      <c r="F491" s="194">
        <v>1</v>
      </c>
      <c r="G491" s="192"/>
      <c r="H491" s="207"/>
      <c r="I491" s="192"/>
      <c r="J491" s="208"/>
    </row>
    <row r="492" spans="2:10" ht="15.6">
      <c r="B492" s="186"/>
      <c r="C492" s="193"/>
      <c r="D492" s="193"/>
      <c r="E492" s="187"/>
      <c r="F492" s="194"/>
      <c r="G492" s="192"/>
      <c r="H492" s="207"/>
      <c r="I492" s="192"/>
      <c r="J492" s="208"/>
    </row>
    <row r="493" spans="1:10" ht="15.6">
      <c r="A493" s="191" t="s">
        <v>1137</v>
      </c>
      <c r="B493" s="192" t="s">
        <v>1138</v>
      </c>
      <c r="C493" s="203"/>
      <c r="D493" s="203"/>
      <c r="E493" s="203"/>
      <c r="F493" s="204" t="s">
        <v>217</v>
      </c>
      <c r="G493" s="204"/>
      <c r="H493" s="205"/>
      <c r="I493" s="204">
        <v>1.4</v>
      </c>
      <c r="J493" s="208"/>
    </row>
    <row r="494" spans="2:10" ht="15.6">
      <c r="B494" s="186" t="s">
        <v>987</v>
      </c>
      <c r="C494" s="208"/>
      <c r="D494" s="208"/>
      <c r="E494" s="208"/>
      <c r="F494" s="204">
        <v>1</v>
      </c>
      <c r="G494" s="192">
        <f>F494*G493</f>
        <v>0</v>
      </c>
      <c r="H494" s="207">
        <f>F494*H493</f>
        <v>0</v>
      </c>
      <c r="I494" s="192">
        <f>F494*I493</f>
        <v>1.4</v>
      </c>
      <c r="J494" s="208"/>
    </row>
    <row r="495" spans="2:10" ht="15.6">
      <c r="B495" s="186" t="s">
        <v>988</v>
      </c>
      <c r="C495" s="194"/>
      <c r="D495" s="194"/>
      <c r="E495" s="194"/>
      <c r="F495" s="204"/>
      <c r="G495" s="192"/>
      <c r="H495" s="207"/>
      <c r="I495" s="192"/>
      <c r="J495" s="208"/>
    </row>
    <row r="496" spans="2:10" ht="15.6">
      <c r="B496" s="211" t="s">
        <v>989</v>
      </c>
      <c r="C496" s="194"/>
      <c r="D496" s="194"/>
      <c r="E496" s="194"/>
      <c r="F496" s="204"/>
      <c r="G496" s="192"/>
      <c r="H496" s="207"/>
      <c r="I496" s="192"/>
      <c r="J496" s="208"/>
    </row>
    <row r="497" spans="2:10" ht="15.6">
      <c r="B497" s="186"/>
      <c r="C497" s="208"/>
      <c r="D497" s="208"/>
      <c r="E497" s="208"/>
      <c r="F497" s="204"/>
      <c r="G497" s="192"/>
      <c r="H497" s="207"/>
      <c r="I497" s="192"/>
      <c r="J497" s="208"/>
    </row>
    <row r="498" spans="2:10" ht="15.6">
      <c r="B498" s="186" t="s">
        <v>927</v>
      </c>
      <c r="C498" s="187"/>
      <c r="D498" s="187"/>
      <c r="E498" s="187"/>
      <c r="F498" s="184"/>
      <c r="G498" s="192"/>
      <c r="H498" s="207"/>
      <c r="I498" s="192"/>
      <c r="J498" s="208"/>
    </row>
    <row r="499" spans="2:10" ht="15.6">
      <c r="B499" s="186" t="s">
        <v>1139</v>
      </c>
      <c r="C499" s="193"/>
      <c r="D499" s="193"/>
      <c r="E499" s="187"/>
      <c r="F499" s="194">
        <v>1</v>
      </c>
      <c r="G499" s="192"/>
      <c r="H499" s="207"/>
      <c r="I499" s="192"/>
      <c r="J499" s="208"/>
    </row>
    <row r="500" spans="2:10" ht="15.6">
      <c r="B500" s="186"/>
      <c r="C500" s="193"/>
      <c r="D500" s="193"/>
      <c r="E500" s="187"/>
      <c r="F500" s="194"/>
      <c r="G500" s="192"/>
      <c r="H500" s="207"/>
      <c r="I500" s="192"/>
      <c r="J500" s="208"/>
    </row>
    <row r="501" spans="1:10" ht="15.6">
      <c r="A501" s="191" t="s">
        <v>1140</v>
      </c>
      <c r="B501" s="192" t="s">
        <v>1141</v>
      </c>
      <c r="C501" s="203"/>
      <c r="D501" s="203"/>
      <c r="E501" s="203"/>
      <c r="F501" s="204" t="s">
        <v>217</v>
      </c>
      <c r="G501" s="204"/>
      <c r="H501" s="205"/>
      <c r="I501" s="204">
        <v>1.2</v>
      </c>
      <c r="J501" s="208"/>
    </row>
    <row r="502" spans="2:10" ht="15.6">
      <c r="B502" s="186" t="s">
        <v>987</v>
      </c>
      <c r="C502" s="208"/>
      <c r="D502" s="208"/>
      <c r="E502" s="208"/>
      <c r="F502" s="204">
        <v>1</v>
      </c>
      <c r="G502" s="192">
        <f>F502*G501</f>
        <v>0</v>
      </c>
      <c r="H502" s="207">
        <f>F502*H501</f>
        <v>0</v>
      </c>
      <c r="I502" s="192">
        <f>F502*I501</f>
        <v>1.2</v>
      </c>
      <c r="J502" s="208"/>
    </row>
    <row r="503" spans="2:10" ht="15.6">
      <c r="B503" s="186" t="s">
        <v>988</v>
      </c>
      <c r="C503" s="194"/>
      <c r="D503" s="194"/>
      <c r="E503" s="194"/>
      <c r="F503" s="204"/>
      <c r="G503" s="192"/>
      <c r="H503" s="207"/>
      <c r="I503" s="192"/>
      <c r="J503" s="208"/>
    </row>
    <row r="504" spans="2:10" ht="15.6">
      <c r="B504" s="211" t="s">
        <v>989</v>
      </c>
      <c r="C504" s="194"/>
      <c r="D504" s="194"/>
      <c r="E504" s="194"/>
      <c r="F504" s="204"/>
      <c r="G504" s="192"/>
      <c r="H504" s="207"/>
      <c r="I504" s="192"/>
      <c r="J504" s="208"/>
    </row>
    <row r="505" spans="2:10" ht="15.6">
      <c r="B505" s="186"/>
      <c r="C505" s="208"/>
      <c r="D505" s="208"/>
      <c r="E505" s="208"/>
      <c r="F505" s="204"/>
      <c r="G505" s="192"/>
      <c r="H505" s="207"/>
      <c r="I505" s="192"/>
      <c r="J505" s="208"/>
    </row>
    <row r="506" spans="2:10" ht="15.6">
      <c r="B506" s="186" t="s">
        <v>927</v>
      </c>
      <c r="C506" s="187"/>
      <c r="D506" s="187"/>
      <c r="E506" s="187"/>
      <c r="F506" s="184"/>
      <c r="G506" s="192"/>
      <c r="H506" s="207"/>
      <c r="I506" s="192"/>
      <c r="J506" s="208"/>
    </row>
    <row r="507" spans="2:10" ht="15.6">
      <c r="B507" s="186" t="s">
        <v>1139</v>
      </c>
      <c r="C507" s="193"/>
      <c r="D507" s="193"/>
      <c r="E507" s="187"/>
      <c r="F507" s="194">
        <v>1</v>
      </c>
      <c r="G507" s="192"/>
      <c r="H507" s="207"/>
      <c r="I507" s="192"/>
      <c r="J507" s="208"/>
    </row>
    <row r="508" spans="2:10" ht="15.6">
      <c r="B508" s="186"/>
      <c r="C508" s="193"/>
      <c r="D508" s="193"/>
      <c r="E508" s="187"/>
      <c r="F508" s="194"/>
      <c r="G508" s="192"/>
      <c r="H508" s="207"/>
      <c r="I508" s="192"/>
      <c r="J508" s="208"/>
    </row>
    <row r="509" spans="1:10" ht="15.6">
      <c r="A509" s="191" t="s">
        <v>1142</v>
      </c>
      <c r="B509" s="192" t="s">
        <v>1143</v>
      </c>
      <c r="C509" s="203"/>
      <c r="D509" s="203"/>
      <c r="E509" s="203"/>
      <c r="F509" s="204" t="s">
        <v>217</v>
      </c>
      <c r="G509" s="204"/>
      <c r="H509" s="205"/>
      <c r="I509" s="204">
        <v>1.6</v>
      </c>
      <c r="J509" s="208"/>
    </row>
    <row r="510" spans="2:10" ht="15.6">
      <c r="B510" s="186" t="s">
        <v>987</v>
      </c>
      <c r="C510" s="208"/>
      <c r="D510" s="208"/>
      <c r="E510" s="208"/>
      <c r="F510" s="204">
        <v>1</v>
      </c>
      <c r="G510" s="192">
        <f>F510*G509</f>
        <v>0</v>
      </c>
      <c r="H510" s="207">
        <f>F510*H509</f>
        <v>0</v>
      </c>
      <c r="I510" s="192">
        <f>F510*I509</f>
        <v>1.6</v>
      </c>
      <c r="J510" s="208"/>
    </row>
    <row r="511" spans="2:10" ht="15.6">
      <c r="B511" s="186" t="s">
        <v>988</v>
      </c>
      <c r="C511" s="194"/>
      <c r="D511" s="194"/>
      <c r="E511" s="194"/>
      <c r="F511" s="204"/>
      <c r="G511" s="192"/>
      <c r="H511" s="207"/>
      <c r="I511" s="192"/>
      <c r="J511" s="208"/>
    </row>
    <row r="512" spans="2:10" ht="15.6">
      <c r="B512" s="211" t="s">
        <v>989</v>
      </c>
      <c r="C512" s="194"/>
      <c r="D512" s="194"/>
      <c r="E512" s="194"/>
      <c r="F512" s="204"/>
      <c r="G512" s="192"/>
      <c r="H512" s="207"/>
      <c r="I512" s="192"/>
      <c r="J512" s="208"/>
    </row>
    <row r="513" spans="2:10" ht="15.6">
      <c r="B513" s="186"/>
      <c r="C513" s="208"/>
      <c r="D513" s="208"/>
      <c r="E513" s="208"/>
      <c r="F513" s="204"/>
      <c r="G513" s="192"/>
      <c r="H513" s="207"/>
      <c r="I513" s="192"/>
      <c r="J513" s="208"/>
    </row>
    <row r="514" spans="2:10" ht="15.6">
      <c r="B514" s="186" t="s">
        <v>927</v>
      </c>
      <c r="C514" s="187"/>
      <c r="D514" s="187"/>
      <c r="E514" s="187"/>
      <c r="F514" s="184"/>
      <c r="G514" s="192"/>
      <c r="H514" s="207"/>
      <c r="I514" s="192"/>
      <c r="J514" s="208"/>
    </row>
    <row r="515" spans="2:10" ht="15.6">
      <c r="B515" s="186" t="s">
        <v>1139</v>
      </c>
      <c r="C515" s="193"/>
      <c r="D515" s="193"/>
      <c r="E515" s="187"/>
      <c r="F515" s="194">
        <v>1</v>
      </c>
      <c r="G515" s="192"/>
      <c r="H515" s="207"/>
      <c r="I515" s="192"/>
      <c r="J515" s="208"/>
    </row>
    <row r="516" spans="2:10" ht="15.6">
      <c r="B516" s="186"/>
      <c r="C516" s="193"/>
      <c r="D516" s="193"/>
      <c r="E516" s="187"/>
      <c r="F516" s="194"/>
      <c r="G516" s="192"/>
      <c r="H516" s="207"/>
      <c r="I516" s="192"/>
      <c r="J516" s="208"/>
    </row>
    <row r="517" spans="1:10" ht="15.6">
      <c r="A517" s="191" t="s">
        <v>1144</v>
      </c>
      <c r="B517" s="192" t="s">
        <v>1145</v>
      </c>
      <c r="C517" s="203"/>
      <c r="D517" s="203"/>
      <c r="E517" s="203"/>
      <c r="F517" s="204" t="s">
        <v>217</v>
      </c>
      <c r="G517" s="204"/>
      <c r="H517" s="205"/>
      <c r="I517" s="204">
        <v>0.8</v>
      </c>
      <c r="J517" s="208"/>
    </row>
    <row r="518" spans="2:10" ht="15.6">
      <c r="B518" s="186" t="s">
        <v>987</v>
      </c>
      <c r="C518" s="208"/>
      <c r="D518" s="208"/>
      <c r="E518" s="208"/>
      <c r="F518" s="204">
        <v>1</v>
      </c>
      <c r="G518" s="192">
        <f>F518*G517</f>
        <v>0</v>
      </c>
      <c r="H518" s="207">
        <f>F518*H517</f>
        <v>0</v>
      </c>
      <c r="I518" s="192">
        <f>F518*I517</f>
        <v>0.8</v>
      </c>
      <c r="J518" s="208"/>
    </row>
    <row r="519" spans="2:10" ht="15.6">
      <c r="B519" s="186" t="s">
        <v>988</v>
      </c>
      <c r="C519" s="194"/>
      <c r="D519" s="194"/>
      <c r="E519" s="194"/>
      <c r="F519" s="204"/>
      <c r="G519" s="192"/>
      <c r="H519" s="207"/>
      <c r="I519" s="192"/>
      <c r="J519" s="208"/>
    </row>
    <row r="520" spans="2:10" ht="15.6">
      <c r="B520" s="211" t="s">
        <v>989</v>
      </c>
      <c r="C520" s="194"/>
      <c r="D520" s="194"/>
      <c r="E520" s="194"/>
      <c r="F520" s="204"/>
      <c r="G520" s="192"/>
      <c r="H520" s="207"/>
      <c r="I520" s="192"/>
      <c r="J520" s="208"/>
    </row>
    <row r="521" spans="2:10" ht="15.6">
      <c r="B521" s="186"/>
      <c r="C521" s="208"/>
      <c r="D521" s="208"/>
      <c r="E521" s="208"/>
      <c r="F521" s="204"/>
      <c r="G521" s="192"/>
      <c r="H521" s="207"/>
      <c r="I521" s="192"/>
      <c r="J521" s="208"/>
    </row>
    <row r="522" spans="2:10" ht="15.6">
      <c r="B522" s="186" t="s">
        <v>927</v>
      </c>
      <c r="C522" s="187"/>
      <c r="D522" s="187"/>
      <c r="E522" s="187"/>
      <c r="F522" s="184"/>
      <c r="G522" s="192"/>
      <c r="H522" s="207"/>
      <c r="I522" s="192"/>
      <c r="J522" s="208"/>
    </row>
    <row r="523" spans="2:10" ht="15.6">
      <c r="B523" s="186" t="s">
        <v>1139</v>
      </c>
      <c r="C523" s="193"/>
      <c r="D523" s="193"/>
      <c r="E523" s="187"/>
      <c r="F523" s="194">
        <v>1</v>
      </c>
      <c r="G523" s="192"/>
      <c r="H523" s="207"/>
      <c r="I523" s="192"/>
      <c r="J523" s="208"/>
    </row>
    <row r="524" spans="2:10" ht="15.6">
      <c r="B524" s="186"/>
      <c r="C524" s="193"/>
      <c r="D524" s="193"/>
      <c r="E524" s="187"/>
      <c r="F524" s="194"/>
      <c r="G524" s="192"/>
      <c r="H524" s="207"/>
      <c r="I524" s="192"/>
      <c r="J524" s="208"/>
    </row>
    <row r="525" spans="1:10" ht="16.2">
      <c r="A525" s="191" t="s">
        <v>1146</v>
      </c>
      <c r="B525" s="197" t="s">
        <v>995</v>
      </c>
      <c r="C525" s="212"/>
      <c r="D525" s="212"/>
      <c r="E525" s="212"/>
      <c r="F525" s="204" t="s">
        <v>996</v>
      </c>
      <c r="G525" s="194"/>
      <c r="H525" s="195"/>
      <c r="I525" s="194">
        <v>0.8</v>
      </c>
      <c r="J525" s="208"/>
    </row>
    <row r="526" spans="2:10" ht="15.6">
      <c r="B526" s="186" t="s">
        <v>1147</v>
      </c>
      <c r="C526" s="183"/>
      <c r="D526" s="183"/>
      <c r="E526" s="183"/>
      <c r="F526" s="204">
        <v>3</v>
      </c>
      <c r="G526" s="197">
        <f>F526*G525</f>
        <v>0</v>
      </c>
      <c r="H526" s="198">
        <f>F526*H525</f>
        <v>0</v>
      </c>
      <c r="I526" s="197">
        <f>F526*I525</f>
        <v>2.4000000000000004</v>
      </c>
      <c r="J526" s="208"/>
    </row>
    <row r="527" spans="2:10" ht="15.6">
      <c r="B527" s="211" t="s">
        <v>1148</v>
      </c>
      <c r="C527" s="183"/>
      <c r="D527" s="183"/>
      <c r="E527" s="183"/>
      <c r="F527" s="204"/>
      <c r="G527" s="197"/>
      <c r="H527" s="198"/>
      <c r="I527" s="197"/>
      <c r="J527" s="208"/>
    </row>
    <row r="528" spans="2:10" ht="15.6">
      <c r="B528" s="186"/>
      <c r="C528" s="183"/>
      <c r="D528" s="183"/>
      <c r="E528" s="183"/>
      <c r="F528" s="204"/>
      <c r="G528" s="197"/>
      <c r="H528" s="198"/>
      <c r="I528" s="197"/>
      <c r="J528" s="208"/>
    </row>
    <row r="529" spans="2:10" ht="15.6">
      <c r="B529" s="186" t="s">
        <v>927</v>
      </c>
      <c r="C529" s="187"/>
      <c r="D529" s="187"/>
      <c r="E529" s="187"/>
      <c r="F529" s="184"/>
      <c r="G529" s="197"/>
      <c r="H529" s="198"/>
      <c r="I529" s="197"/>
      <c r="J529" s="208"/>
    </row>
    <row r="530" spans="2:10" ht="15.6">
      <c r="B530" s="186" t="s">
        <v>1149</v>
      </c>
      <c r="C530" s="193"/>
      <c r="D530" s="193"/>
      <c r="E530" s="187"/>
      <c r="F530" s="194">
        <v>3</v>
      </c>
      <c r="G530" s="197"/>
      <c r="H530" s="198"/>
      <c r="I530" s="197"/>
      <c r="J530" s="208"/>
    </row>
    <row r="531" spans="2:10" ht="15.6">
      <c r="B531" s="186"/>
      <c r="C531" s="193"/>
      <c r="D531" s="193"/>
      <c r="E531" s="187"/>
      <c r="F531" s="194"/>
      <c r="G531" s="192"/>
      <c r="H531" s="207"/>
      <c r="I531" s="192"/>
      <c r="J531" s="208"/>
    </row>
    <row r="532" spans="1:10" ht="16.2">
      <c r="A532" s="191" t="s">
        <v>1150</v>
      </c>
      <c r="B532" s="197" t="s">
        <v>995</v>
      </c>
      <c r="C532" s="212"/>
      <c r="D532" s="212"/>
      <c r="E532" s="212"/>
      <c r="F532" s="204" t="s">
        <v>996</v>
      </c>
      <c r="G532" s="194"/>
      <c r="H532" s="195"/>
      <c r="I532" s="194">
        <v>0.8</v>
      </c>
      <c r="J532" s="208"/>
    </row>
    <row r="533" spans="2:10" ht="15.6">
      <c r="B533" s="186" t="s">
        <v>1151</v>
      </c>
      <c r="C533" s="183"/>
      <c r="D533" s="183"/>
      <c r="E533" s="183"/>
      <c r="F533" s="204">
        <v>6</v>
      </c>
      <c r="G533" s="197">
        <f>F533*G532</f>
        <v>0</v>
      </c>
      <c r="H533" s="198">
        <f>F533*H532</f>
        <v>0</v>
      </c>
      <c r="I533" s="197">
        <f>F533*I532</f>
        <v>4.800000000000001</v>
      </c>
      <c r="J533" s="208"/>
    </row>
    <row r="534" spans="2:10" ht="15.6">
      <c r="B534" s="186"/>
      <c r="C534" s="193"/>
      <c r="D534" s="193"/>
      <c r="E534" s="187"/>
      <c r="F534" s="194"/>
      <c r="G534" s="192"/>
      <c r="H534" s="207"/>
      <c r="I534" s="192"/>
      <c r="J534" s="208"/>
    </row>
    <row r="535" spans="2:10" ht="15.6">
      <c r="B535" s="186" t="s">
        <v>927</v>
      </c>
      <c r="C535" s="187"/>
      <c r="D535" s="187"/>
      <c r="E535" s="187"/>
      <c r="F535" s="184"/>
      <c r="G535" s="192"/>
      <c r="H535" s="207"/>
      <c r="I535" s="192"/>
      <c r="J535" s="208"/>
    </row>
    <row r="536" spans="2:10" ht="15.6">
      <c r="B536" s="186" t="s">
        <v>1152</v>
      </c>
      <c r="C536" s="193"/>
      <c r="D536" s="193"/>
      <c r="E536" s="187"/>
      <c r="F536" s="194">
        <v>6</v>
      </c>
      <c r="G536" s="192"/>
      <c r="H536" s="207"/>
      <c r="I536" s="192"/>
      <c r="J536" s="208"/>
    </row>
    <row r="537" spans="2:10" ht="15.6">
      <c r="B537" s="186"/>
      <c r="C537" s="193"/>
      <c r="D537" s="193"/>
      <c r="E537" s="187"/>
      <c r="F537" s="194"/>
      <c r="G537" s="192"/>
      <c r="H537" s="207"/>
      <c r="I537" s="192"/>
      <c r="J537" s="208"/>
    </row>
    <row r="538" spans="1:10" ht="15.6">
      <c r="A538" s="197" t="s">
        <v>1019</v>
      </c>
      <c r="B538" s="194"/>
      <c r="C538" s="194"/>
      <c r="D538" s="194"/>
      <c r="E538" s="194"/>
      <c r="F538" s="194"/>
      <c r="G538" s="197">
        <f>G355+G363+G370+G377+G385+G392+G399+G406+G413+G421+G429+G437+G445+G454+G462+G470+G478+G486+G494+G502+G510+G518+G526+G533</f>
        <v>0</v>
      </c>
      <c r="H538" s="198">
        <f>H355+H363+H370+H377+H385+H392+H399+H406+H413+H421+H429+H437+H445+H454+H462+H470+H478+H486+H494+H502+H510+H518+H526+H533</f>
        <v>0</v>
      </c>
      <c r="I538" s="197">
        <f>I355+I363+I370+I377+I385+I392+I399+I406+I413+I421+I429+I437+I445+I454+I462+I470+I478+I486+I494+I502+I510+I518+I526+I533</f>
        <v>122.89999999999999</v>
      </c>
      <c r="J538" s="208"/>
    </row>
    <row r="539" spans="1:10" ht="15.6">
      <c r="A539" s="197"/>
      <c r="B539" s="194"/>
      <c r="C539" s="194"/>
      <c r="D539" s="194"/>
      <c r="E539" s="194"/>
      <c r="F539" s="194"/>
      <c r="G539" s="197"/>
      <c r="H539" s="198"/>
      <c r="I539" s="198"/>
      <c r="J539" s="208"/>
    </row>
    <row r="540" spans="1:9" ht="15">
      <c r="A540" s="183" t="s">
        <v>1153</v>
      </c>
      <c r="B540" s="183"/>
      <c r="C540" s="183"/>
      <c r="D540" s="183"/>
      <c r="E540" s="183"/>
      <c r="F540" s="190"/>
      <c r="G540" s="190"/>
      <c r="H540" s="190"/>
      <c r="I540" s="190"/>
    </row>
    <row r="541" spans="1:9" ht="15">
      <c r="A541" s="216"/>
      <c r="B541" s="190"/>
      <c r="C541" s="190"/>
      <c r="D541" s="190"/>
      <c r="E541" s="190"/>
      <c r="F541" s="190"/>
      <c r="G541" s="190"/>
      <c r="H541" s="190"/>
      <c r="I541" s="190"/>
    </row>
    <row r="542" spans="1:9" ht="15">
      <c r="A542" s="184"/>
      <c r="B542" s="184"/>
      <c r="C542" s="184"/>
      <c r="D542" s="184"/>
      <c r="E542" s="184"/>
      <c r="F542" s="184"/>
      <c r="G542" s="185" t="s">
        <v>894</v>
      </c>
      <c r="H542" s="185" t="s">
        <v>895</v>
      </c>
      <c r="I542" s="184"/>
    </row>
    <row r="543" spans="1:9" ht="15">
      <c r="A543" s="186" t="s">
        <v>910</v>
      </c>
      <c r="B543" s="186" t="s">
        <v>911</v>
      </c>
      <c r="C543" s="184"/>
      <c r="D543" s="184"/>
      <c r="E543" s="184"/>
      <c r="F543" s="186" t="s">
        <v>912</v>
      </c>
      <c r="G543" s="186" t="s">
        <v>913</v>
      </c>
      <c r="H543" s="186" t="s">
        <v>913</v>
      </c>
      <c r="I543" s="186" t="s">
        <v>914</v>
      </c>
    </row>
    <row r="544" spans="1:9" ht="15">
      <c r="A544" s="184"/>
      <c r="B544" s="186" t="s">
        <v>915</v>
      </c>
      <c r="C544" s="184"/>
      <c r="D544" s="184"/>
      <c r="E544" s="184"/>
      <c r="F544" s="184"/>
      <c r="G544" s="186" t="s">
        <v>916</v>
      </c>
      <c r="H544" s="186" t="s">
        <v>916</v>
      </c>
      <c r="I544" s="184"/>
    </row>
    <row r="545" spans="1:9" ht="15">
      <c r="A545" s="190" t="s">
        <v>906</v>
      </c>
      <c r="B545" s="190"/>
      <c r="C545" s="190"/>
      <c r="D545" s="190"/>
      <c r="E545" s="190"/>
      <c r="F545" s="190"/>
      <c r="G545" s="190"/>
      <c r="H545" s="190"/>
      <c r="I545" s="190"/>
    </row>
    <row r="546" spans="1:9" ht="15">
      <c r="A546" s="191" t="s">
        <v>1154</v>
      </c>
      <c r="B546" s="192" t="s">
        <v>1155</v>
      </c>
      <c r="C546" s="193"/>
      <c r="D546" s="193"/>
      <c r="E546" s="193"/>
      <c r="F546" s="194" t="s">
        <v>217</v>
      </c>
      <c r="G546" s="194"/>
      <c r="H546" s="195"/>
      <c r="I546" s="194">
        <v>387</v>
      </c>
    </row>
    <row r="547" spans="1:9" ht="15">
      <c r="A547" s="191"/>
      <c r="B547" s="186" t="s">
        <v>1156</v>
      </c>
      <c r="C547" s="187"/>
      <c r="D547" s="187"/>
      <c r="E547" s="187"/>
      <c r="F547" s="194">
        <v>1</v>
      </c>
      <c r="G547" s="197">
        <f>F547*G546</f>
        <v>0</v>
      </c>
      <c r="H547" s="198">
        <f>F547*H546</f>
        <v>0</v>
      </c>
      <c r="I547" s="197">
        <f>F547*I546</f>
        <v>387</v>
      </c>
    </row>
    <row r="549" spans="1:9" ht="15">
      <c r="A549" s="191" t="s">
        <v>1157</v>
      </c>
      <c r="B549" s="192" t="s">
        <v>1158</v>
      </c>
      <c r="C549" s="193"/>
      <c r="D549" s="193"/>
      <c r="E549" s="193"/>
      <c r="F549" s="194" t="s">
        <v>217</v>
      </c>
      <c r="G549" s="194"/>
      <c r="H549" s="195"/>
      <c r="I549" s="194">
        <v>55</v>
      </c>
    </row>
    <row r="550" spans="2:9" ht="15">
      <c r="B550" s="186" t="s">
        <v>1159</v>
      </c>
      <c r="C550" s="187"/>
      <c r="D550" s="187"/>
      <c r="E550" s="187"/>
      <c r="F550" s="194">
        <v>1</v>
      </c>
      <c r="G550" s="197">
        <v>0</v>
      </c>
      <c r="H550" s="198">
        <f>F550*H549</f>
        <v>0</v>
      </c>
      <c r="I550" s="197">
        <f>F550*I549</f>
        <v>55</v>
      </c>
    </row>
    <row r="552" spans="1:9" ht="16.2">
      <c r="A552" s="191" t="s">
        <v>1160</v>
      </c>
      <c r="B552" s="197" t="s">
        <v>995</v>
      </c>
      <c r="C552" s="212"/>
      <c r="D552" s="212"/>
      <c r="E552" s="212"/>
      <c r="F552" s="204" t="s">
        <v>996</v>
      </c>
      <c r="G552" s="194"/>
      <c r="H552" s="195"/>
      <c r="I552" s="194">
        <v>0.8</v>
      </c>
    </row>
    <row r="553" spans="2:9" ht="15">
      <c r="B553" s="186" t="s">
        <v>1161</v>
      </c>
      <c r="C553" s="183"/>
      <c r="D553" s="183"/>
      <c r="E553" s="183"/>
      <c r="F553" s="204">
        <v>140</v>
      </c>
      <c r="G553" s="197">
        <f>F553*G552</f>
        <v>0</v>
      </c>
      <c r="H553" s="198">
        <f>F553*H552</f>
        <v>0</v>
      </c>
      <c r="I553" s="197">
        <f>F553*I552</f>
        <v>112</v>
      </c>
    </row>
    <row r="555" spans="1:9" ht="15">
      <c r="A555" s="191" t="s">
        <v>1162</v>
      </c>
      <c r="B555" s="192" t="s">
        <v>1155</v>
      </c>
      <c r="C555" s="193"/>
      <c r="D555" s="193"/>
      <c r="E555" s="193"/>
      <c r="F555" s="194" t="s">
        <v>217</v>
      </c>
      <c r="G555" s="194"/>
      <c r="H555" s="195"/>
      <c r="I555" s="194">
        <v>92</v>
      </c>
    </row>
    <row r="556" spans="1:9" ht="15">
      <c r="A556" s="191"/>
      <c r="B556" s="186" t="s">
        <v>1163</v>
      </c>
      <c r="C556" s="187"/>
      <c r="D556" s="187"/>
      <c r="E556" s="187"/>
      <c r="F556" s="194">
        <v>1</v>
      </c>
      <c r="G556" s="197">
        <f>F556*G555</f>
        <v>0</v>
      </c>
      <c r="H556" s="198">
        <f>F556*H555</f>
        <v>0</v>
      </c>
      <c r="I556" s="197">
        <f>F556*I555</f>
        <v>92</v>
      </c>
    </row>
    <row r="558" spans="1:9" ht="15">
      <c r="A558" s="191" t="s">
        <v>1164</v>
      </c>
      <c r="B558" s="192" t="s">
        <v>1165</v>
      </c>
      <c r="C558" s="193"/>
      <c r="D558" s="193"/>
      <c r="E558" s="193"/>
      <c r="F558" s="194" t="s">
        <v>217</v>
      </c>
      <c r="G558" s="194"/>
      <c r="H558" s="195"/>
      <c r="I558" s="194">
        <v>25</v>
      </c>
    </row>
    <row r="559" spans="2:9" ht="15">
      <c r="B559" s="186" t="s">
        <v>1166</v>
      </c>
      <c r="C559" s="187"/>
      <c r="D559" s="187"/>
      <c r="E559" s="187"/>
      <c r="F559" s="194">
        <v>1</v>
      </c>
      <c r="G559" s="197">
        <v>0</v>
      </c>
      <c r="H559" s="198">
        <f>F559*H558</f>
        <v>0</v>
      </c>
      <c r="I559" s="197">
        <f>F559*I558</f>
        <v>25</v>
      </c>
    </row>
    <row r="561" spans="1:9" ht="16.2">
      <c r="A561" s="191" t="s">
        <v>1167</v>
      </c>
      <c r="B561" s="197" t="s">
        <v>995</v>
      </c>
      <c r="C561" s="212"/>
      <c r="D561" s="212"/>
      <c r="E561" s="212"/>
      <c r="F561" s="204" t="s">
        <v>996</v>
      </c>
      <c r="G561" s="194"/>
      <c r="H561" s="195"/>
      <c r="I561" s="194">
        <v>0.8</v>
      </c>
    </row>
    <row r="562" spans="2:9" ht="15">
      <c r="B562" s="186" t="s">
        <v>1168</v>
      </c>
      <c r="C562" s="183"/>
      <c r="D562" s="183"/>
      <c r="E562" s="183"/>
      <c r="F562" s="204">
        <v>60</v>
      </c>
      <c r="G562" s="197">
        <f>F562*G561</f>
        <v>0</v>
      </c>
      <c r="H562" s="198">
        <f>F562*H561</f>
        <v>0</v>
      </c>
      <c r="I562" s="197">
        <f>F562*I561</f>
        <v>48</v>
      </c>
    </row>
    <row r="564" spans="1:9" ht="15">
      <c r="A564" s="191" t="s">
        <v>1169</v>
      </c>
      <c r="B564" s="192" t="s">
        <v>1170</v>
      </c>
      <c r="C564" s="193"/>
      <c r="D564" s="193"/>
      <c r="E564" s="193"/>
      <c r="F564" s="194" t="s">
        <v>217</v>
      </c>
      <c r="G564" s="194"/>
      <c r="H564" s="195"/>
      <c r="I564" s="194">
        <v>60</v>
      </c>
    </row>
    <row r="565" spans="1:9" ht="15">
      <c r="A565" s="191"/>
      <c r="B565" s="186" t="s">
        <v>1171</v>
      </c>
      <c r="C565" s="187"/>
      <c r="D565" s="187"/>
      <c r="E565" s="187"/>
      <c r="F565" s="194">
        <v>1</v>
      </c>
      <c r="G565" s="197">
        <f>F565*G564</f>
        <v>0</v>
      </c>
      <c r="H565" s="198">
        <f>F565*H564</f>
        <v>0</v>
      </c>
      <c r="I565" s="197">
        <f>F565*I564</f>
        <v>60</v>
      </c>
    </row>
    <row r="567" spans="1:9" ht="15">
      <c r="A567" s="191" t="s">
        <v>1172</v>
      </c>
      <c r="B567" s="192" t="s">
        <v>1173</v>
      </c>
      <c r="C567" s="193"/>
      <c r="D567" s="193"/>
      <c r="E567" s="193"/>
      <c r="F567" s="194" t="s">
        <v>217</v>
      </c>
      <c r="G567" s="194"/>
      <c r="H567" s="195"/>
      <c r="I567" s="194">
        <v>32</v>
      </c>
    </row>
    <row r="568" spans="2:9" ht="15">
      <c r="B568" s="186" t="s">
        <v>1174</v>
      </c>
      <c r="C568" s="187"/>
      <c r="D568" s="187"/>
      <c r="E568" s="187"/>
      <c r="F568" s="194">
        <v>1</v>
      </c>
      <c r="G568" s="197">
        <v>0</v>
      </c>
      <c r="H568" s="198">
        <f>F568*H567</f>
        <v>0</v>
      </c>
      <c r="I568" s="197">
        <f>F568*I567</f>
        <v>32</v>
      </c>
    </row>
    <row r="570" spans="1:9" ht="16.2">
      <c r="A570" s="191" t="s">
        <v>1175</v>
      </c>
      <c r="B570" s="197" t="s">
        <v>995</v>
      </c>
      <c r="C570" s="212"/>
      <c r="D570" s="212"/>
      <c r="E570" s="212"/>
      <c r="F570" s="204" t="s">
        <v>996</v>
      </c>
      <c r="G570" s="194"/>
      <c r="H570" s="195"/>
      <c r="I570" s="194">
        <v>0.8</v>
      </c>
    </row>
    <row r="571" spans="2:9" ht="15">
      <c r="B571" s="186" t="s">
        <v>1176</v>
      </c>
      <c r="C571" s="183"/>
      <c r="D571" s="183"/>
      <c r="E571" s="183"/>
      <c r="F571" s="204">
        <v>20</v>
      </c>
      <c r="G571" s="197">
        <f>F571*G570</f>
        <v>0</v>
      </c>
      <c r="H571" s="198">
        <f>F571*H570</f>
        <v>0</v>
      </c>
      <c r="I571" s="197">
        <f>F571*I570</f>
        <v>16</v>
      </c>
    </row>
    <row r="573" spans="1:9" ht="15">
      <c r="A573" s="197" t="s">
        <v>1019</v>
      </c>
      <c r="B573" s="194"/>
      <c r="C573" s="194"/>
      <c r="D573" s="194"/>
      <c r="E573" s="194"/>
      <c r="F573" s="194"/>
      <c r="G573" s="197">
        <f>G547+G550+G553+G556+G559+G562+G565+G568+G571</f>
        <v>0</v>
      </c>
      <c r="H573" s="198">
        <f>H547+H550+H553+H556+H559+H562+H565+H568+H571</f>
        <v>0</v>
      </c>
      <c r="I573" s="197">
        <f>I547+I550+I553+I556+I559+I562+I565+I568+I571</f>
        <v>827</v>
      </c>
    </row>
    <row r="574" spans="1:9" ht="15">
      <c r="A574" s="197"/>
      <c r="B574" s="194"/>
      <c r="C574" s="194"/>
      <c r="D574" s="194"/>
      <c r="E574" s="194"/>
      <c r="F574" s="194"/>
      <c r="G574" s="197"/>
      <c r="H574" s="198"/>
      <c r="I574" s="198"/>
    </row>
    <row r="575" spans="1:9" ht="15">
      <c r="A575" s="191"/>
      <c r="B575" s="226"/>
      <c r="C575" s="227"/>
      <c r="D575" s="227"/>
      <c r="E575" s="227"/>
      <c r="F575" s="228"/>
      <c r="G575" s="185"/>
      <c r="H575" s="229"/>
      <c r="I575" s="185"/>
    </row>
    <row r="576" spans="1:9" ht="15">
      <c r="A576" s="183" t="s">
        <v>1177</v>
      </c>
      <c r="B576" s="194"/>
      <c r="C576" s="194"/>
      <c r="D576" s="194"/>
      <c r="E576" s="194"/>
      <c r="F576" s="194"/>
      <c r="G576" s="197"/>
      <c r="H576" s="198"/>
      <c r="I576" s="198"/>
    </row>
    <row r="577" spans="1:9" ht="15">
      <c r="A577" s="183"/>
      <c r="B577" s="194"/>
      <c r="C577" s="194"/>
      <c r="D577" s="194"/>
      <c r="E577" s="194"/>
      <c r="F577" s="194"/>
      <c r="G577" s="197"/>
      <c r="H577" s="198"/>
      <c r="I577" s="198"/>
    </row>
    <row r="578" spans="1:9" ht="15">
      <c r="A578" s="184"/>
      <c r="B578" s="184"/>
      <c r="C578" s="184"/>
      <c r="D578" s="184"/>
      <c r="E578" s="184"/>
      <c r="F578" s="184"/>
      <c r="G578" s="185" t="s">
        <v>894</v>
      </c>
      <c r="H578" s="185" t="s">
        <v>895</v>
      </c>
      <c r="I578" s="184"/>
    </row>
    <row r="579" spans="1:9" ht="15">
      <c r="A579" s="186" t="s">
        <v>910</v>
      </c>
      <c r="B579" s="186" t="s">
        <v>911</v>
      </c>
      <c r="C579" s="184"/>
      <c r="D579" s="184"/>
      <c r="E579" s="184"/>
      <c r="F579" s="186" t="s">
        <v>912</v>
      </c>
      <c r="G579" s="186" t="s">
        <v>913</v>
      </c>
      <c r="H579" s="186" t="s">
        <v>913</v>
      </c>
      <c r="I579" s="186" t="s">
        <v>914</v>
      </c>
    </row>
    <row r="580" spans="1:9" ht="15">
      <c r="A580" s="184"/>
      <c r="B580" s="186" t="s">
        <v>915</v>
      </c>
      <c r="C580" s="184"/>
      <c r="D580" s="184"/>
      <c r="E580" s="184"/>
      <c r="F580" s="184"/>
      <c r="G580" s="186" t="s">
        <v>916</v>
      </c>
      <c r="H580" s="186" t="s">
        <v>916</v>
      </c>
      <c r="I580" s="184"/>
    </row>
    <row r="581" spans="1:9" ht="15">
      <c r="A581" s="184"/>
      <c r="B581" s="186"/>
      <c r="C581" s="184"/>
      <c r="D581" s="184"/>
      <c r="E581" s="184"/>
      <c r="F581" s="184"/>
      <c r="G581" s="186"/>
      <c r="H581" s="186"/>
      <c r="I581" s="184"/>
    </row>
    <row r="582" spans="1:9" ht="15">
      <c r="A582" s="191" t="s">
        <v>1178</v>
      </c>
      <c r="B582" s="197" t="s">
        <v>1179</v>
      </c>
      <c r="C582" s="194"/>
      <c r="D582" s="194"/>
      <c r="E582" s="194"/>
      <c r="F582" s="194" t="s">
        <v>1180</v>
      </c>
      <c r="G582" s="204"/>
      <c r="H582" s="205"/>
      <c r="I582" s="204">
        <v>0</v>
      </c>
    </row>
    <row r="583" spans="1:9" ht="15">
      <c r="A583" s="191"/>
      <c r="B583" s="186"/>
      <c r="C583" s="194"/>
      <c r="D583" s="194"/>
      <c r="E583" s="194"/>
      <c r="F583" s="195">
        <v>1</v>
      </c>
      <c r="G583" s="207">
        <f>F583*G582*70000</f>
        <v>0</v>
      </c>
      <c r="H583" s="198">
        <f>H582</f>
        <v>0</v>
      </c>
      <c r="I583" s="192">
        <f>F583*I582</f>
        <v>0</v>
      </c>
    </row>
    <row r="584" spans="1:9" ht="15">
      <c r="A584" s="191"/>
      <c r="B584" s="186"/>
      <c r="C584" s="194"/>
      <c r="D584" s="194"/>
      <c r="E584" s="194"/>
      <c r="F584" s="195"/>
      <c r="G584" s="207"/>
      <c r="H584" s="198"/>
      <c r="I584" s="192"/>
    </row>
    <row r="585" spans="1:9" ht="15">
      <c r="A585" s="191" t="s">
        <v>1181</v>
      </c>
      <c r="B585" s="197" t="s">
        <v>1182</v>
      </c>
      <c r="C585" s="194"/>
      <c r="D585" s="194"/>
      <c r="E585" s="194"/>
      <c r="F585" s="194" t="s">
        <v>1180</v>
      </c>
      <c r="G585" s="204"/>
      <c r="H585" s="205"/>
      <c r="I585" s="204">
        <v>0</v>
      </c>
    </row>
    <row r="586" spans="1:9" ht="15">
      <c r="A586" s="191"/>
      <c r="B586" s="186" t="s">
        <v>1183</v>
      </c>
      <c r="C586" s="194"/>
      <c r="D586" s="194"/>
      <c r="E586" s="194"/>
      <c r="F586" s="195">
        <v>1</v>
      </c>
      <c r="G586" s="207">
        <f>F586*G585*10000</f>
        <v>0</v>
      </c>
      <c r="H586" s="207">
        <f>H585</f>
        <v>0</v>
      </c>
      <c r="I586" s="192">
        <f>F586*I585</f>
        <v>0</v>
      </c>
    </row>
    <row r="587" spans="1:9" ht="15">
      <c r="A587" s="191"/>
      <c r="B587" s="227" t="s">
        <v>1184</v>
      </c>
      <c r="C587" s="227"/>
      <c r="D587" s="227"/>
      <c r="E587" s="227"/>
      <c r="F587" s="195"/>
      <c r="G587" s="192"/>
      <c r="H587" s="207"/>
      <c r="I587" s="192"/>
    </row>
    <row r="588" spans="1:9" ht="15">
      <c r="A588" s="191"/>
      <c r="B588" s="186" t="s">
        <v>1185</v>
      </c>
      <c r="C588" s="185"/>
      <c r="D588" s="185"/>
      <c r="E588" s="185"/>
      <c r="F588" s="228"/>
      <c r="G588" s="185"/>
      <c r="H588" s="229"/>
      <c r="I588" s="185"/>
    </row>
    <row r="589" spans="1:9" ht="15">
      <c r="A589" s="191"/>
      <c r="B589" s="186" t="s">
        <v>1186</v>
      </c>
      <c r="C589" s="185"/>
      <c r="D589" s="185"/>
      <c r="E589" s="185"/>
      <c r="F589" s="228"/>
      <c r="G589" s="185"/>
      <c r="H589" s="229"/>
      <c r="I589" s="185"/>
    </row>
    <row r="590" spans="1:9" ht="15">
      <c r="A590" s="191"/>
      <c r="B590" s="186" t="s">
        <v>1187</v>
      </c>
      <c r="C590" s="185"/>
      <c r="D590" s="185"/>
      <c r="E590" s="185"/>
      <c r="F590" s="228"/>
      <c r="G590" s="185"/>
      <c r="H590" s="229"/>
      <c r="I590" s="185"/>
    </row>
    <row r="591" spans="1:9" ht="15">
      <c r="A591" s="191"/>
      <c r="B591" s="186" t="s">
        <v>1188</v>
      </c>
      <c r="C591" s="185"/>
      <c r="D591" s="185"/>
      <c r="E591" s="185"/>
      <c r="F591" s="228"/>
      <c r="G591" s="185"/>
      <c r="H591" s="229"/>
      <c r="I591" s="185"/>
    </row>
    <row r="592" spans="1:9" ht="15">
      <c r="A592" s="191"/>
      <c r="B592" s="230" t="s">
        <v>1189</v>
      </c>
      <c r="C592" s="230"/>
      <c r="D592" s="230"/>
      <c r="E592" s="230"/>
      <c r="F592" s="231"/>
      <c r="G592" s="232"/>
      <c r="H592" s="229"/>
      <c r="I592" s="185"/>
    </row>
    <row r="593" spans="1:9" ht="15">
      <c r="A593" s="191"/>
      <c r="B593" s="186" t="s">
        <v>1190</v>
      </c>
      <c r="C593" s="227"/>
      <c r="D593" s="227"/>
      <c r="E593" s="227"/>
      <c r="F593" s="228"/>
      <c r="G593" s="185"/>
      <c r="H593" s="229"/>
      <c r="I593" s="185"/>
    </row>
    <row r="594" spans="1:9" ht="15">
      <c r="A594" s="191"/>
      <c r="B594" s="186"/>
      <c r="C594" s="227"/>
      <c r="D594" s="227"/>
      <c r="E594" s="227"/>
      <c r="F594" s="228"/>
      <c r="G594" s="185"/>
      <c r="H594" s="229"/>
      <c r="I594" s="185"/>
    </row>
    <row r="595" spans="1:9" ht="15">
      <c r="A595" s="191" t="s">
        <v>1191</v>
      </c>
      <c r="B595" s="197" t="s">
        <v>649</v>
      </c>
      <c r="C595" s="194"/>
      <c r="D595" s="194"/>
      <c r="E595" s="194"/>
      <c r="F595" s="194" t="s">
        <v>59</v>
      </c>
      <c r="G595" s="204"/>
      <c r="H595" s="205"/>
      <c r="I595" s="204">
        <v>0</v>
      </c>
    </row>
    <row r="596" spans="1:9" ht="15">
      <c r="A596" s="191"/>
      <c r="B596" s="186" t="s">
        <v>1192</v>
      </c>
      <c r="C596" s="194"/>
      <c r="D596" s="194"/>
      <c r="E596" s="194"/>
      <c r="F596" s="233">
        <f>(I192+I347+I538+I573)*0.001</f>
        <v>6.0791</v>
      </c>
      <c r="G596" s="207">
        <f>F596*G595</f>
        <v>0</v>
      </c>
      <c r="H596" s="207">
        <f>H595</f>
        <v>0</v>
      </c>
      <c r="I596" s="192">
        <v>0</v>
      </c>
    </row>
    <row r="597" spans="1:9" ht="15">
      <c r="A597" s="191"/>
      <c r="B597" s="186"/>
      <c r="C597" s="194"/>
      <c r="D597" s="194"/>
      <c r="E597" s="194"/>
      <c r="F597" s="234"/>
      <c r="G597" s="207"/>
      <c r="H597" s="207"/>
      <c r="I597" s="192"/>
    </row>
    <row r="598" spans="1:9" ht="15">
      <c r="A598" s="191" t="s">
        <v>1193</v>
      </c>
      <c r="B598" s="197" t="s">
        <v>1194</v>
      </c>
      <c r="C598" s="194"/>
      <c r="D598" s="194"/>
      <c r="E598" s="194"/>
      <c r="F598" s="194" t="s">
        <v>1180</v>
      </c>
      <c r="G598" s="204"/>
      <c r="H598" s="205"/>
      <c r="I598" s="204">
        <v>0</v>
      </c>
    </row>
    <row r="599" spans="1:9" ht="15">
      <c r="A599" s="191"/>
      <c r="B599" s="186" t="s">
        <v>1195</v>
      </c>
      <c r="C599" s="194"/>
      <c r="D599" s="194"/>
      <c r="E599" s="194"/>
      <c r="F599" s="233">
        <v>1</v>
      </c>
      <c r="G599" s="207">
        <f>F599*G598</f>
        <v>0</v>
      </c>
      <c r="H599" s="207">
        <f>F599*H598</f>
        <v>0</v>
      </c>
      <c r="I599" s="192">
        <v>0</v>
      </c>
    </row>
    <row r="600" spans="1:9" ht="15">
      <c r="A600" s="191"/>
      <c r="B600" s="186"/>
      <c r="C600" s="193"/>
      <c r="D600" s="193"/>
      <c r="E600" s="187"/>
      <c r="F600" s="233"/>
      <c r="G600" s="207"/>
      <c r="H600" s="207"/>
      <c r="I600" s="192"/>
    </row>
    <row r="601" spans="1:9" ht="15">
      <c r="A601" s="191" t="s">
        <v>1196</v>
      </c>
      <c r="B601" s="197" t="s">
        <v>1197</v>
      </c>
      <c r="C601" s="194"/>
      <c r="D601" s="194"/>
      <c r="E601" s="194"/>
      <c r="F601" s="194" t="s">
        <v>1180</v>
      </c>
      <c r="G601" s="204"/>
      <c r="H601" s="205"/>
      <c r="I601" s="204">
        <v>0</v>
      </c>
    </row>
    <row r="602" spans="1:9" ht="15">
      <c r="A602" s="191"/>
      <c r="B602" s="186" t="s">
        <v>1198</v>
      </c>
      <c r="C602" s="194"/>
      <c r="D602" s="194"/>
      <c r="E602" s="194"/>
      <c r="F602" s="233">
        <v>1</v>
      </c>
      <c r="G602" s="207">
        <f>F602*G601</f>
        <v>0</v>
      </c>
      <c r="H602" s="207">
        <f>F602*H601</f>
        <v>0</v>
      </c>
      <c r="I602" s="192">
        <v>0</v>
      </c>
    </row>
    <row r="603" spans="1:9" ht="15">
      <c r="A603" s="191"/>
      <c r="B603" s="186" t="s">
        <v>1199</v>
      </c>
      <c r="C603" s="193"/>
      <c r="D603" s="193"/>
      <c r="E603" s="187"/>
      <c r="F603" s="233"/>
      <c r="G603" s="207"/>
      <c r="H603" s="207"/>
      <c r="I603" s="192"/>
    </row>
    <row r="604" spans="1:9" ht="15">
      <c r="A604" s="191"/>
      <c r="B604" s="186"/>
      <c r="C604" s="193"/>
      <c r="D604" s="193"/>
      <c r="E604" s="187"/>
      <c r="F604" s="233"/>
      <c r="G604" s="207"/>
      <c r="H604" s="207"/>
      <c r="I604" s="192"/>
    </row>
    <row r="605" spans="1:9" ht="15">
      <c r="A605" s="191" t="s">
        <v>1200</v>
      </c>
      <c r="B605" s="197" t="s">
        <v>1201</v>
      </c>
      <c r="C605" s="194"/>
      <c r="D605" s="194"/>
      <c r="E605" s="194"/>
      <c r="F605" s="194" t="s">
        <v>1180</v>
      </c>
      <c r="G605" s="204"/>
      <c r="H605" s="205"/>
      <c r="I605" s="204">
        <v>0</v>
      </c>
    </row>
    <row r="606" spans="1:9" ht="15">
      <c r="A606" s="191"/>
      <c r="B606" s="186"/>
      <c r="C606" s="194"/>
      <c r="D606" s="194"/>
      <c r="E606" s="194"/>
      <c r="F606" s="233">
        <v>1</v>
      </c>
      <c r="G606" s="207">
        <f>F606*G605</f>
        <v>0</v>
      </c>
      <c r="H606" s="207">
        <f>F606*H605</f>
        <v>0</v>
      </c>
      <c r="I606" s="192">
        <v>0</v>
      </c>
    </row>
    <row r="607" spans="1:9" ht="15">
      <c r="A607" s="191"/>
      <c r="B607" s="186"/>
      <c r="C607" s="194"/>
      <c r="D607" s="194"/>
      <c r="E607" s="194"/>
      <c r="F607" s="195"/>
      <c r="G607" s="192"/>
      <c r="H607" s="207"/>
      <c r="I607" s="192"/>
    </row>
    <row r="608" spans="1:9" ht="15">
      <c r="A608" s="197" t="s">
        <v>1019</v>
      </c>
      <c r="B608" s="194"/>
      <c r="C608" s="194"/>
      <c r="D608" s="194"/>
      <c r="E608" s="194"/>
      <c r="F608" s="194"/>
      <c r="G608" s="198">
        <f>G583+G586+G596+G599+G602+G606</f>
        <v>0</v>
      </c>
      <c r="H608" s="198">
        <f>H583+H586+H596+H599+H602+H606</f>
        <v>0</v>
      </c>
      <c r="I608" s="198">
        <f>I583+I586+I596+I599+I602+I606</f>
        <v>0</v>
      </c>
    </row>
    <row r="611" spans="2:9" ht="15">
      <c r="B611" s="186"/>
      <c r="C611" s="185"/>
      <c r="D611" s="185"/>
      <c r="E611" s="185"/>
      <c r="F611" s="228"/>
      <c r="G611" s="185"/>
      <c r="H611" s="229"/>
      <c r="I611" s="185"/>
    </row>
    <row r="612" spans="2:9" ht="15">
      <c r="B612" s="186"/>
      <c r="C612" s="185"/>
      <c r="D612" s="185"/>
      <c r="E612" s="185"/>
      <c r="F612" s="228"/>
      <c r="G612" s="185"/>
      <c r="H612" s="229"/>
      <c r="I612" s="185"/>
    </row>
  </sheetData>
  <mergeCells count="4">
    <mergeCell ref="A1:I1"/>
    <mergeCell ref="A3:I3"/>
    <mergeCell ref="A191:C191"/>
    <mergeCell ref="A346:C346"/>
  </mergeCells>
  <printOptions/>
  <pageMargins left="0.7" right="0.7" top="0.787401575" bottom="0.7874015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F1:Q520"/>
  <sheetViews>
    <sheetView workbookViewId="0" topLeftCell="F1">
      <selection activeCell="I7" sqref="I7"/>
    </sheetView>
  </sheetViews>
  <sheetFormatPr defaultColWidth="9.140625" defaultRowHeight="15" outlineLevelRow="2"/>
  <cols>
    <col min="1" max="5" width="9.140625" style="0" hidden="1" customWidth="1"/>
    <col min="6" max="6" width="5.57421875" style="167" bestFit="1" customWidth="1"/>
    <col min="7" max="7" width="3.8515625" style="168" bestFit="1" customWidth="1"/>
    <col min="8" max="8" width="14.8515625" style="169" bestFit="1" customWidth="1"/>
    <col min="9" max="9" width="61.8515625" style="175" customWidth="1"/>
    <col min="10" max="10" width="6.57421875" style="168" bestFit="1" customWidth="1"/>
    <col min="11" max="11" width="13.7109375" style="170" customWidth="1"/>
    <col min="12" max="12" width="6.8515625" style="171" customWidth="1"/>
    <col min="13" max="13" width="10.421875" style="172" bestFit="1" customWidth="1"/>
    <col min="14" max="14" width="13.28125" style="171" customWidth="1"/>
    <col min="15" max="15" width="12.140625" style="173" bestFit="1" customWidth="1"/>
    <col min="257" max="261" width="9.140625" style="0" hidden="1" customWidth="1"/>
    <col min="262" max="262" width="5.57421875" style="0" bestFit="1" customWidth="1"/>
    <col min="263" max="263" width="3.8515625" style="0" bestFit="1" customWidth="1"/>
    <col min="264" max="264" width="14.8515625" style="0" bestFit="1" customWidth="1"/>
    <col min="265" max="265" width="61.8515625" style="0" customWidth="1"/>
    <col min="266" max="266" width="6.57421875" style="0" bestFit="1" customWidth="1"/>
    <col min="267" max="267" width="13.7109375" style="0" customWidth="1"/>
    <col min="268" max="268" width="6.8515625" style="0" customWidth="1"/>
    <col min="269" max="269" width="10.421875" style="0" bestFit="1" customWidth="1"/>
    <col min="270" max="270" width="13.28125" style="0" customWidth="1"/>
    <col min="271" max="271" width="12.140625" style="0" bestFit="1" customWidth="1"/>
    <col min="513" max="517" width="9.140625" style="0" hidden="1" customWidth="1"/>
    <col min="518" max="518" width="5.57421875" style="0" bestFit="1" customWidth="1"/>
    <col min="519" max="519" width="3.8515625" style="0" bestFit="1" customWidth="1"/>
    <col min="520" max="520" width="14.8515625" style="0" bestFit="1" customWidth="1"/>
    <col min="521" max="521" width="61.8515625" style="0" customWidth="1"/>
    <col min="522" max="522" width="6.57421875" style="0" bestFit="1" customWidth="1"/>
    <col min="523" max="523" width="13.7109375" style="0" customWidth="1"/>
    <col min="524" max="524" width="6.8515625" style="0" customWidth="1"/>
    <col min="525" max="525" width="10.421875" style="0" bestFit="1" customWidth="1"/>
    <col min="526" max="526" width="13.28125" style="0" customWidth="1"/>
    <col min="527" max="527" width="12.140625" style="0" bestFit="1" customWidth="1"/>
    <col min="769" max="773" width="9.140625" style="0" hidden="1" customWidth="1"/>
    <col min="774" max="774" width="5.57421875" style="0" bestFit="1" customWidth="1"/>
    <col min="775" max="775" width="3.8515625" style="0" bestFit="1" customWidth="1"/>
    <col min="776" max="776" width="14.8515625" style="0" bestFit="1" customWidth="1"/>
    <col min="777" max="777" width="61.8515625" style="0" customWidth="1"/>
    <col min="778" max="778" width="6.57421875" style="0" bestFit="1" customWidth="1"/>
    <col min="779" max="779" width="13.7109375" style="0" customWidth="1"/>
    <col min="780" max="780" width="6.8515625" style="0" customWidth="1"/>
    <col min="781" max="781" width="10.421875" style="0" bestFit="1" customWidth="1"/>
    <col min="782" max="782" width="13.28125" style="0" customWidth="1"/>
    <col min="783" max="783" width="12.140625" style="0" bestFit="1" customWidth="1"/>
    <col min="1025" max="1029" width="9.140625" style="0" hidden="1" customWidth="1"/>
    <col min="1030" max="1030" width="5.57421875" style="0" bestFit="1" customWidth="1"/>
    <col min="1031" max="1031" width="3.8515625" style="0" bestFit="1" customWidth="1"/>
    <col min="1032" max="1032" width="14.8515625" style="0" bestFit="1" customWidth="1"/>
    <col min="1033" max="1033" width="61.8515625" style="0" customWidth="1"/>
    <col min="1034" max="1034" width="6.57421875" style="0" bestFit="1" customWidth="1"/>
    <col min="1035" max="1035" width="13.7109375" style="0" customWidth="1"/>
    <col min="1036" max="1036" width="6.8515625" style="0" customWidth="1"/>
    <col min="1037" max="1037" width="10.421875" style="0" bestFit="1" customWidth="1"/>
    <col min="1038" max="1038" width="13.28125" style="0" customWidth="1"/>
    <col min="1039" max="1039" width="12.140625" style="0" bestFit="1" customWidth="1"/>
    <col min="1281" max="1285" width="9.140625" style="0" hidden="1" customWidth="1"/>
    <col min="1286" max="1286" width="5.57421875" style="0" bestFit="1" customWidth="1"/>
    <col min="1287" max="1287" width="3.8515625" style="0" bestFit="1" customWidth="1"/>
    <col min="1288" max="1288" width="14.8515625" style="0" bestFit="1" customWidth="1"/>
    <col min="1289" max="1289" width="61.8515625" style="0" customWidth="1"/>
    <col min="1290" max="1290" width="6.57421875" style="0" bestFit="1" customWidth="1"/>
    <col min="1291" max="1291" width="13.7109375" style="0" customWidth="1"/>
    <col min="1292" max="1292" width="6.8515625" style="0" customWidth="1"/>
    <col min="1293" max="1293" width="10.421875" style="0" bestFit="1" customWidth="1"/>
    <col min="1294" max="1294" width="13.28125" style="0" customWidth="1"/>
    <col min="1295" max="1295" width="12.140625" style="0" bestFit="1" customWidth="1"/>
    <col min="1537" max="1541" width="9.140625" style="0" hidden="1" customWidth="1"/>
    <col min="1542" max="1542" width="5.57421875" style="0" bestFit="1" customWidth="1"/>
    <col min="1543" max="1543" width="3.8515625" style="0" bestFit="1" customWidth="1"/>
    <col min="1544" max="1544" width="14.8515625" style="0" bestFit="1" customWidth="1"/>
    <col min="1545" max="1545" width="61.8515625" style="0" customWidth="1"/>
    <col min="1546" max="1546" width="6.57421875" style="0" bestFit="1" customWidth="1"/>
    <col min="1547" max="1547" width="13.7109375" style="0" customWidth="1"/>
    <col min="1548" max="1548" width="6.8515625" style="0" customWidth="1"/>
    <col min="1549" max="1549" width="10.421875" style="0" bestFit="1" customWidth="1"/>
    <col min="1550" max="1550" width="13.28125" style="0" customWidth="1"/>
    <col min="1551" max="1551" width="12.140625" style="0" bestFit="1" customWidth="1"/>
    <col min="1793" max="1797" width="9.140625" style="0" hidden="1" customWidth="1"/>
    <col min="1798" max="1798" width="5.57421875" style="0" bestFit="1" customWidth="1"/>
    <col min="1799" max="1799" width="3.8515625" style="0" bestFit="1" customWidth="1"/>
    <col min="1800" max="1800" width="14.8515625" style="0" bestFit="1" customWidth="1"/>
    <col min="1801" max="1801" width="61.8515625" style="0" customWidth="1"/>
    <col min="1802" max="1802" width="6.57421875" style="0" bestFit="1" customWidth="1"/>
    <col min="1803" max="1803" width="13.7109375" style="0" customWidth="1"/>
    <col min="1804" max="1804" width="6.8515625" style="0" customWidth="1"/>
    <col min="1805" max="1805" width="10.421875" style="0" bestFit="1" customWidth="1"/>
    <col min="1806" max="1806" width="13.28125" style="0" customWidth="1"/>
    <col min="1807" max="1807" width="12.140625" style="0" bestFit="1" customWidth="1"/>
    <col min="2049" max="2053" width="9.140625" style="0" hidden="1" customWidth="1"/>
    <col min="2054" max="2054" width="5.57421875" style="0" bestFit="1" customWidth="1"/>
    <col min="2055" max="2055" width="3.8515625" style="0" bestFit="1" customWidth="1"/>
    <col min="2056" max="2056" width="14.8515625" style="0" bestFit="1" customWidth="1"/>
    <col min="2057" max="2057" width="61.8515625" style="0" customWidth="1"/>
    <col min="2058" max="2058" width="6.57421875" style="0" bestFit="1" customWidth="1"/>
    <col min="2059" max="2059" width="13.7109375" style="0" customWidth="1"/>
    <col min="2060" max="2060" width="6.8515625" style="0" customWidth="1"/>
    <col min="2061" max="2061" width="10.421875" style="0" bestFit="1" customWidth="1"/>
    <col min="2062" max="2062" width="13.28125" style="0" customWidth="1"/>
    <col min="2063" max="2063" width="12.140625" style="0" bestFit="1" customWidth="1"/>
    <col min="2305" max="2309" width="9.140625" style="0" hidden="1" customWidth="1"/>
    <col min="2310" max="2310" width="5.57421875" style="0" bestFit="1" customWidth="1"/>
    <col min="2311" max="2311" width="3.8515625" style="0" bestFit="1" customWidth="1"/>
    <col min="2312" max="2312" width="14.8515625" style="0" bestFit="1" customWidth="1"/>
    <col min="2313" max="2313" width="61.8515625" style="0" customWidth="1"/>
    <col min="2314" max="2314" width="6.57421875" style="0" bestFit="1" customWidth="1"/>
    <col min="2315" max="2315" width="13.7109375" style="0" customWidth="1"/>
    <col min="2316" max="2316" width="6.8515625" style="0" customWidth="1"/>
    <col min="2317" max="2317" width="10.421875" style="0" bestFit="1" customWidth="1"/>
    <col min="2318" max="2318" width="13.28125" style="0" customWidth="1"/>
    <col min="2319" max="2319" width="12.140625" style="0" bestFit="1" customWidth="1"/>
    <col min="2561" max="2565" width="9.140625" style="0" hidden="1" customWidth="1"/>
    <col min="2566" max="2566" width="5.57421875" style="0" bestFit="1" customWidth="1"/>
    <col min="2567" max="2567" width="3.8515625" style="0" bestFit="1" customWidth="1"/>
    <col min="2568" max="2568" width="14.8515625" style="0" bestFit="1" customWidth="1"/>
    <col min="2569" max="2569" width="61.8515625" style="0" customWidth="1"/>
    <col min="2570" max="2570" width="6.57421875" style="0" bestFit="1" customWidth="1"/>
    <col min="2571" max="2571" width="13.7109375" style="0" customWidth="1"/>
    <col min="2572" max="2572" width="6.8515625" style="0" customWidth="1"/>
    <col min="2573" max="2573" width="10.421875" style="0" bestFit="1" customWidth="1"/>
    <col min="2574" max="2574" width="13.28125" style="0" customWidth="1"/>
    <col min="2575" max="2575" width="12.140625" style="0" bestFit="1" customWidth="1"/>
    <col min="2817" max="2821" width="9.140625" style="0" hidden="1" customWidth="1"/>
    <col min="2822" max="2822" width="5.57421875" style="0" bestFit="1" customWidth="1"/>
    <col min="2823" max="2823" width="3.8515625" style="0" bestFit="1" customWidth="1"/>
    <col min="2824" max="2824" width="14.8515625" style="0" bestFit="1" customWidth="1"/>
    <col min="2825" max="2825" width="61.8515625" style="0" customWidth="1"/>
    <col min="2826" max="2826" width="6.57421875" style="0" bestFit="1" customWidth="1"/>
    <col min="2827" max="2827" width="13.7109375" style="0" customWidth="1"/>
    <col min="2828" max="2828" width="6.8515625" style="0" customWidth="1"/>
    <col min="2829" max="2829" width="10.421875" style="0" bestFit="1" customWidth="1"/>
    <col min="2830" max="2830" width="13.28125" style="0" customWidth="1"/>
    <col min="2831" max="2831" width="12.140625" style="0" bestFit="1" customWidth="1"/>
    <col min="3073" max="3077" width="9.140625" style="0" hidden="1" customWidth="1"/>
    <col min="3078" max="3078" width="5.57421875" style="0" bestFit="1" customWidth="1"/>
    <col min="3079" max="3079" width="3.8515625" style="0" bestFit="1" customWidth="1"/>
    <col min="3080" max="3080" width="14.8515625" style="0" bestFit="1" customWidth="1"/>
    <col min="3081" max="3081" width="61.8515625" style="0" customWidth="1"/>
    <col min="3082" max="3082" width="6.57421875" style="0" bestFit="1" customWidth="1"/>
    <col min="3083" max="3083" width="13.7109375" style="0" customWidth="1"/>
    <col min="3084" max="3084" width="6.8515625" style="0" customWidth="1"/>
    <col min="3085" max="3085" width="10.421875" style="0" bestFit="1" customWidth="1"/>
    <col min="3086" max="3086" width="13.28125" style="0" customWidth="1"/>
    <col min="3087" max="3087" width="12.140625" style="0" bestFit="1" customWidth="1"/>
    <col min="3329" max="3333" width="9.140625" style="0" hidden="1" customWidth="1"/>
    <col min="3334" max="3334" width="5.57421875" style="0" bestFit="1" customWidth="1"/>
    <col min="3335" max="3335" width="3.8515625" style="0" bestFit="1" customWidth="1"/>
    <col min="3336" max="3336" width="14.8515625" style="0" bestFit="1" customWidth="1"/>
    <col min="3337" max="3337" width="61.8515625" style="0" customWidth="1"/>
    <col min="3338" max="3338" width="6.57421875" style="0" bestFit="1" customWidth="1"/>
    <col min="3339" max="3339" width="13.7109375" style="0" customWidth="1"/>
    <col min="3340" max="3340" width="6.8515625" style="0" customWidth="1"/>
    <col min="3341" max="3341" width="10.421875" style="0" bestFit="1" customWidth="1"/>
    <col min="3342" max="3342" width="13.28125" style="0" customWidth="1"/>
    <col min="3343" max="3343" width="12.140625" style="0" bestFit="1" customWidth="1"/>
    <col min="3585" max="3589" width="9.140625" style="0" hidden="1" customWidth="1"/>
    <col min="3590" max="3590" width="5.57421875" style="0" bestFit="1" customWidth="1"/>
    <col min="3591" max="3591" width="3.8515625" style="0" bestFit="1" customWidth="1"/>
    <col min="3592" max="3592" width="14.8515625" style="0" bestFit="1" customWidth="1"/>
    <col min="3593" max="3593" width="61.8515625" style="0" customWidth="1"/>
    <col min="3594" max="3594" width="6.57421875" style="0" bestFit="1" customWidth="1"/>
    <col min="3595" max="3595" width="13.7109375" style="0" customWidth="1"/>
    <col min="3596" max="3596" width="6.8515625" style="0" customWidth="1"/>
    <col min="3597" max="3597" width="10.421875" style="0" bestFit="1" customWidth="1"/>
    <col min="3598" max="3598" width="13.28125" style="0" customWidth="1"/>
    <col min="3599" max="3599" width="12.140625" style="0" bestFit="1" customWidth="1"/>
    <col min="3841" max="3845" width="9.140625" style="0" hidden="1" customWidth="1"/>
    <col min="3846" max="3846" width="5.57421875" style="0" bestFit="1" customWidth="1"/>
    <col min="3847" max="3847" width="3.8515625" style="0" bestFit="1" customWidth="1"/>
    <col min="3848" max="3848" width="14.8515625" style="0" bestFit="1" customWidth="1"/>
    <col min="3849" max="3849" width="61.8515625" style="0" customWidth="1"/>
    <col min="3850" max="3850" width="6.57421875" style="0" bestFit="1" customWidth="1"/>
    <col min="3851" max="3851" width="13.7109375" style="0" customWidth="1"/>
    <col min="3852" max="3852" width="6.8515625" style="0" customWidth="1"/>
    <col min="3853" max="3853" width="10.421875" style="0" bestFit="1" customWidth="1"/>
    <col min="3854" max="3854" width="13.28125" style="0" customWidth="1"/>
    <col min="3855" max="3855" width="12.140625" style="0" bestFit="1" customWidth="1"/>
    <col min="4097" max="4101" width="9.140625" style="0" hidden="1" customWidth="1"/>
    <col min="4102" max="4102" width="5.57421875" style="0" bestFit="1" customWidth="1"/>
    <col min="4103" max="4103" width="3.8515625" style="0" bestFit="1" customWidth="1"/>
    <col min="4104" max="4104" width="14.8515625" style="0" bestFit="1" customWidth="1"/>
    <col min="4105" max="4105" width="61.8515625" style="0" customWidth="1"/>
    <col min="4106" max="4106" width="6.57421875" style="0" bestFit="1" customWidth="1"/>
    <col min="4107" max="4107" width="13.7109375" style="0" customWidth="1"/>
    <col min="4108" max="4108" width="6.8515625" style="0" customWidth="1"/>
    <col min="4109" max="4109" width="10.421875" style="0" bestFit="1" customWidth="1"/>
    <col min="4110" max="4110" width="13.28125" style="0" customWidth="1"/>
    <col min="4111" max="4111" width="12.140625" style="0" bestFit="1" customWidth="1"/>
    <col min="4353" max="4357" width="9.140625" style="0" hidden="1" customWidth="1"/>
    <col min="4358" max="4358" width="5.57421875" style="0" bestFit="1" customWidth="1"/>
    <col min="4359" max="4359" width="3.8515625" style="0" bestFit="1" customWidth="1"/>
    <col min="4360" max="4360" width="14.8515625" style="0" bestFit="1" customWidth="1"/>
    <col min="4361" max="4361" width="61.8515625" style="0" customWidth="1"/>
    <col min="4362" max="4362" width="6.57421875" style="0" bestFit="1" customWidth="1"/>
    <col min="4363" max="4363" width="13.7109375" style="0" customWidth="1"/>
    <col min="4364" max="4364" width="6.8515625" style="0" customWidth="1"/>
    <col min="4365" max="4365" width="10.421875" style="0" bestFit="1" customWidth="1"/>
    <col min="4366" max="4366" width="13.28125" style="0" customWidth="1"/>
    <col min="4367" max="4367" width="12.140625" style="0" bestFit="1" customWidth="1"/>
    <col min="4609" max="4613" width="9.140625" style="0" hidden="1" customWidth="1"/>
    <col min="4614" max="4614" width="5.57421875" style="0" bestFit="1" customWidth="1"/>
    <col min="4615" max="4615" width="3.8515625" style="0" bestFit="1" customWidth="1"/>
    <col min="4616" max="4616" width="14.8515625" style="0" bestFit="1" customWidth="1"/>
    <col min="4617" max="4617" width="61.8515625" style="0" customWidth="1"/>
    <col min="4618" max="4618" width="6.57421875" style="0" bestFit="1" customWidth="1"/>
    <col min="4619" max="4619" width="13.7109375" style="0" customWidth="1"/>
    <col min="4620" max="4620" width="6.8515625" style="0" customWidth="1"/>
    <col min="4621" max="4621" width="10.421875" style="0" bestFit="1" customWidth="1"/>
    <col min="4622" max="4622" width="13.28125" style="0" customWidth="1"/>
    <col min="4623" max="4623" width="12.140625" style="0" bestFit="1" customWidth="1"/>
    <col min="4865" max="4869" width="9.140625" style="0" hidden="1" customWidth="1"/>
    <col min="4870" max="4870" width="5.57421875" style="0" bestFit="1" customWidth="1"/>
    <col min="4871" max="4871" width="3.8515625" style="0" bestFit="1" customWidth="1"/>
    <col min="4872" max="4872" width="14.8515625" style="0" bestFit="1" customWidth="1"/>
    <col min="4873" max="4873" width="61.8515625" style="0" customWidth="1"/>
    <col min="4874" max="4874" width="6.57421875" style="0" bestFit="1" customWidth="1"/>
    <col min="4875" max="4875" width="13.7109375" style="0" customWidth="1"/>
    <col min="4876" max="4876" width="6.8515625" style="0" customWidth="1"/>
    <col min="4877" max="4877" width="10.421875" style="0" bestFit="1" customWidth="1"/>
    <col min="4878" max="4878" width="13.28125" style="0" customWidth="1"/>
    <col min="4879" max="4879" width="12.140625" style="0" bestFit="1" customWidth="1"/>
    <col min="5121" max="5125" width="9.140625" style="0" hidden="1" customWidth="1"/>
    <col min="5126" max="5126" width="5.57421875" style="0" bestFit="1" customWidth="1"/>
    <col min="5127" max="5127" width="3.8515625" style="0" bestFit="1" customWidth="1"/>
    <col min="5128" max="5128" width="14.8515625" style="0" bestFit="1" customWidth="1"/>
    <col min="5129" max="5129" width="61.8515625" style="0" customWidth="1"/>
    <col min="5130" max="5130" width="6.57421875" style="0" bestFit="1" customWidth="1"/>
    <col min="5131" max="5131" width="13.7109375" style="0" customWidth="1"/>
    <col min="5132" max="5132" width="6.8515625" style="0" customWidth="1"/>
    <col min="5133" max="5133" width="10.421875" style="0" bestFit="1" customWidth="1"/>
    <col min="5134" max="5134" width="13.28125" style="0" customWidth="1"/>
    <col min="5135" max="5135" width="12.140625" style="0" bestFit="1" customWidth="1"/>
    <col min="5377" max="5381" width="9.140625" style="0" hidden="1" customWidth="1"/>
    <col min="5382" max="5382" width="5.57421875" style="0" bestFit="1" customWidth="1"/>
    <col min="5383" max="5383" width="3.8515625" style="0" bestFit="1" customWidth="1"/>
    <col min="5384" max="5384" width="14.8515625" style="0" bestFit="1" customWidth="1"/>
    <col min="5385" max="5385" width="61.8515625" style="0" customWidth="1"/>
    <col min="5386" max="5386" width="6.57421875" style="0" bestFit="1" customWidth="1"/>
    <col min="5387" max="5387" width="13.7109375" style="0" customWidth="1"/>
    <col min="5388" max="5388" width="6.8515625" style="0" customWidth="1"/>
    <col min="5389" max="5389" width="10.421875" style="0" bestFit="1" customWidth="1"/>
    <col min="5390" max="5390" width="13.28125" style="0" customWidth="1"/>
    <col min="5391" max="5391" width="12.140625" style="0" bestFit="1" customWidth="1"/>
    <col min="5633" max="5637" width="9.140625" style="0" hidden="1" customWidth="1"/>
    <col min="5638" max="5638" width="5.57421875" style="0" bestFit="1" customWidth="1"/>
    <col min="5639" max="5639" width="3.8515625" style="0" bestFit="1" customWidth="1"/>
    <col min="5640" max="5640" width="14.8515625" style="0" bestFit="1" customWidth="1"/>
    <col min="5641" max="5641" width="61.8515625" style="0" customWidth="1"/>
    <col min="5642" max="5642" width="6.57421875" style="0" bestFit="1" customWidth="1"/>
    <col min="5643" max="5643" width="13.7109375" style="0" customWidth="1"/>
    <col min="5644" max="5644" width="6.8515625" style="0" customWidth="1"/>
    <col min="5645" max="5645" width="10.421875" style="0" bestFit="1" customWidth="1"/>
    <col min="5646" max="5646" width="13.28125" style="0" customWidth="1"/>
    <col min="5647" max="5647" width="12.140625" style="0" bestFit="1" customWidth="1"/>
    <col min="5889" max="5893" width="9.140625" style="0" hidden="1" customWidth="1"/>
    <col min="5894" max="5894" width="5.57421875" style="0" bestFit="1" customWidth="1"/>
    <col min="5895" max="5895" width="3.8515625" style="0" bestFit="1" customWidth="1"/>
    <col min="5896" max="5896" width="14.8515625" style="0" bestFit="1" customWidth="1"/>
    <col min="5897" max="5897" width="61.8515625" style="0" customWidth="1"/>
    <col min="5898" max="5898" width="6.57421875" style="0" bestFit="1" customWidth="1"/>
    <col min="5899" max="5899" width="13.7109375" style="0" customWidth="1"/>
    <col min="5900" max="5900" width="6.8515625" style="0" customWidth="1"/>
    <col min="5901" max="5901" width="10.421875" style="0" bestFit="1" customWidth="1"/>
    <col min="5902" max="5902" width="13.28125" style="0" customWidth="1"/>
    <col min="5903" max="5903" width="12.140625" style="0" bestFit="1" customWidth="1"/>
    <col min="6145" max="6149" width="9.140625" style="0" hidden="1" customWidth="1"/>
    <col min="6150" max="6150" width="5.57421875" style="0" bestFit="1" customWidth="1"/>
    <col min="6151" max="6151" width="3.8515625" style="0" bestFit="1" customWidth="1"/>
    <col min="6152" max="6152" width="14.8515625" style="0" bestFit="1" customWidth="1"/>
    <col min="6153" max="6153" width="61.8515625" style="0" customWidth="1"/>
    <col min="6154" max="6154" width="6.57421875" style="0" bestFit="1" customWidth="1"/>
    <col min="6155" max="6155" width="13.7109375" style="0" customWidth="1"/>
    <col min="6156" max="6156" width="6.8515625" style="0" customWidth="1"/>
    <col min="6157" max="6157" width="10.421875" style="0" bestFit="1" customWidth="1"/>
    <col min="6158" max="6158" width="13.28125" style="0" customWidth="1"/>
    <col min="6159" max="6159" width="12.140625" style="0" bestFit="1" customWidth="1"/>
    <col min="6401" max="6405" width="9.140625" style="0" hidden="1" customWidth="1"/>
    <col min="6406" max="6406" width="5.57421875" style="0" bestFit="1" customWidth="1"/>
    <col min="6407" max="6407" width="3.8515625" style="0" bestFit="1" customWidth="1"/>
    <col min="6408" max="6408" width="14.8515625" style="0" bestFit="1" customWidth="1"/>
    <col min="6409" max="6409" width="61.8515625" style="0" customWidth="1"/>
    <col min="6410" max="6410" width="6.57421875" style="0" bestFit="1" customWidth="1"/>
    <col min="6411" max="6411" width="13.7109375" style="0" customWidth="1"/>
    <col min="6412" max="6412" width="6.8515625" style="0" customWidth="1"/>
    <col min="6413" max="6413" width="10.421875" style="0" bestFit="1" customWidth="1"/>
    <col min="6414" max="6414" width="13.28125" style="0" customWidth="1"/>
    <col min="6415" max="6415" width="12.140625" style="0" bestFit="1" customWidth="1"/>
    <col min="6657" max="6661" width="9.140625" style="0" hidden="1" customWidth="1"/>
    <col min="6662" max="6662" width="5.57421875" style="0" bestFit="1" customWidth="1"/>
    <col min="6663" max="6663" width="3.8515625" style="0" bestFit="1" customWidth="1"/>
    <col min="6664" max="6664" width="14.8515625" style="0" bestFit="1" customWidth="1"/>
    <col min="6665" max="6665" width="61.8515625" style="0" customWidth="1"/>
    <col min="6666" max="6666" width="6.57421875" style="0" bestFit="1" customWidth="1"/>
    <col min="6667" max="6667" width="13.7109375" style="0" customWidth="1"/>
    <col min="6668" max="6668" width="6.8515625" style="0" customWidth="1"/>
    <col min="6669" max="6669" width="10.421875" style="0" bestFit="1" customWidth="1"/>
    <col min="6670" max="6670" width="13.28125" style="0" customWidth="1"/>
    <col min="6671" max="6671" width="12.140625" style="0" bestFit="1" customWidth="1"/>
    <col min="6913" max="6917" width="9.140625" style="0" hidden="1" customWidth="1"/>
    <col min="6918" max="6918" width="5.57421875" style="0" bestFit="1" customWidth="1"/>
    <col min="6919" max="6919" width="3.8515625" style="0" bestFit="1" customWidth="1"/>
    <col min="6920" max="6920" width="14.8515625" style="0" bestFit="1" customWidth="1"/>
    <col min="6921" max="6921" width="61.8515625" style="0" customWidth="1"/>
    <col min="6922" max="6922" width="6.57421875" style="0" bestFit="1" customWidth="1"/>
    <col min="6923" max="6923" width="13.7109375" style="0" customWidth="1"/>
    <col min="6924" max="6924" width="6.8515625" style="0" customWidth="1"/>
    <col min="6925" max="6925" width="10.421875" style="0" bestFit="1" customWidth="1"/>
    <col min="6926" max="6926" width="13.28125" style="0" customWidth="1"/>
    <col min="6927" max="6927" width="12.140625" style="0" bestFit="1" customWidth="1"/>
    <col min="7169" max="7173" width="9.140625" style="0" hidden="1" customWidth="1"/>
    <col min="7174" max="7174" width="5.57421875" style="0" bestFit="1" customWidth="1"/>
    <col min="7175" max="7175" width="3.8515625" style="0" bestFit="1" customWidth="1"/>
    <col min="7176" max="7176" width="14.8515625" style="0" bestFit="1" customWidth="1"/>
    <col min="7177" max="7177" width="61.8515625" style="0" customWidth="1"/>
    <col min="7178" max="7178" width="6.57421875" style="0" bestFit="1" customWidth="1"/>
    <col min="7179" max="7179" width="13.7109375" style="0" customWidth="1"/>
    <col min="7180" max="7180" width="6.8515625" style="0" customWidth="1"/>
    <col min="7181" max="7181" width="10.421875" style="0" bestFit="1" customWidth="1"/>
    <col min="7182" max="7182" width="13.28125" style="0" customWidth="1"/>
    <col min="7183" max="7183" width="12.140625" style="0" bestFit="1" customWidth="1"/>
    <col min="7425" max="7429" width="9.140625" style="0" hidden="1" customWidth="1"/>
    <col min="7430" max="7430" width="5.57421875" style="0" bestFit="1" customWidth="1"/>
    <col min="7431" max="7431" width="3.8515625" style="0" bestFit="1" customWidth="1"/>
    <col min="7432" max="7432" width="14.8515625" style="0" bestFit="1" customWidth="1"/>
    <col min="7433" max="7433" width="61.8515625" style="0" customWidth="1"/>
    <col min="7434" max="7434" width="6.57421875" style="0" bestFit="1" customWidth="1"/>
    <col min="7435" max="7435" width="13.7109375" style="0" customWidth="1"/>
    <col min="7436" max="7436" width="6.8515625" style="0" customWidth="1"/>
    <col min="7437" max="7437" width="10.421875" style="0" bestFit="1" customWidth="1"/>
    <col min="7438" max="7438" width="13.28125" style="0" customWidth="1"/>
    <col min="7439" max="7439" width="12.140625" style="0" bestFit="1" customWidth="1"/>
    <col min="7681" max="7685" width="9.140625" style="0" hidden="1" customWidth="1"/>
    <col min="7686" max="7686" width="5.57421875" style="0" bestFit="1" customWidth="1"/>
    <col min="7687" max="7687" width="3.8515625" style="0" bestFit="1" customWidth="1"/>
    <col min="7688" max="7688" width="14.8515625" style="0" bestFit="1" customWidth="1"/>
    <col min="7689" max="7689" width="61.8515625" style="0" customWidth="1"/>
    <col min="7690" max="7690" width="6.57421875" style="0" bestFit="1" customWidth="1"/>
    <col min="7691" max="7691" width="13.7109375" style="0" customWidth="1"/>
    <col min="7692" max="7692" width="6.8515625" style="0" customWidth="1"/>
    <col min="7693" max="7693" width="10.421875" style="0" bestFit="1" customWidth="1"/>
    <col min="7694" max="7694" width="13.28125" style="0" customWidth="1"/>
    <col min="7695" max="7695" width="12.140625" style="0" bestFit="1" customWidth="1"/>
    <col min="7937" max="7941" width="9.140625" style="0" hidden="1" customWidth="1"/>
    <col min="7942" max="7942" width="5.57421875" style="0" bestFit="1" customWidth="1"/>
    <col min="7943" max="7943" width="3.8515625" style="0" bestFit="1" customWidth="1"/>
    <col min="7944" max="7944" width="14.8515625" style="0" bestFit="1" customWidth="1"/>
    <col min="7945" max="7945" width="61.8515625" style="0" customWidth="1"/>
    <col min="7946" max="7946" width="6.57421875" style="0" bestFit="1" customWidth="1"/>
    <col min="7947" max="7947" width="13.7109375" style="0" customWidth="1"/>
    <col min="7948" max="7948" width="6.8515625" style="0" customWidth="1"/>
    <col min="7949" max="7949" width="10.421875" style="0" bestFit="1" customWidth="1"/>
    <col min="7950" max="7950" width="13.28125" style="0" customWidth="1"/>
    <col min="7951" max="7951" width="12.140625" style="0" bestFit="1" customWidth="1"/>
    <col min="8193" max="8197" width="9.140625" style="0" hidden="1" customWidth="1"/>
    <col min="8198" max="8198" width="5.57421875" style="0" bestFit="1" customWidth="1"/>
    <col min="8199" max="8199" width="3.8515625" style="0" bestFit="1" customWidth="1"/>
    <col min="8200" max="8200" width="14.8515625" style="0" bestFit="1" customWidth="1"/>
    <col min="8201" max="8201" width="61.8515625" style="0" customWidth="1"/>
    <col min="8202" max="8202" width="6.57421875" style="0" bestFit="1" customWidth="1"/>
    <col min="8203" max="8203" width="13.7109375" style="0" customWidth="1"/>
    <col min="8204" max="8204" width="6.8515625" style="0" customWidth="1"/>
    <col min="8205" max="8205" width="10.421875" style="0" bestFit="1" customWidth="1"/>
    <col min="8206" max="8206" width="13.28125" style="0" customWidth="1"/>
    <col min="8207" max="8207" width="12.140625" style="0" bestFit="1" customWidth="1"/>
    <col min="8449" max="8453" width="9.140625" style="0" hidden="1" customWidth="1"/>
    <col min="8454" max="8454" width="5.57421875" style="0" bestFit="1" customWidth="1"/>
    <col min="8455" max="8455" width="3.8515625" style="0" bestFit="1" customWidth="1"/>
    <col min="8456" max="8456" width="14.8515625" style="0" bestFit="1" customWidth="1"/>
    <col min="8457" max="8457" width="61.8515625" style="0" customWidth="1"/>
    <col min="8458" max="8458" width="6.57421875" style="0" bestFit="1" customWidth="1"/>
    <col min="8459" max="8459" width="13.7109375" style="0" customWidth="1"/>
    <col min="8460" max="8460" width="6.8515625" style="0" customWidth="1"/>
    <col min="8461" max="8461" width="10.421875" style="0" bestFit="1" customWidth="1"/>
    <col min="8462" max="8462" width="13.28125" style="0" customWidth="1"/>
    <col min="8463" max="8463" width="12.140625" style="0" bestFit="1" customWidth="1"/>
    <col min="8705" max="8709" width="9.140625" style="0" hidden="1" customWidth="1"/>
    <col min="8710" max="8710" width="5.57421875" style="0" bestFit="1" customWidth="1"/>
    <col min="8711" max="8711" width="3.8515625" style="0" bestFit="1" customWidth="1"/>
    <col min="8712" max="8712" width="14.8515625" style="0" bestFit="1" customWidth="1"/>
    <col min="8713" max="8713" width="61.8515625" style="0" customWidth="1"/>
    <col min="8714" max="8714" width="6.57421875" style="0" bestFit="1" customWidth="1"/>
    <col min="8715" max="8715" width="13.7109375" style="0" customWidth="1"/>
    <col min="8716" max="8716" width="6.8515625" style="0" customWidth="1"/>
    <col min="8717" max="8717" width="10.421875" style="0" bestFit="1" customWidth="1"/>
    <col min="8718" max="8718" width="13.28125" style="0" customWidth="1"/>
    <col min="8719" max="8719" width="12.140625" style="0" bestFit="1" customWidth="1"/>
    <col min="8961" max="8965" width="9.140625" style="0" hidden="1" customWidth="1"/>
    <col min="8966" max="8966" width="5.57421875" style="0" bestFit="1" customWidth="1"/>
    <col min="8967" max="8967" width="3.8515625" style="0" bestFit="1" customWidth="1"/>
    <col min="8968" max="8968" width="14.8515625" style="0" bestFit="1" customWidth="1"/>
    <col min="8969" max="8969" width="61.8515625" style="0" customWidth="1"/>
    <col min="8970" max="8970" width="6.57421875" style="0" bestFit="1" customWidth="1"/>
    <col min="8971" max="8971" width="13.7109375" style="0" customWidth="1"/>
    <col min="8972" max="8972" width="6.8515625" style="0" customWidth="1"/>
    <col min="8973" max="8973" width="10.421875" style="0" bestFit="1" customWidth="1"/>
    <col min="8974" max="8974" width="13.28125" style="0" customWidth="1"/>
    <col min="8975" max="8975" width="12.140625" style="0" bestFit="1" customWidth="1"/>
    <col min="9217" max="9221" width="9.140625" style="0" hidden="1" customWidth="1"/>
    <col min="9222" max="9222" width="5.57421875" style="0" bestFit="1" customWidth="1"/>
    <col min="9223" max="9223" width="3.8515625" style="0" bestFit="1" customWidth="1"/>
    <col min="9224" max="9224" width="14.8515625" style="0" bestFit="1" customWidth="1"/>
    <col min="9225" max="9225" width="61.8515625" style="0" customWidth="1"/>
    <col min="9226" max="9226" width="6.57421875" style="0" bestFit="1" customWidth="1"/>
    <col min="9227" max="9227" width="13.7109375" style="0" customWidth="1"/>
    <col min="9228" max="9228" width="6.8515625" style="0" customWidth="1"/>
    <col min="9229" max="9229" width="10.421875" style="0" bestFit="1" customWidth="1"/>
    <col min="9230" max="9230" width="13.28125" style="0" customWidth="1"/>
    <col min="9231" max="9231" width="12.140625" style="0" bestFit="1" customWidth="1"/>
    <col min="9473" max="9477" width="9.140625" style="0" hidden="1" customWidth="1"/>
    <col min="9478" max="9478" width="5.57421875" style="0" bestFit="1" customWidth="1"/>
    <col min="9479" max="9479" width="3.8515625" style="0" bestFit="1" customWidth="1"/>
    <col min="9480" max="9480" width="14.8515625" style="0" bestFit="1" customWidth="1"/>
    <col min="9481" max="9481" width="61.8515625" style="0" customWidth="1"/>
    <col min="9482" max="9482" width="6.57421875" style="0" bestFit="1" customWidth="1"/>
    <col min="9483" max="9483" width="13.7109375" style="0" customWidth="1"/>
    <col min="9484" max="9484" width="6.8515625" style="0" customWidth="1"/>
    <col min="9485" max="9485" width="10.421875" style="0" bestFit="1" customWidth="1"/>
    <col min="9486" max="9486" width="13.28125" style="0" customWidth="1"/>
    <col min="9487" max="9487" width="12.140625" style="0" bestFit="1" customWidth="1"/>
    <col min="9729" max="9733" width="9.140625" style="0" hidden="1" customWidth="1"/>
    <col min="9734" max="9734" width="5.57421875" style="0" bestFit="1" customWidth="1"/>
    <col min="9735" max="9735" width="3.8515625" style="0" bestFit="1" customWidth="1"/>
    <col min="9736" max="9736" width="14.8515625" style="0" bestFit="1" customWidth="1"/>
    <col min="9737" max="9737" width="61.8515625" style="0" customWidth="1"/>
    <col min="9738" max="9738" width="6.57421875" style="0" bestFit="1" customWidth="1"/>
    <col min="9739" max="9739" width="13.7109375" style="0" customWidth="1"/>
    <col min="9740" max="9740" width="6.8515625" style="0" customWidth="1"/>
    <col min="9741" max="9741" width="10.421875" style="0" bestFit="1" customWidth="1"/>
    <col min="9742" max="9742" width="13.28125" style="0" customWidth="1"/>
    <col min="9743" max="9743" width="12.140625" style="0" bestFit="1" customWidth="1"/>
    <col min="9985" max="9989" width="9.140625" style="0" hidden="1" customWidth="1"/>
    <col min="9990" max="9990" width="5.57421875" style="0" bestFit="1" customWidth="1"/>
    <col min="9991" max="9991" width="3.8515625" style="0" bestFit="1" customWidth="1"/>
    <col min="9992" max="9992" width="14.8515625" style="0" bestFit="1" customWidth="1"/>
    <col min="9993" max="9993" width="61.8515625" style="0" customWidth="1"/>
    <col min="9994" max="9994" width="6.57421875" style="0" bestFit="1" customWidth="1"/>
    <col min="9995" max="9995" width="13.7109375" style="0" customWidth="1"/>
    <col min="9996" max="9996" width="6.8515625" style="0" customWidth="1"/>
    <col min="9997" max="9997" width="10.421875" style="0" bestFit="1" customWidth="1"/>
    <col min="9998" max="9998" width="13.28125" style="0" customWidth="1"/>
    <col min="9999" max="9999" width="12.140625" style="0" bestFit="1" customWidth="1"/>
    <col min="10241" max="10245" width="9.140625" style="0" hidden="1" customWidth="1"/>
    <col min="10246" max="10246" width="5.57421875" style="0" bestFit="1" customWidth="1"/>
    <col min="10247" max="10247" width="3.8515625" style="0" bestFit="1" customWidth="1"/>
    <col min="10248" max="10248" width="14.8515625" style="0" bestFit="1" customWidth="1"/>
    <col min="10249" max="10249" width="61.8515625" style="0" customWidth="1"/>
    <col min="10250" max="10250" width="6.57421875" style="0" bestFit="1" customWidth="1"/>
    <col min="10251" max="10251" width="13.7109375" style="0" customWidth="1"/>
    <col min="10252" max="10252" width="6.8515625" style="0" customWidth="1"/>
    <col min="10253" max="10253" width="10.421875" style="0" bestFit="1" customWidth="1"/>
    <col min="10254" max="10254" width="13.28125" style="0" customWidth="1"/>
    <col min="10255" max="10255" width="12.140625" style="0" bestFit="1" customWidth="1"/>
    <col min="10497" max="10501" width="9.140625" style="0" hidden="1" customWidth="1"/>
    <col min="10502" max="10502" width="5.57421875" style="0" bestFit="1" customWidth="1"/>
    <col min="10503" max="10503" width="3.8515625" style="0" bestFit="1" customWidth="1"/>
    <col min="10504" max="10504" width="14.8515625" style="0" bestFit="1" customWidth="1"/>
    <col min="10505" max="10505" width="61.8515625" style="0" customWidth="1"/>
    <col min="10506" max="10506" width="6.57421875" style="0" bestFit="1" customWidth="1"/>
    <col min="10507" max="10507" width="13.7109375" style="0" customWidth="1"/>
    <col min="10508" max="10508" width="6.8515625" style="0" customWidth="1"/>
    <col min="10509" max="10509" width="10.421875" style="0" bestFit="1" customWidth="1"/>
    <col min="10510" max="10510" width="13.28125" style="0" customWidth="1"/>
    <col min="10511" max="10511" width="12.140625" style="0" bestFit="1" customWidth="1"/>
    <col min="10753" max="10757" width="9.140625" style="0" hidden="1" customWidth="1"/>
    <col min="10758" max="10758" width="5.57421875" style="0" bestFit="1" customWidth="1"/>
    <col min="10759" max="10759" width="3.8515625" style="0" bestFit="1" customWidth="1"/>
    <col min="10760" max="10760" width="14.8515625" style="0" bestFit="1" customWidth="1"/>
    <col min="10761" max="10761" width="61.8515625" style="0" customWidth="1"/>
    <col min="10762" max="10762" width="6.57421875" style="0" bestFit="1" customWidth="1"/>
    <col min="10763" max="10763" width="13.7109375" style="0" customWidth="1"/>
    <col min="10764" max="10764" width="6.8515625" style="0" customWidth="1"/>
    <col min="10765" max="10765" width="10.421875" style="0" bestFit="1" customWidth="1"/>
    <col min="10766" max="10766" width="13.28125" style="0" customWidth="1"/>
    <col min="10767" max="10767" width="12.140625" style="0" bestFit="1" customWidth="1"/>
    <col min="11009" max="11013" width="9.140625" style="0" hidden="1" customWidth="1"/>
    <col min="11014" max="11014" width="5.57421875" style="0" bestFit="1" customWidth="1"/>
    <col min="11015" max="11015" width="3.8515625" style="0" bestFit="1" customWidth="1"/>
    <col min="11016" max="11016" width="14.8515625" style="0" bestFit="1" customWidth="1"/>
    <col min="11017" max="11017" width="61.8515625" style="0" customWidth="1"/>
    <col min="11018" max="11018" width="6.57421875" style="0" bestFit="1" customWidth="1"/>
    <col min="11019" max="11019" width="13.7109375" style="0" customWidth="1"/>
    <col min="11020" max="11020" width="6.8515625" style="0" customWidth="1"/>
    <col min="11021" max="11021" width="10.421875" style="0" bestFit="1" customWidth="1"/>
    <col min="11022" max="11022" width="13.28125" style="0" customWidth="1"/>
    <col min="11023" max="11023" width="12.140625" style="0" bestFit="1" customWidth="1"/>
    <col min="11265" max="11269" width="9.140625" style="0" hidden="1" customWidth="1"/>
    <col min="11270" max="11270" width="5.57421875" style="0" bestFit="1" customWidth="1"/>
    <col min="11271" max="11271" width="3.8515625" style="0" bestFit="1" customWidth="1"/>
    <col min="11272" max="11272" width="14.8515625" style="0" bestFit="1" customWidth="1"/>
    <col min="11273" max="11273" width="61.8515625" style="0" customWidth="1"/>
    <col min="11274" max="11274" width="6.57421875" style="0" bestFit="1" customWidth="1"/>
    <col min="11275" max="11275" width="13.7109375" style="0" customWidth="1"/>
    <col min="11276" max="11276" width="6.8515625" style="0" customWidth="1"/>
    <col min="11277" max="11277" width="10.421875" style="0" bestFit="1" customWidth="1"/>
    <col min="11278" max="11278" width="13.28125" style="0" customWidth="1"/>
    <col min="11279" max="11279" width="12.140625" style="0" bestFit="1" customWidth="1"/>
    <col min="11521" max="11525" width="9.140625" style="0" hidden="1" customWidth="1"/>
    <col min="11526" max="11526" width="5.57421875" style="0" bestFit="1" customWidth="1"/>
    <col min="11527" max="11527" width="3.8515625" style="0" bestFit="1" customWidth="1"/>
    <col min="11528" max="11528" width="14.8515625" style="0" bestFit="1" customWidth="1"/>
    <col min="11529" max="11529" width="61.8515625" style="0" customWidth="1"/>
    <col min="11530" max="11530" width="6.57421875" style="0" bestFit="1" customWidth="1"/>
    <col min="11531" max="11531" width="13.7109375" style="0" customWidth="1"/>
    <col min="11532" max="11532" width="6.8515625" style="0" customWidth="1"/>
    <col min="11533" max="11533" width="10.421875" style="0" bestFit="1" customWidth="1"/>
    <col min="11534" max="11534" width="13.28125" style="0" customWidth="1"/>
    <col min="11535" max="11535" width="12.140625" style="0" bestFit="1" customWidth="1"/>
    <col min="11777" max="11781" width="9.140625" style="0" hidden="1" customWidth="1"/>
    <col min="11782" max="11782" width="5.57421875" style="0" bestFit="1" customWidth="1"/>
    <col min="11783" max="11783" width="3.8515625" style="0" bestFit="1" customWidth="1"/>
    <col min="11784" max="11784" width="14.8515625" style="0" bestFit="1" customWidth="1"/>
    <col min="11785" max="11785" width="61.8515625" style="0" customWidth="1"/>
    <col min="11786" max="11786" width="6.57421875" style="0" bestFit="1" customWidth="1"/>
    <col min="11787" max="11787" width="13.7109375" style="0" customWidth="1"/>
    <col min="11788" max="11788" width="6.8515625" style="0" customWidth="1"/>
    <col min="11789" max="11789" width="10.421875" style="0" bestFit="1" customWidth="1"/>
    <col min="11790" max="11790" width="13.28125" style="0" customWidth="1"/>
    <col min="11791" max="11791" width="12.140625" style="0" bestFit="1" customWidth="1"/>
    <col min="12033" max="12037" width="9.140625" style="0" hidden="1" customWidth="1"/>
    <col min="12038" max="12038" width="5.57421875" style="0" bestFit="1" customWidth="1"/>
    <col min="12039" max="12039" width="3.8515625" style="0" bestFit="1" customWidth="1"/>
    <col min="12040" max="12040" width="14.8515625" style="0" bestFit="1" customWidth="1"/>
    <col min="12041" max="12041" width="61.8515625" style="0" customWidth="1"/>
    <col min="12042" max="12042" width="6.57421875" style="0" bestFit="1" customWidth="1"/>
    <col min="12043" max="12043" width="13.7109375" style="0" customWidth="1"/>
    <col min="12044" max="12044" width="6.8515625" style="0" customWidth="1"/>
    <col min="12045" max="12045" width="10.421875" style="0" bestFit="1" customWidth="1"/>
    <col min="12046" max="12046" width="13.28125" style="0" customWidth="1"/>
    <col min="12047" max="12047" width="12.140625" style="0" bestFit="1" customWidth="1"/>
    <col min="12289" max="12293" width="9.140625" style="0" hidden="1" customWidth="1"/>
    <col min="12294" max="12294" width="5.57421875" style="0" bestFit="1" customWidth="1"/>
    <col min="12295" max="12295" width="3.8515625" style="0" bestFit="1" customWidth="1"/>
    <col min="12296" max="12296" width="14.8515625" style="0" bestFit="1" customWidth="1"/>
    <col min="12297" max="12297" width="61.8515625" style="0" customWidth="1"/>
    <col min="12298" max="12298" width="6.57421875" style="0" bestFit="1" customWidth="1"/>
    <col min="12299" max="12299" width="13.7109375" style="0" customWidth="1"/>
    <col min="12300" max="12300" width="6.8515625" style="0" customWidth="1"/>
    <col min="12301" max="12301" width="10.421875" style="0" bestFit="1" customWidth="1"/>
    <col min="12302" max="12302" width="13.28125" style="0" customWidth="1"/>
    <col min="12303" max="12303" width="12.140625" style="0" bestFit="1" customWidth="1"/>
    <col min="12545" max="12549" width="9.140625" style="0" hidden="1" customWidth="1"/>
    <col min="12550" max="12550" width="5.57421875" style="0" bestFit="1" customWidth="1"/>
    <col min="12551" max="12551" width="3.8515625" style="0" bestFit="1" customWidth="1"/>
    <col min="12552" max="12552" width="14.8515625" style="0" bestFit="1" customWidth="1"/>
    <col min="12553" max="12553" width="61.8515625" style="0" customWidth="1"/>
    <col min="12554" max="12554" width="6.57421875" style="0" bestFit="1" customWidth="1"/>
    <col min="12555" max="12555" width="13.7109375" style="0" customWidth="1"/>
    <col min="12556" max="12556" width="6.8515625" style="0" customWidth="1"/>
    <col min="12557" max="12557" width="10.421875" style="0" bestFit="1" customWidth="1"/>
    <col min="12558" max="12558" width="13.28125" style="0" customWidth="1"/>
    <col min="12559" max="12559" width="12.140625" style="0" bestFit="1" customWidth="1"/>
    <col min="12801" max="12805" width="9.140625" style="0" hidden="1" customWidth="1"/>
    <col min="12806" max="12806" width="5.57421875" style="0" bestFit="1" customWidth="1"/>
    <col min="12807" max="12807" width="3.8515625" style="0" bestFit="1" customWidth="1"/>
    <col min="12808" max="12808" width="14.8515625" style="0" bestFit="1" customWidth="1"/>
    <col min="12809" max="12809" width="61.8515625" style="0" customWidth="1"/>
    <col min="12810" max="12810" width="6.57421875" style="0" bestFit="1" customWidth="1"/>
    <col min="12811" max="12811" width="13.7109375" style="0" customWidth="1"/>
    <col min="12812" max="12812" width="6.8515625" style="0" customWidth="1"/>
    <col min="12813" max="12813" width="10.421875" style="0" bestFit="1" customWidth="1"/>
    <col min="12814" max="12814" width="13.28125" style="0" customWidth="1"/>
    <col min="12815" max="12815" width="12.140625" style="0" bestFit="1" customWidth="1"/>
    <col min="13057" max="13061" width="9.140625" style="0" hidden="1" customWidth="1"/>
    <col min="13062" max="13062" width="5.57421875" style="0" bestFit="1" customWidth="1"/>
    <col min="13063" max="13063" width="3.8515625" style="0" bestFit="1" customWidth="1"/>
    <col min="13064" max="13064" width="14.8515625" style="0" bestFit="1" customWidth="1"/>
    <col min="13065" max="13065" width="61.8515625" style="0" customWidth="1"/>
    <col min="13066" max="13066" width="6.57421875" style="0" bestFit="1" customWidth="1"/>
    <col min="13067" max="13067" width="13.7109375" style="0" customWidth="1"/>
    <col min="13068" max="13068" width="6.8515625" style="0" customWidth="1"/>
    <col min="13069" max="13069" width="10.421875" style="0" bestFit="1" customWidth="1"/>
    <col min="13070" max="13070" width="13.28125" style="0" customWidth="1"/>
    <col min="13071" max="13071" width="12.140625" style="0" bestFit="1" customWidth="1"/>
    <col min="13313" max="13317" width="9.140625" style="0" hidden="1" customWidth="1"/>
    <col min="13318" max="13318" width="5.57421875" style="0" bestFit="1" customWidth="1"/>
    <col min="13319" max="13319" width="3.8515625" style="0" bestFit="1" customWidth="1"/>
    <col min="13320" max="13320" width="14.8515625" style="0" bestFit="1" customWidth="1"/>
    <col min="13321" max="13321" width="61.8515625" style="0" customWidth="1"/>
    <col min="13322" max="13322" width="6.57421875" style="0" bestFit="1" customWidth="1"/>
    <col min="13323" max="13323" width="13.7109375" style="0" customWidth="1"/>
    <col min="13324" max="13324" width="6.8515625" style="0" customWidth="1"/>
    <col min="13325" max="13325" width="10.421875" style="0" bestFit="1" customWidth="1"/>
    <col min="13326" max="13326" width="13.28125" style="0" customWidth="1"/>
    <col min="13327" max="13327" width="12.140625" style="0" bestFit="1" customWidth="1"/>
    <col min="13569" max="13573" width="9.140625" style="0" hidden="1" customWidth="1"/>
    <col min="13574" max="13574" width="5.57421875" style="0" bestFit="1" customWidth="1"/>
    <col min="13575" max="13575" width="3.8515625" style="0" bestFit="1" customWidth="1"/>
    <col min="13576" max="13576" width="14.8515625" style="0" bestFit="1" customWidth="1"/>
    <col min="13577" max="13577" width="61.8515625" style="0" customWidth="1"/>
    <col min="13578" max="13578" width="6.57421875" style="0" bestFit="1" customWidth="1"/>
    <col min="13579" max="13579" width="13.7109375" style="0" customWidth="1"/>
    <col min="13580" max="13580" width="6.8515625" style="0" customWidth="1"/>
    <col min="13581" max="13581" width="10.421875" style="0" bestFit="1" customWidth="1"/>
    <col min="13582" max="13582" width="13.28125" style="0" customWidth="1"/>
    <col min="13583" max="13583" width="12.140625" style="0" bestFit="1" customWidth="1"/>
    <col min="13825" max="13829" width="9.140625" style="0" hidden="1" customWidth="1"/>
    <col min="13830" max="13830" width="5.57421875" style="0" bestFit="1" customWidth="1"/>
    <col min="13831" max="13831" width="3.8515625" style="0" bestFit="1" customWidth="1"/>
    <col min="13832" max="13832" width="14.8515625" style="0" bestFit="1" customWidth="1"/>
    <col min="13833" max="13833" width="61.8515625" style="0" customWidth="1"/>
    <col min="13834" max="13834" width="6.57421875" style="0" bestFit="1" customWidth="1"/>
    <col min="13835" max="13835" width="13.7109375" style="0" customWidth="1"/>
    <col min="13836" max="13836" width="6.8515625" style="0" customWidth="1"/>
    <col min="13837" max="13837" width="10.421875" style="0" bestFit="1" customWidth="1"/>
    <col min="13838" max="13838" width="13.28125" style="0" customWidth="1"/>
    <col min="13839" max="13839" width="12.140625" style="0" bestFit="1" customWidth="1"/>
    <col min="14081" max="14085" width="9.140625" style="0" hidden="1" customWidth="1"/>
    <col min="14086" max="14086" width="5.57421875" style="0" bestFit="1" customWidth="1"/>
    <col min="14087" max="14087" width="3.8515625" style="0" bestFit="1" customWidth="1"/>
    <col min="14088" max="14088" width="14.8515625" style="0" bestFit="1" customWidth="1"/>
    <col min="14089" max="14089" width="61.8515625" style="0" customWidth="1"/>
    <col min="14090" max="14090" width="6.57421875" style="0" bestFit="1" customWidth="1"/>
    <col min="14091" max="14091" width="13.7109375" style="0" customWidth="1"/>
    <col min="14092" max="14092" width="6.8515625" style="0" customWidth="1"/>
    <col min="14093" max="14093" width="10.421875" style="0" bestFit="1" customWidth="1"/>
    <col min="14094" max="14094" width="13.28125" style="0" customWidth="1"/>
    <col min="14095" max="14095" width="12.140625" style="0" bestFit="1" customWidth="1"/>
    <col min="14337" max="14341" width="9.140625" style="0" hidden="1" customWidth="1"/>
    <col min="14342" max="14342" width="5.57421875" style="0" bestFit="1" customWidth="1"/>
    <col min="14343" max="14343" width="3.8515625" style="0" bestFit="1" customWidth="1"/>
    <col min="14344" max="14344" width="14.8515625" style="0" bestFit="1" customWidth="1"/>
    <col min="14345" max="14345" width="61.8515625" style="0" customWidth="1"/>
    <col min="14346" max="14346" width="6.57421875" style="0" bestFit="1" customWidth="1"/>
    <col min="14347" max="14347" width="13.7109375" style="0" customWidth="1"/>
    <col min="14348" max="14348" width="6.8515625" style="0" customWidth="1"/>
    <col min="14349" max="14349" width="10.421875" style="0" bestFit="1" customWidth="1"/>
    <col min="14350" max="14350" width="13.28125" style="0" customWidth="1"/>
    <col min="14351" max="14351" width="12.140625" style="0" bestFit="1" customWidth="1"/>
    <col min="14593" max="14597" width="9.140625" style="0" hidden="1" customWidth="1"/>
    <col min="14598" max="14598" width="5.57421875" style="0" bestFit="1" customWidth="1"/>
    <col min="14599" max="14599" width="3.8515625" style="0" bestFit="1" customWidth="1"/>
    <col min="14600" max="14600" width="14.8515625" style="0" bestFit="1" customWidth="1"/>
    <col min="14601" max="14601" width="61.8515625" style="0" customWidth="1"/>
    <col min="14602" max="14602" width="6.57421875" style="0" bestFit="1" customWidth="1"/>
    <col min="14603" max="14603" width="13.7109375" style="0" customWidth="1"/>
    <col min="14604" max="14604" width="6.8515625" style="0" customWidth="1"/>
    <col min="14605" max="14605" width="10.421875" style="0" bestFit="1" customWidth="1"/>
    <col min="14606" max="14606" width="13.28125" style="0" customWidth="1"/>
    <col min="14607" max="14607" width="12.140625" style="0" bestFit="1" customWidth="1"/>
    <col min="14849" max="14853" width="9.140625" style="0" hidden="1" customWidth="1"/>
    <col min="14854" max="14854" width="5.57421875" style="0" bestFit="1" customWidth="1"/>
    <col min="14855" max="14855" width="3.8515625" style="0" bestFit="1" customWidth="1"/>
    <col min="14856" max="14856" width="14.8515625" style="0" bestFit="1" customWidth="1"/>
    <col min="14857" max="14857" width="61.8515625" style="0" customWidth="1"/>
    <col min="14858" max="14858" width="6.57421875" style="0" bestFit="1" customWidth="1"/>
    <col min="14859" max="14859" width="13.7109375" style="0" customWidth="1"/>
    <col min="14860" max="14860" width="6.8515625" style="0" customWidth="1"/>
    <col min="14861" max="14861" width="10.421875" style="0" bestFit="1" customWidth="1"/>
    <col min="14862" max="14862" width="13.28125" style="0" customWidth="1"/>
    <col min="14863" max="14863" width="12.140625" style="0" bestFit="1" customWidth="1"/>
    <col min="15105" max="15109" width="9.140625" style="0" hidden="1" customWidth="1"/>
    <col min="15110" max="15110" width="5.57421875" style="0" bestFit="1" customWidth="1"/>
    <col min="15111" max="15111" width="3.8515625" style="0" bestFit="1" customWidth="1"/>
    <col min="15112" max="15112" width="14.8515625" style="0" bestFit="1" customWidth="1"/>
    <col min="15113" max="15113" width="61.8515625" style="0" customWidth="1"/>
    <col min="15114" max="15114" width="6.57421875" style="0" bestFit="1" customWidth="1"/>
    <col min="15115" max="15115" width="13.7109375" style="0" customWidth="1"/>
    <col min="15116" max="15116" width="6.8515625" style="0" customWidth="1"/>
    <col min="15117" max="15117" width="10.421875" style="0" bestFit="1" customWidth="1"/>
    <col min="15118" max="15118" width="13.28125" style="0" customWidth="1"/>
    <col min="15119" max="15119" width="12.140625" style="0" bestFit="1" customWidth="1"/>
    <col min="15361" max="15365" width="9.140625" style="0" hidden="1" customWidth="1"/>
    <col min="15366" max="15366" width="5.57421875" style="0" bestFit="1" customWidth="1"/>
    <col min="15367" max="15367" width="3.8515625" style="0" bestFit="1" customWidth="1"/>
    <col min="15368" max="15368" width="14.8515625" style="0" bestFit="1" customWidth="1"/>
    <col min="15369" max="15369" width="61.8515625" style="0" customWidth="1"/>
    <col min="15370" max="15370" width="6.57421875" style="0" bestFit="1" customWidth="1"/>
    <col min="15371" max="15371" width="13.7109375" style="0" customWidth="1"/>
    <col min="15372" max="15372" width="6.8515625" style="0" customWidth="1"/>
    <col min="15373" max="15373" width="10.421875" style="0" bestFit="1" customWidth="1"/>
    <col min="15374" max="15374" width="13.28125" style="0" customWidth="1"/>
    <col min="15375" max="15375" width="12.140625" style="0" bestFit="1" customWidth="1"/>
    <col min="15617" max="15621" width="9.140625" style="0" hidden="1" customWidth="1"/>
    <col min="15622" max="15622" width="5.57421875" style="0" bestFit="1" customWidth="1"/>
    <col min="15623" max="15623" width="3.8515625" style="0" bestFit="1" customWidth="1"/>
    <col min="15624" max="15624" width="14.8515625" style="0" bestFit="1" customWidth="1"/>
    <col min="15625" max="15625" width="61.8515625" style="0" customWidth="1"/>
    <col min="15626" max="15626" width="6.57421875" style="0" bestFit="1" customWidth="1"/>
    <col min="15627" max="15627" width="13.7109375" style="0" customWidth="1"/>
    <col min="15628" max="15628" width="6.8515625" style="0" customWidth="1"/>
    <col min="15629" max="15629" width="10.421875" style="0" bestFit="1" customWidth="1"/>
    <col min="15630" max="15630" width="13.28125" style="0" customWidth="1"/>
    <col min="15631" max="15631" width="12.140625" style="0" bestFit="1" customWidth="1"/>
    <col min="15873" max="15877" width="9.140625" style="0" hidden="1" customWidth="1"/>
    <col min="15878" max="15878" width="5.57421875" style="0" bestFit="1" customWidth="1"/>
    <col min="15879" max="15879" width="3.8515625" style="0" bestFit="1" customWidth="1"/>
    <col min="15880" max="15880" width="14.8515625" style="0" bestFit="1" customWidth="1"/>
    <col min="15881" max="15881" width="61.8515625" style="0" customWidth="1"/>
    <col min="15882" max="15882" width="6.57421875" style="0" bestFit="1" customWidth="1"/>
    <col min="15883" max="15883" width="13.7109375" style="0" customWidth="1"/>
    <col min="15884" max="15884" width="6.8515625" style="0" customWidth="1"/>
    <col min="15885" max="15885" width="10.421875" style="0" bestFit="1" customWidth="1"/>
    <col min="15886" max="15886" width="13.28125" style="0" customWidth="1"/>
    <col min="15887" max="15887" width="12.140625" style="0" bestFit="1" customWidth="1"/>
    <col min="16129" max="16133" width="9.140625" style="0" hidden="1" customWidth="1"/>
    <col min="16134" max="16134" width="5.57421875" style="0" bestFit="1" customWidth="1"/>
    <col min="16135" max="16135" width="3.8515625" style="0" bestFit="1" customWidth="1"/>
    <col min="16136" max="16136" width="14.8515625" style="0" bestFit="1" customWidth="1"/>
    <col min="16137" max="16137" width="61.8515625" style="0" customWidth="1"/>
    <col min="16138" max="16138" width="6.57421875" style="0" bestFit="1" customWidth="1"/>
    <col min="16139" max="16139" width="13.7109375" style="0" customWidth="1"/>
    <col min="16140" max="16140" width="6.8515625" style="0" customWidth="1"/>
    <col min="16141" max="16141" width="10.421875" style="0" bestFit="1" customWidth="1"/>
    <col min="16142" max="16142" width="13.28125" style="0" customWidth="1"/>
    <col min="16143" max="16143" width="12.140625" style="0" bestFit="1" customWidth="1"/>
  </cols>
  <sheetData>
    <row r="1" spans="6:15" ht="21.6" customHeight="1">
      <c r="F1" s="38"/>
      <c r="G1" s="1"/>
      <c r="H1" s="1"/>
      <c r="I1" s="1" t="s">
        <v>20</v>
      </c>
      <c r="J1" s="1"/>
      <c r="K1" s="39"/>
      <c r="L1" s="40"/>
      <c r="M1" s="41"/>
      <c r="N1" s="40"/>
      <c r="O1" s="42"/>
    </row>
    <row r="2" spans="6:15" ht="21.6" customHeight="1">
      <c r="F2" s="43"/>
      <c r="G2" s="1"/>
      <c r="H2" s="1"/>
      <c r="I2" s="1"/>
      <c r="J2" s="1"/>
      <c r="K2" s="39"/>
      <c r="L2" s="40"/>
      <c r="M2" s="41"/>
      <c r="N2" s="40"/>
      <c r="O2" s="42"/>
    </row>
    <row r="3" spans="6:15" s="44" customFormat="1" ht="13.8" thickBot="1">
      <c r="F3" s="45" t="s">
        <v>27</v>
      </c>
      <c r="G3" s="46" t="s">
        <v>28</v>
      </c>
      <c r="H3" s="46" t="s">
        <v>29</v>
      </c>
      <c r="I3" s="47" t="s">
        <v>1</v>
      </c>
      <c r="J3" s="46" t="s">
        <v>30</v>
      </c>
      <c r="K3" s="46"/>
      <c r="L3" s="46" t="s">
        <v>31</v>
      </c>
      <c r="M3" s="46" t="s">
        <v>32</v>
      </c>
      <c r="N3" s="46" t="s">
        <v>33</v>
      </c>
      <c r="O3" s="46" t="s">
        <v>2</v>
      </c>
    </row>
    <row r="4" spans="6:15" ht="11.25" customHeight="1">
      <c r="F4" s="49"/>
      <c r="G4" s="50"/>
      <c r="H4" s="51"/>
      <c r="I4" s="52"/>
      <c r="J4" s="50"/>
      <c r="K4" s="53"/>
      <c r="L4" s="54"/>
      <c r="M4" s="54"/>
      <c r="N4" s="54"/>
      <c r="O4" s="54"/>
    </row>
    <row r="5" spans="6:15" s="55" customFormat="1" ht="17.25" customHeight="1">
      <c r="F5" s="56"/>
      <c r="G5" s="57"/>
      <c r="H5" s="58"/>
      <c r="I5" s="58" t="s">
        <v>1455</v>
      </c>
      <c r="J5" s="57"/>
      <c r="K5" s="59"/>
      <c r="L5" s="60"/>
      <c r="M5" s="61"/>
      <c r="N5" s="60"/>
      <c r="O5" s="6"/>
    </row>
    <row r="6" spans="6:15" s="62" customFormat="1" ht="12.75" customHeight="1" outlineLevel="2">
      <c r="F6" s="63"/>
      <c r="G6" s="64"/>
      <c r="H6" s="64"/>
      <c r="I6" s="65"/>
      <c r="J6" s="64"/>
      <c r="K6" s="66"/>
      <c r="L6" s="67"/>
      <c r="M6" s="68"/>
      <c r="N6" s="67"/>
      <c r="O6" s="69"/>
    </row>
    <row r="7" spans="6:15" s="70" customFormat="1" ht="16.5" customHeight="1" outlineLevel="1">
      <c r="F7" s="71"/>
      <c r="G7" s="50"/>
      <c r="H7" s="72"/>
      <c r="I7" s="72" t="s">
        <v>34</v>
      </c>
      <c r="J7" s="50"/>
      <c r="K7" s="73"/>
      <c r="L7" s="74"/>
      <c r="M7" s="75"/>
      <c r="N7" s="74"/>
      <c r="O7" s="8">
        <f>SUBTOTAL(9,O8:O20)</f>
        <v>0</v>
      </c>
    </row>
    <row r="8" spans="6:15" s="76" customFormat="1" ht="22.8" outlineLevel="2">
      <c r="F8" s="77">
        <v>1</v>
      </c>
      <c r="G8" s="78" t="s">
        <v>35</v>
      </c>
      <c r="H8" s="79" t="s">
        <v>36</v>
      </c>
      <c r="I8" s="80" t="s">
        <v>37</v>
      </c>
      <c r="J8" s="78" t="s">
        <v>38</v>
      </c>
      <c r="K8" s="83">
        <f>1*2+0.9*2*2+0.7*2+0.7*2+0.6*2+0.7*2+0.7*3.3+1</f>
        <v>14.309999999999999</v>
      </c>
      <c r="L8" s="82">
        <v>0</v>
      </c>
      <c r="M8" s="83">
        <f aca="true" t="shared" si="0" ref="M8:M20">K8*(1+L8/100)</f>
        <v>14.309999999999999</v>
      </c>
      <c r="N8" s="84"/>
      <c r="O8" s="85">
        <f aca="true" t="shared" si="1" ref="O8:O20">M8*N8</f>
        <v>0</v>
      </c>
    </row>
    <row r="9" spans="6:15" s="76" customFormat="1" ht="22.8" outlineLevel="2">
      <c r="F9" s="77">
        <v>2</v>
      </c>
      <c r="G9" s="78" t="s">
        <v>35</v>
      </c>
      <c r="H9" s="79" t="s">
        <v>39</v>
      </c>
      <c r="I9" s="80" t="s">
        <v>40</v>
      </c>
      <c r="J9" s="78" t="s">
        <v>38</v>
      </c>
      <c r="K9" s="83">
        <f>0.5*2+0.4*2+0.4*2+0.4*2+0.3*2+1</f>
        <v>5</v>
      </c>
      <c r="L9" s="82">
        <v>0</v>
      </c>
      <c r="M9" s="83">
        <f t="shared" si="0"/>
        <v>5</v>
      </c>
      <c r="N9" s="84"/>
      <c r="O9" s="85">
        <f t="shared" si="1"/>
        <v>0</v>
      </c>
    </row>
    <row r="10" spans="6:15" s="76" customFormat="1" ht="11.4" outlineLevel="2">
      <c r="F10" s="77">
        <v>3</v>
      </c>
      <c r="G10" s="78" t="s">
        <v>35</v>
      </c>
      <c r="H10" s="79" t="s">
        <v>41</v>
      </c>
      <c r="I10" s="80" t="s">
        <v>42</v>
      </c>
      <c r="J10" s="78" t="s">
        <v>43</v>
      </c>
      <c r="K10" s="83">
        <v>16</v>
      </c>
      <c r="L10" s="82">
        <v>0</v>
      </c>
      <c r="M10" s="83">
        <f t="shared" si="0"/>
        <v>16</v>
      </c>
      <c r="N10" s="84"/>
      <c r="O10" s="85">
        <f t="shared" si="1"/>
        <v>0</v>
      </c>
    </row>
    <row r="11" spans="6:15" s="76" customFormat="1" ht="22.8" outlineLevel="2">
      <c r="F11" s="77">
        <v>4</v>
      </c>
      <c r="G11" s="78" t="s">
        <v>35</v>
      </c>
      <c r="H11" s="79" t="s">
        <v>47</v>
      </c>
      <c r="I11" s="80" t="s">
        <v>48</v>
      </c>
      <c r="J11" s="78" t="s">
        <v>38</v>
      </c>
      <c r="K11" s="83">
        <f>(1.1+0.35+1.15)*3.3-0.7*2.1*2</f>
        <v>5.640000000000001</v>
      </c>
      <c r="L11" s="82">
        <v>0</v>
      </c>
      <c r="M11" s="83">
        <f>K11*(1+L11/100)</f>
        <v>5.640000000000001</v>
      </c>
      <c r="N11" s="84"/>
      <c r="O11" s="85">
        <f t="shared" si="1"/>
        <v>0</v>
      </c>
    </row>
    <row r="12" spans="6:15" s="76" customFormat="1" ht="22.8" outlineLevel="2">
      <c r="F12" s="77">
        <v>5</v>
      </c>
      <c r="G12" s="78" t="s">
        <v>35</v>
      </c>
      <c r="H12" s="79" t="s">
        <v>49</v>
      </c>
      <c r="I12" s="80" t="s">
        <v>50</v>
      </c>
      <c r="J12" s="78" t="s">
        <v>38</v>
      </c>
      <c r="K12" s="83">
        <f>3*2+(2.1+2.55+0.45+2.3+2.1+0.3+3+3.05)*3.3-1.1*2+2</f>
        <v>58.105</v>
      </c>
      <c r="L12" s="82">
        <v>0</v>
      </c>
      <c r="M12" s="83">
        <f t="shared" si="0"/>
        <v>58.105</v>
      </c>
      <c r="N12" s="84"/>
      <c r="O12" s="85">
        <f t="shared" si="1"/>
        <v>0</v>
      </c>
    </row>
    <row r="13" spans="6:15" s="76" customFormat="1" ht="11.4" outlineLevel="2">
      <c r="F13" s="77">
        <v>6</v>
      </c>
      <c r="G13" s="78" t="s">
        <v>35</v>
      </c>
      <c r="H13" s="79" t="s">
        <v>1202</v>
      </c>
      <c r="I13" s="80" t="s">
        <v>1203</v>
      </c>
      <c r="J13" s="78" t="s">
        <v>43</v>
      </c>
      <c r="K13" s="81">
        <v>5</v>
      </c>
      <c r="L13" s="82">
        <v>0</v>
      </c>
      <c r="M13" s="83">
        <f t="shared" si="0"/>
        <v>5</v>
      </c>
      <c r="N13" s="84"/>
      <c r="O13" s="85">
        <f t="shared" si="1"/>
        <v>0</v>
      </c>
    </row>
    <row r="14" spans="6:15" s="76" customFormat="1" ht="11.4" outlineLevel="2">
      <c r="F14" s="77">
        <v>7</v>
      </c>
      <c r="G14" s="78" t="s">
        <v>35</v>
      </c>
      <c r="H14" s="79" t="s">
        <v>1204</v>
      </c>
      <c r="I14" s="80" t="s">
        <v>1205</v>
      </c>
      <c r="J14" s="78" t="s">
        <v>43</v>
      </c>
      <c r="K14" s="81">
        <v>3</v>
      </c>
      <c r="L14" s="82">
        <v>0</v>
      </c>
      <c r="M14" s="83">
        <f t="shared" si="0"/>
        <v>3</v>
      </c>
      <c r="N14" s="84"/>
      <c r="O14" s="85">
        <f>M14*N14</f>
        <v>0</v>
      </c>
    </row>
    <row r="15" spans="6:15" s="76" customFormat="1" ht="11.4" outlineLevel="2">
      <c r="F15" s="77">
        <v>8</v>
      </c>
      <c r="G15" s="78" t="s">
        <v>35</v>
      </c>
      <c r="H15" s="79" t="s">
        <v>53</v>
      </c>
      <c r="I15" s="80" t="s">
        <v>54</v>
      </c>
      <c r="J15" s="78" t="s">
        <v>43</v>
      </c>
      <c r="K15" s="81">
        <v>5</v>
      </c>
      <c r="L15" s="82">
        <v>0</v>
      </c>
      <c r="M15" s="83">
        <f t="shared" si="0"/>
        <v>5</v>
      </c>
      <c r="N15" s="84"/>
      <c r="O15" s="85">
        <f>M15*N15</f>
        <v>0</v>
      </c>
    </row>
    <row r="16" spans="6:15" s="76" customFormat="1" ht="11.4" outlineLevel="2">
      <c r="F16" s="77">
        <v>9</v>
      </c>
      <c r="G16" s="78" t="s">
        <v>35</v>
      </c>
      <c r="H16" s="79" t="s">
        <v>55</v>
      </c>
      <c r="I16" s="80" t="s">
        <v>56</v>
      </c>
      <c r="J16" s="78" t="s">
        <v>43</v>
      </c>
      <c r="K16" s="81">
        <v>1</v>
      </c>
      <c r="L16" s="82">
        <v>0</v>
      </c>
      <c r="M16" s="83">
        <f t="shared" si="0"/>
        <v>1</v>
      </c>
      <c r="N16" s="84"/>
      <c r="O16" s="85">
        <f>M16*N16</f>
        <v>0</v>
      </c>
    </row>
    <row r="17" spans="6:15" s="76" customFormat="1" ht="22.8" outlineLevel="2">
      <c r="F17" s="77">
        <v>10</v>
      </c>
      <c r="G17" s="78" t="s">
        <v>35</v>
      </c>
      <c r="H17" s="79" t="s">
        <v>67</v>
      </c>
      <c r="I17" s="80" t="s">
        <v>68</v>
      </c>
      <c r="J17" s="78" t="s">
        <v>69</v>
      </c>
      <c r="K17" s="83">
        <f>4*3.3</f>
        <v>13.2</v>
      </c>
      <c r="L17" s="82">
        <v>0</v>
      </c>
      <c r="M17" s="83">
        <f t="shared" si="0"/>
        <v>13.2</v>
      </c>
      <c r="N17" s="84"/>
      <c r="O17" s="85">
        <f t="shared" si="1"/>
        <v>0</v>
      </c>
    </row>
    <row r="18" spans="6:15" s="76" customFormat="1" ht="22.8" outlineLevel="2">
      <c r="F18" s="77">
        <v>11</v>
      </c>
      <c r="G18" s="78" t="s">
        <v>35</v>
      </c>
      <c r="H18" s="79" t="s">
        <v>70</v>
      </c>
      <c r="I18" s="80" t="s">
        <v>71</v>
      </c>
      <c r="J18" s="78" t="s">
        <v>69</v>
      </c>
      <c r="K18" s="81">
        <f>11*3.3+10*2</f>
        <v>56.3</v>
      </c>
      <c r="L18" s="82">
        <v>0</v>
      </c>
      <c r="M18" s="83">
        <f t="shared" si="0"/>
        <v>56.3</v>
      </c>
      <c r="N18" s="84"/>
      <c r="O18" s="85">
        <f t="shared" si="1"/>
        <v>0</v>
      </c>
    </row>
    <row r="19" spans="6:15" s="76" customFormat="1" ht="22.8" outlineLevel="2">
      <c r="F19" s="77">
        <v>12</v>
      </c>
      <c r="G19" s="78" t="s">
        <v>35</v>
      </c>
      <c r="H19" s="79" t="s">
        <v>74</v>
      </c>
      <c r="I19" s="80" t="s">
        <v>75</v>
      </c>
      <c r="J19" s="78" t="s">
        <v>69</v>
      </c>
      <c r="K19" s="83">
        <f>3*3.3</f>
        <v>9.899999999999999</v>
      </c>
      <c r="L19" s="82">
        <v>0</v>
      </c>
      <c r="M19" s="83">
        <f t="shared" si="0"/>
        <v>9.899999999999999</v>
      </c>
      <c r="N19" s="84"/>
      <c r="O19" s="85">
        <f t="shared" si="1"/>
        <v>0</v>
      </c>
    </row>
    <row r="20" spans="6:15" s="76" customFormat="1" ht="22.8" outlineLevel="2">
      <c r="F20" s="77">
        <v>13</v>
      </c>
      <c r="G20" s="78" t="s">
        <v>35</v>
      </c>
      <c r="H20" s="79" t="s">
        <v>76</v>
      </c>
      <c r="I20" s="80" t="s">
        <v>77</v>
      </c>
      <c r="J20" s="78" t="s">
        <v>38</v>
      </c>
      <c r="K20" s="81">
        <v>3</v>
      </c>
      <c r="L20" s="82">
        <v>0</v>
      </c>
      <c r="M20" s="83">
        <f t="shared" si="0"/>
        <v>3</v>
      </c>
      <c r="N20" s="84"/>
      <c r="O20" s="85">
        <f t="shared" si="1"/>
        <v>0</v>
      </c>
    </row>
    <row r="21" spans="6:15" s="62" customFormat="1" ht="12.75" customHeight="1" outlineLevel="2">
      <c r="F21" s="63"/>
      <c r="G21" s="64"/>
      <c r="H21" s="64"/>
      <c r="I21" s="65"/>
      <c r="J21" s="64"/>
      <c r="K21" s="66"/>
      <c r="L21" s="67"/>
      <c r="M21" s="68"/>
      <c r="N21" s="67"/>
      <c r="O21" s="69"/>
    </row>
    <row r="22" spans="6:15" s="70" customFormat="1" ht="16.5" customHeight="1" outlineLevel="1">
      <c r="F22" s="71"/>
      <c r="G22" s="50"/>
      <c r="H22" s="72"/>
      <c r="I22" s="72" t="s">
        <v>78</v>
      </c>
      <c r="J22" s="50"/>
      <c r="K22" s="73"/>
      <c r="L22" s="74"/>
      <c r="M22" s="75"/>
      <c r="N22" s="74"/>
      <c r="O22" s="8">
        <f>SUBTOTAL(9,O23:O35)</f>
        <v>0</v>
      </c>
    </row>
    <row r="23" spans="6:15" s="76" customFormat="1" ht="11.4" outlineLevel="2">
      <c r="F23" s="77">
        <v>15</v>
      </c>
      <c r="G23" s="78" t="s">
        <v>35</v>
      </c>
      <c r="H23" s="79" t="s">
        <v>79</v>
      </c>
      <c r="I23" s="80" t="s">
        <v>80</v>
      </c>
      <c r="J23" s="78" t="s">
        <v>46</v>
      </c>
      <c r="K23" s="81">
        <f>(1+1.15+3+0.65+1.3+1.8+2.5+2.5+2.3+1.75+2+3.6+1.05+3.5+1)*0.17*0.1+6.7*0.45*0.1</f>
        <v>0.7962000000000002</v>
      </c>
      <c r="L23" s="82">
        <v>0</v>
      </c>
      <c r="M23" s="83">
        <f aca="true" t="shared" si="2" ref="M23:M35">K23*(1+L23/100)</f>
        <v>0.7962000000000002</v>
      </c>
      <c r="N23" s="84"/>
      <c r="O23" s="85">
        <f aca="true" t="shared" si="3" ref="O23:O35">M23*N23</f>
        <v>0</v>
      </c>
    </row>
    <row r="24" spans="6:15" s="76" customFormat="1" ht="11.4" outlineLevel="2">
      <c r="F24" s="77">
        <v>16</v>
      </c>
      <c r="G24" s="78" t="s">
        <v>35</v>
      </c>
      <c r="H24" s="79" t="s">
        <v>81</v>
      </c>
      <c r="I24" s="80" t="s">
        <v>82</v>
      </c>
      <c r="J24" s="78" t="s">
        <v>38</v>
      </c>
      <c r="K24" s="83">
        <v>55</v>
      </c>
      <c r="L24" s="82">
        <v>0</v>
      </c>
      <c r="M24" s="83">
        <f t="shared" si="2"/>
        <v>55</v>
      </c>
      <c r="N24" s="84"/>
      <c r="O24" s="85">
        <f t="shared" si="3"/>
        <v>0</v>
      </c>
    </row>
    <row r="25" spans="6:15" s="76" customFormat="1" ht="11.4" outlineLevel="2">
      <c r="F25" s="77">
        <v>17</v>
      </c>
      <c r="G25" s="78" t="s">
        <v>35</v>
      </c>
      <c r="H25" s="79" t="s">
        <v>83</v>
      </c>
      <c r="I25" s="80" t="s">
        <v>84</v>
      </c>
      <c r="J25" s="78" t="s">
        <v>38</v>
      </c>
      <c r="K25" s="83">
        <v>4</v>
      </c>
      <c r="L25" s="82">
        <v>0</v>
      </c>
      <c r="M25" s="83">
        <f t="shared" si="2"/>
        <v>4</v>
      </c>
      <c r="N25" s="84"/>
      <c r="O25" s="85">
        <f t="shared" si="3"/>
        <v>0</v>
      </c>
    </row>
    <row r="26" spans="6:15" s="76" customFormat="1" ht="11.4" outlineLevel="2">
      <c r="F26" s="77">
        <v>18</v>
      </c>
      <c r="G26" s="78" t="s">
        <v>35</v>
      </c>
      <c r="H26" s="79" t="s">
        <v>85</v>
      </c>
      <c r="I26" s="80" t="s">
        <v>86</v>
      </c>
      <c r="J26" s="78" t="s">
        <v>38</v>
      </c>
      <c r="K26" s="83">
        <v>6</v>
      </c>
      <c r="L26" s="82">
        <v>0</v>
      </c>
      <c r="M26" s="83">
        <f t="shared" si="2"/>
        <v>6</v>
      </c>
      <c r="N26" s="84"/>
      <c r="O26" s="85">
        <f t="shared" si="3"/>
        <v>0</v>
      </c>
    </row>
    <row r="27" spans="6:15" s="76" customFormat="1" ht="11.4" outlineLevel="2">
      <c r="F27" s="77">
        <v>19</v>
      </c>
      <c r="G27" s="78" t="s">
        <v>35</v>
      </c>
      <c r="H27" s="79" t="s">
        <v>87</v>
      </c>
      <c r="I27" s="80" t="s">
        <v>88</v>
      </c>
      <c r="J27" s="78" t="s">
        <v>38</v>
      </c>
      <c r="K27" s="83">
        <v>65</v>
      </c>
      <c r="L27" s="82"/>
      <c r="M27" s="83">
        <f t="shared" si="2"/>
        <v>65</v>
      </c>
      <c r="N27" s="84"/>
      <c r="O27" s="85">
        <f t="shared" si="3"/>
        <v>0</v>
      </c>
    </row>
    <row r="28" spans="6:15" s="76" customFormat="1" ht="11.4" outlineLevel="2">
      <c r="F28" s="77">
        <v>20</v>
      </c>
      <c r="G28" s="78" t="s">
        <v>35</v>
      </c>
      <c r="H28" s="79" t="s">
        <v>89</v>
      </c>
      <c r="I28" s="80" t="s">
        <v>90</v>
      </c>
      <c r="J28" s="78" t="s">
        <v>38</v>
      </c>
      <c r="K28" s="83">
        <v>222.72</v>
      </c>
      <c r="L28" s="82">
        <v>0</v>
      </c>
      <c r="M28" s="83">
        <f>K28*(1+L28/100)</f>
        <v>222.72</v>
      </c>
      <c r="N28" s="84"/>
      <c r="O28" s="85">
        <f t="shared" si="3"/>
        <v>0</v>
      </c>
    </row>
    <row r="29" spans="6:15" s="76" customFormat="1" ht="11.4" outlineLevel="2">
      <c r="F29" s="77">
        <v>21</v>
      </c>
      <c r="G29" s="78" t="s">
        <v>35</v>
      </c>
      <c r="H29" s="79" t="s">
        <v>91</v>
      </c>
      <c r="I29" s="80" t="s">
        <v>92</v>
      </c>
      <c r="J29" s="78" t="s">
        <v>38</v>
      </c>
      <c r="K29" s="83">
        <f>222.72-(1.9+6)*2.1-(4.5+5.35+0.85)*2.1</f>
        <v>183.66</v>
      </c>
      <c r="L29" s="82">
        <v>5</v>
      </c>
      <c r="M29" s="83">
        <f t="shared" si="2"/>
        <v>192.84300000000002</v>
      </c>
      <c r="N29" s="84"/>
      <c r="O29" s="85">
        <f t="shared" si="3"/>
        <v>0</v>
      </c>
    </row>
    <row r="30" spans="6:15" s="76" customFormat="1" ht="11.4" outlineLevel="2">
      <c r="F30" s="77">
        <v>22</v>
      </c>
      <c r="G30" s="78" t="s">
        <v>35</v>
      </c>
      <c r="H30" s="79" t="s">
        <v>93</v>
      </c>
      <c r="I30" s="80" t="s">
        <v>94</v>
      </c>
      <c r="J30" s="78" t="s">
        <v>43</v>
      </c>
      <c r="K30" s="83">
        <v>10</v>
      </c>
      <c r="L30" s="82">
        <v>0</v>
      </c>
      <c r="M30" s="83">
        <f t="shared" si="2"/>
        <v>10</v>
      </c>
      <c r="N30" s="84"/>
      <c r="O30" s="85">
        <f t="shared" si="3"/>
        <v>0</v>
      </c>
    </row>
    <row r="31" spans="6:15" s="76" customFormat="1" ht="11.4" outlineLevel="2">
      <c r="F31" s="77">
        <v>23</v>
      </c>
      <c r="G31" s="78" t="s">
        <v>35</v>
      </c>
      <c r="H31" s="79" t="s">
        <v>95</v>
      </c>
      <c r="I31" s="80" t="s">
        <v>96</v>
      </c>
      <c r="J31" s="78" t="s">
        <v>38</v>
      </c>
      <c r="K31" s="81">
        <f>83.055*2+10.3</f>
        <v>176.41000000000003</v>
      </c>
      <c r="L31" s="82">
        <v>8</v>
      </c>
      <c r="M31" s="83">
        <f t="shared" si="2"/>
        <v>190.52280000000005</v>
      </c>
      <c r="N31" s="84"/>
      <c r="O31" s="85">
        <f t="shared" si="3"/>
        <v>0</v>
      </c>
    </row>
    <row r="32" spans="6:15" s="76" customFormat="1" ht="11.4" outlineLevel="2">
      <c r="F32" s="77">
        <v>24</v>
      </c>
      <c r="G32" s="78" t="s">
        <v>35</v>
      </c>
      <c r="H32" s="79" t="s">
        <v>97</v>
      </c>
      <c r="I32" s="80" t="s">
        <v>98</v>
      </c>
      <c r="J32" s="78" t="s">
        <v>38</v>
      </c>
      <c r="K32" s="81">
        <f>166.11+10.3</f>
        <v>176.41000000000003</v>
      </c>
      <c r="L32" s="82">
        <v>8</v>
      </c>
      <c r="M32" s="83">
        <f t="shared" si="2"/>
        <v>190.52280000000005</v>
      </c>
      <c r="N32" s="84"/>
      <c r="O32" s="85">
        <f t="shared" si="3"/>
        <v>0</v>
      </c>
    </row>
    <row r="33" spans="6:15" s="76" customFormat="1" ht="22.8" outlineLevel="2">
      <c r="F33" s="77">
        <v>25</v>
      </c>
      <c r="G33" s="78" t="s">
        <v>35</v>
      </c>
      <c r="H33" s="79" t="s">
        <v>99</v>
      </c>
      <c r="I33" s="80" t="s">
        <v>100</v>
      </c>
      <c r="J33" s="78" t="s">
        <v>69</v>
      </c>
      <c r="K33" s="83">
        <f>17.9+3.3+3.3+3.3*2</f>
        <v>31.1</v>
      </c>
      <c r="L33" s="82">
        <v>3</v>
      </c>
      <c r="M33" s="83">
        <f t="shared" si="2"/>
        <v>32.033</v>
      </c>
      <c r="N33" s="84"/>
      <c r="O33" s="85">
        <f t="shared" si="3"/>
        <v>0</v>
      </c>
    </row>
    <row r="34" spans="6:15" s="76" customFormat="1" ht="11.4" outlineLevel="2">
      <c r="F34" s="77">
        <v>26</v>
      </c>
      <c r="G34" s="78" t="s">
        <v>35</v>
      </c>
      <c r="H34" s="79" t="s">
        <v>101</v>
      </c>
      <c r="I34" s="80" t="s">
        <v>102</v>
      </c>
      <c r="J34" s="78" t="s">
        <v>38</v>
      </c>
      <c r="K34" s="81">
        <v>5</v>
      </c>
      <c r="L34" s="82">
        <v>8</v>
      </c>
      <c r="M34" s="83">
        <f t="shared" si="2"/>
        <v>5.4</v>
      </c>
      <c r="N34" s="84"/>
      <c r="O34" s="85">
        <f t="shared" si="3"/>
        <v>0</v>
      </c>
    </row>
    <row r="35" spans="6:15" s="76" customFormat="1" ht="11.4" outlineLevel="2">
      <c r="F35" s="77">
        <v>27</v>
      </c>
      <c r="G35" s="78" t="s">
        <v>35</v>
      </c>
      <c r="H35" s="79" t="s">
        <v>103</v>
      </c>
      <c r="I35" s="80" t="s">
        <v>104</v>
      </c>
      <c r="J35" s="78" t="s">
        <v>38</v>
      </c>
      <c r="K35" s="81">
        <f>0.75*3*2.1+1.5*0.75+2.1*2.1*6+5.7*2.1+2.25*2.1+3.2*2.6*2+0.8*2*2*14+1.1*2*2*4+2.1*2.6*2+2.3*2.6*2+3.2*2.6*2+2.3*2.6*2+1.7*3*2+2.35*3*2+2.25*0.5*2*3+10</f>
        <v>220.57500000000005</v>
      </c>
      <c r="L35" s="82">
        <v>5</v>
      </c>
      <c r="M35" s="83">
        <f t="shared" si="2"/>
        <v>231.60375000000005</v>
      </c>
      <c r="N35" s="84"/>
      <c r="O35" s="85">
        <f t="shared" si="3"/>
        <v>0</v>
      </c>
    </row>
    <row r="36" spans="6:15" s="62" customFormat="1" ht="12.75" customHeight="1" outlineLevel="2">
      <c r="F36" s="63"/>
      <c r="G36" s="64"/>
      <c r="H36" s="64"/>
      <c r="I36" s="65"/>
      <c r="J36" s="64"/>
      <c r="K36" s="66"/>
      <c r="L36" s="67"/>
      <c r="M36" s="68"/>
      <c r="N36" s="67"/>
      <c r="O36" s="69"/>
    </row>
    <row r="37" spans="6:15" s="70" customFormat="1" ht="16.5" customHeight="1" outlineLevel="1">
      <c r="F37" s="71"/>
      <c r="G37" s="50"/>
      <c r="H37" s="72"/>
      <c r="I37" s="72" t="s">
        <v>105</v>
      </c>
      <c r="J37" s="50"/>
      <c r="K37" s="73"/>
      <c r="L37" s="74"/>
      <c r="M37" s="75"/>
      <c r="N37" s="74"/>
      <c r="O37" s="8">
        <f>SUBTOTAL(9,O38:O66)</f>
        <v>0</v>
      </c>
    </row>
    <row r="38" spans="6:15" s="70" customFormat="1" ht="22.8" outlineLevel="1">
      <c r="F38" s="77">
        <v>28</v>
      </c>
      <c r="G38" s="78" t="s">
        <v>35</v>
      </c>
      <c r="H38" s="79" t="s">
        <v>106</v>
      </c>
      <c r="I38" s="80" t="s">
        <v>107</v>
      </c>
      <c r="J38" s="78" t="s">
        <v>43</v>
      </c>
      <c r="K38" s="83">
        <v>4</v>
      </c>
      <c r="L38" s="82">
        <v>0</v>
      </c>
      <c r="M38" s="83">
        <f>K38*(1+L38/100)</f>
        <v>4</v>
      </c>
      <c r="N38" s="84"/>
      <c r="O38" s="85">
        <f>M38*N38</f>
        <v>0</v>
      </c>
    </row>
    <row r="39" spans="6:15" s="70" customFormat="1" ht="12" outlineLevel="1">
      <c r="F39" s="77">
        <v>29</v>
      </c>
      <c r="G39" s="78" t="s">
        <v>35</v>
      </c>
      <c r="H39" s="79" t="s">
        <v>108</v>
      </c>
      <c r="I39" s="80" t="s">
        <v>109</v>
      </c>
      <c r="J39" s="78" t="s">
        <v>110</v>
      </c>
      <c r="K39" s="83">
        <v>1</v>
      </c>
      <c r="L39" s="82">
        <v>0</v>
      </c>
      <c r="M39" s="83">
        <f>K39*(1+L39/100)</f>
        <v>1</v>
      </c>
      <c r="N39" s="84"/>
      <c r="O39" s="85">
        <f>M39*N39</f>
        <v>0</v>
      </c>
    </row>
    <row r="40" spans="6:15" s="70" customFormat="1" ht="12" outlineLevel="1">
      <c r="F40" s="77">
        <v>30</v>
      </c>
      <c r="G40" s="78" t="s">
        <v>35</v>
      </c>
      <c r="H40" s="79" t="s">
        <v>111</v>
      </c>
      <c r="I40" s="80" t="s">
        <v>112</v>
      </c>
      <c r="J40" s="78" t="s">
        <v>113</v>
      </c>
      <c r="K40" s="83">
        <v>1</v>
      </c>
      <c r="L40" s="82">
        <v>0</v>
      </c>
      <c r="M40" s="83">
        <f>K40*(1+L40/100)</f>
        <v>1</v>
      </c>
      <c r="N40" s="84"/>
      <c r="O40" s="85">
        <f>M40*N40</f>
        <v>0</v>
      </c>
    </row>
    <row r="41" spans="6:15" s="76" customFormat="1" ht="11.4" outlineLevel="2">
      <c r="F41" s="77">
        <v>31</v>
      </c>
      <c r="G41" s="78" t="s">
        <v>35</v>
      </c>
      <c r="H41" s="79" t="s">
        <v>120</v>
      </c>
      <c r="I41" s="80" t="s">
        <v>121</v>
      </c>
      <c r="J41" s="78" t="s">
        <v>38</v>
      </c>
      <c r="K41" s="81">
        <v>484</v>
      </c>
      <c r="L41" s="82">
        <v>0</v>
      </c>
      <c r="M41" s="83">
        <f aca="true" t="shared" si="4" ref="M41:M66">K41*(1+L41/100)</f>
        <v>484</v>
      </c>
      <c r="N41" s="84"/>
      <c r="O41" s="85">
        <f aca="true" t="shared" si="5" ref="O41:O66">M41*N41</f>
        <v>0</v>
      </c>
    </row>
    <row r="42" spans="6:15" s="76" customFormat="1" ht="22.8" outlineLevel="2">
      <c r="F42" s="77">
        <v>32</v>
      </c>
      <c r="G42" s="78" t="s">
        <v>35</v>
      </c>
      <c r="H42" s="79" t="s">
        <v>122</v>
      </c>
      <c r="I42" s="80" t="s">
        <v>123</v>
      </c>
      <c r="J42" s="78" t="s">
        <v>38</v>
      </c>
      <c r="K42" s="81">
        <v>484</v>
      </c>
      <c r="L42" s="82">
        <v>0</v>
      </c>
      <c r="M42" s="83">
        <f t="shared" si="4"/>
        <v>484</v>
      </c>
      <c r="N42" s="84"/>
      <c r="O42" s="85">
        <f t="shared" si="5"/>
        <v>0</v>
      </c>
    </row>
    <row r="43" spans="6:15" s="76" customFormat="1" ht="11.4" outlineLevel="2">
      <c r="F43" s="77">
        <v>33</v>
      </c>
      <c r="G43" s="78" t="s">
        <v>35</v>
      </c>
      <c r="H43" s="79" t="s">
        <v>124</v>
      </c>
      <c r="I43" s="80" t="s">
        <v>125</v>
      </c>
      <c r="J43" s="78" t="s">
        <v>38</v>
      </c>
      <c r="K43" s="83">
        <f>(1+1.15)*3.3-0.6*2*2+2.5*3.3*3+(3.6+1.05+2+1.6+3.5)*3.3-0.6*2*3-1.1*2+1</f>
        <v>63.42</v>
      </c>
      <c r="L43" s="82">
        <v>0</v>
      </c>
      <c r="M43" s="83">
        <f t="shared" si="4"/>
        <v>63.42</v>
      </c>
      <c r="N43" s="84"/>
      <c r="O43" s="85">
        <f t="shared" si="5"/>
        <v>0</v>
      </c>
    </row>
    <row r="44" spans="6:15" s="76" customFormat="1" ht="11.4" outlineLevel="2">
      <c r="F44" s="77">
        <v>34</v>
      </c>
      <c r="G44" s="78" t="s">
        <v>35</v>
      </c>
      <c r="H44" s="79" t="s">
        <v>126</v>
      </c>
      <c r="I44" s="80" t="s">
        <v>127</v>
      </c>
      <c r="J44" s="78" t="s">
        <v>38</v>
      </c>
      <c r="K44" s="83">
        <f>(0.6+0.8+0.9+0.9+1.1+1.1+1.1+0.8+0.8+0.7+0.6+0.6+1.1)*2</f>
        <v>22.199999999999996</v>
      </c>
      <c r="L44" s="82">
        <v>0</v>
      </c>
      <c r="M44" s="83">
        <f t="shared" si="4"/>
        <v>22.199999999999996</v>
      </c>
      <c r="N44" s="84"/>
      <c r="O44" s="85">
        <f t="shared" si="5"/>
        <v>0</v>
      </c>
    </row>
    <row r="45" spans="6:15" s="76" customFormat="1" ht="11.4" outlineLevel="2">
      <c r="F45" s="77">
        <v>35</v>
      </c>
      <c r="G45" s="78" t="s">
        <v>35</v>
      </c>
      <c r="H45" s="79" t="s">
        <v>128</v>
      </c>
      <c r="I45" s="80" t="s">
        <v>129</v>
      </c>
      <c r="J45" s="78" t="s">
        <v>38</v>
      </c>
      <c r="K45" s="83">
        <f>8+8.8+7.3</f>
        <v>24.1</v>
      </c>
      <c r="L45" s="82">
        <v>0</v>
      </c>
      <c r="M45" s="83">
        <f t="shared" si="4"/>
        <v>24.1</v>
      </c>
      <c r="N45" s="84"/>
      <c r="O45" s="85">
        <f t="shared" si="5"/>
        <v>0</v>
      </c>
    </row>
    <row r="46" spans="6:15" s="76" customFormat="1" ht="11.4" outlineLevel="2">
      <c r="F46" s="77">
        <v>36</v>
      </c>
      <c r="G46" s="78" t="s">
        <v>35</v>
      </c>
      <c r="H46" s="79" t="s">
        <v>130</v>
      </c>
      <c r="I46" s="80" t="s">
        <v>131</v>
      </c>
      <c r="J46" s="78" t="s">
        <v>69</v>
      </c>
      <c r="K46" s="83">
        <v>15</v>
      </c>
      <c r="L46" s="82">
        <v>0</v>
      </c>
      <c r="M46" s="83">
        <f t="shared" si="4"/>
        <v>15</v>
      </c>
      <c r="N46" s="84"/>
      <c r="O46" s="85">
        <f t="shared" si="5"/>
        <v>0</v>
      </c>
    </row>
    <row r="47" spans="6:15" s="76" customFormat="1" ht="11.4" outlineLevel="2">
      <c r="F47" s="77">
        <v>37</v>
      </c>
      <c r="G47" s="78" t="s">
        <v>35</v>
      </c>
      <c r="H47" s="79" t="s">
        <v>132</v>
      </c>
      <c r="I47" s="80" t="s">
        <v>133</v>
      </c>
      <c r="J47" s="78" t="s">
        <v>69</v>
      </c>
      <c r="K47" s="83">
        <v>12</v>
      </c>
      <c r="L47" s="82">
        <v>0</v>
      </c>
      <c r="M47" s="83">
        <f t="shared" si="4"/>
        <v>12</v>
      </c>
      <c r="N47" s="84"/>
      <c r="O47" s="85">
        <f t="shared" si="5"/>
        <v>0</v>
      </c>
    </row>
    <row r="48" spans="6:15" s="76" customFormat="1" ht="11.4" outlineLevel="2">
      <c r="F48" s="77">
        <v>38</v>
      </c>
      <c r="G48" s="78" t="s">
        <v>35</v>
      </c>
      <c r="H48" s="79" t="s">
        <v>134</v>
      </c>
      <c r="I48" s="80" t="s">
        <v>135</v>
      </c>
      <c r="J48" s="78" t="s">
        <v>69</v>
      </c>
      <c r="K48" s="83">
        <f>1.3*5+1.8</f>
        <v>8.3</v>
      </c>
      <c r="L48" s="82">
        <v>0</v>
      </c>
      <c r="M48" s="83">
        <f t="shared" si="4"/>
        <v>8.3</v>
      </c>
      <c r="N48" s="84"/>
      <c r="O48" s="85">
        <f t="shared" si="5"/>
        <v>0</v>
      </c>
    </row>
    <row r="49" spans="6:15" s="76" customFormat="1" ht="11.4" outlineLevel="2">
      <c r="F49" s="77">
        <v>39</v>
      </c>
      <c r="G49" s="78" t="s">
        <v>35</v>
      </c>
      <c r="H49" s="79" t="s">
        <v>136</v>
      </c>
      <c r="I49" s="80" t="s">
        <v>137</v>
      </c>
      <c r="J49" s="78" t="s">
        <v>38</v>
      </c>
      <c r="K49" s="83">
        <v>2</v>
      </c>
      <c r="L49" s="82">
        <v>0</v>
      </c>
      <c r="M49" s="83">
        <f t="shared" si="4"/>
        <v>2</v>
      </c>
      <c r="N49" s="84"/>
      <c r="O49" s="85">
        <f t="shared" si="5"/>
        <v>0</v>
      </c>
    </row>
    <row r="50" spans="6:15" s="76" customFormat="1" ht="11.4" outlineLevel="2">
      <c r="F50" s="77">
        <v>40</v>
      </c>
      <c r="G50" s="78" t="s">
        <v>35</v>
      </c>
      <c r="H50" s="79" t="s">
        <v>138</v>
      </c>
      <c r="I50" s="80" t="s">
        <v>139</v>
      </c>
      <c r="J50" s="78" t="s">
        <v>38</v>
      </c>
      <c r="K50" s="83">
        <f>0.65*2.2+1.75*2.2+1.2*2.2+1*2.2+3*1+3*1+3*1</f>
        <v>19.12</v>
      </c>
      <c r="L50" s="82">
        <v>0</v>
      </c>
      <c r="M50" s="83">
        <f t="shared" si="4"/>
        <v>19.12</v>
      </c>
      <c r="N50" s="84"/>
      <c r="O50" s="85">
        <f t="shared" si="5"/>
        <v>0</v>
      </c>
    </row>
    <row r="51" spans="6:15" s="76" customFormat="1" ht="11.4" outlineLevel="2">
      <c r="F51" s="77">
        <v>41</v>
      </c>
      <c r="G51" s="78" t="s">
        <v>35</v>
      </c>
      <c r="H51" s="79" t="s">
        <v>134</v>
      </c>
      <c r="I51" s="80" t="s">
        <v>144</v>
      </c>
      <c r="J51" s="78" t="s">
        <v>69</v>
      </c>
      <c r="K51" s="83">
        <f>1.5+1.25*5</f>
        <v>7.75</v>
      </c>
      <c r="L51" s="82">
        <v>0</v>
      </c>
      <c r="M51" s="83">
        <f t="shared" si="4"/>
        <v>7.75</v>
      </c>
      <c r="N51" s="84"/>
      <c r="O51" s="85">
        <f t="shared" si="5"/>
        <v>0</v>
      </c>
    </row>
    <row r="52" spans="6:15" s="76" customFormat="1" ht="11.4" outlineLevel="2">
      <c r="F52" s="77">
        <v>42</v>
      </c>
      <c r="G52" s="78" t="s">
        <v>35</v>
      </c>
      <c r="H52" s="79" t="s">
        <v>145</v>
      </c>
      <c r="I52" s="80" t="s">
        <v>146</v>
      </c>
      <c r="J52" s="78" t="s">
        <v>46</v>
      </c>
      <c r="K52" s="83">
        <f>0.55*0.45*3.4*4+1.05*0.45*1*2</f>
        <v>4.311</v>
      </c>
      <c r="L52" s="82">
        <v>0</v>
      </c>
      <c r="M52" s="83">
        <f t="shared" si="4"/>
        <v>4.311</v>
      </c>
      <c r="N52" s="84"/>
      <c r="O52" s="85">
        <f t="shared" si="5"/>
        <v>0</v>
      </c>
    </row>
    <row r="53" spans="6:15" s="76" customFormat="1" ht="11.4" outlineLevel="2">
      <c r="F53" s="77">
        <v>43</v>
      </c>
      <c r="G53" s="78" t="s">
        <v>35</v>
      </c>
      <c r="H53" s="79" t="s">
        <v>147</v>
      </c>
      <c r="I53" s="80" t="s">
        <v>148</v>
      </c>
      <c r="J53" s="78" t="s">
        <v>46</v>
      </c>
      <c r="K53" s="83">
        <f>(2.1+0.6)*0.45*0.35*2</f>
        <v>0.8505</v>
      </c>
      <c r="L53" s="82">
        <v>0</v>
      </c>
      <c r="M53" s="83">
        <f t="shared" si="4"/>
        <v>0.8505</v>
      </c>
      <c r="N53" s="84"/>
      <c r="O53" s="85">
        <f t="shared" si="5"/>
        <v>0</v>
      </c>
    </row>
    <row r="54" spans="6:15" s="76" customFormat="1" ht="11.4" outlineLevel="2">
      <c r="F54" s="77">
        <v>44</v>
      </c>
      <c r="G54" s="78" t="s">
        <v>35</v>
      </c>
      <c r="H54" s="79" t="s">
        <v>149</v>
      </c>
      <c r="I54" s="80" t="s">
        <v>150</v>
      </c>
      <c r="J54" s="78" t="s">
        <v>43</v>
      </c>
      <c r="K54" s="83">
        <v>8</v>
      </c>
      <c r="L54" s="82">
        <v>0</v>
      </c>
      <c r="M54" s="83">
        <f t="shared" si="4"/>
        <v>8</v>
      </c>
      <c r="N54" s="84"/>
      <c r="O54" s="85">
        <f t="shared" si="5"/>
        <v>0</v>
      </c>
    </row>
    <row r="55" spans="6:15" s="76" customFormat="1" ht="11.4" outlineLevel="2">
      <c r="F55" s="77">
        <v>45</v>
      </c>
      <c r="G55" s="78" t="s">
        <v>35</v>
      </c>
      <c r="H55" s="79" t="s">
        <v>151</v>
      </c>
      <c r="I55" s="80" t="s">
        <v>152</v>
      </c>
      <c r="J55" s="78" t="s">
        <v>46</v>
      </c>
      <c r="K55" s="83">
        <v>0.2</v>
      </c>
      <c r="L55" s="82">
        <v>0</v>
      </c>
      <c r="M55" s="83">
        <f t="shared" si="4"/>
        <v>0.2</v>
      </c>
      <c r="N55" s="84"/>
      <c r="O55" s="85">
        <f>M55*N55</f>
        <v>0</v>
      </c>
    </row>
    <row r="56" spans="6:15" s="76" customFormat="1" ht="11.4" outlineLevel="2">
      <c r="F56" s="77">
        <v>46</v>
      </c>
      <c r="G56" s="78" t="s">
        <v>35</v>
      </c>
      <c r="H56" s="79" t="s">
        <v>171</v>
      </c>
      <c r="I56" s="80" t="s">
        <v>172</v>
      </c>
      <c r="J56" s="78" t="s">
        <v>38</v>
      </c>
      <c r="K56" s="83">
        <v>190</v>
      </c>
      <c r="L56" s="82">
        <v>0</v>
      </c>
      <c r="M56" s="83">
        <f t="shared" si="4"/>
        <v>190</v>
      </c>
      <c r="N56" s="84"/>
      <c r="O56" s="85">
        <f t="shared" si="5"/>
        <v>0</v>
      </c>
    </row>
    <row r="57" spans="6:15" s="76" customFormat="1" ht="11.4" outlineLevel="2">
      <c r="F57" s="77">
        <v>47</v>
      </c>
      <c r="G57" s="78" t="s">
        <v>35</v>
      </c>
      <c r="H57" s="79" t="s">
        <v>173</v>
      </c>
      <c r="I57" s="80" t="s">
        <v>174</v>
      </c>
      <c r="J57" s="78" t="s">
        <v>38</v>
      </c>
      <c r="K57" s="83">
        <v>205</v>
      </c>
      <c r="L57" s="82">
        <v>0</v>
      </c>
      <c r="M57" s="83">
        <f t="shared" si="4"/>
        <v>205</v>
      </c>
      <c r="N57" s="84"/>
      <c r="O57" s="85">
        <f t="shared" si="5"/>
        <v>0</v>
      </c>
    </row>
    <row r="58" spans="6:15" s="76" customFormat="1" ht="11.4" outlineLevel="2">
      <c r="F58" s="77">
        <v>48</v>
      </c>
      <c r="G58" s="78" t="s">
        <v>35</v>
      </c>
      <c r="H58" s="79" t="s">
        <v>175</v>
      </c>
      <c r="I58" s="80" t="s">
        <v>176</v>
      </c>
      <c r="J58" s="78" t="s">
        <v>59</v>
      </c>
      <c r="K58" s="81">
        <v>32.5</v>
      </c>
      <c r="L58" s="82">
        <v>0</v>
      </c>
      <c r="M58" s="83">
        <f t="shared" si="4"/>
        <v>32.5</v>
      </c>
      <c r="N58" s="84"/>
      <c r="O58" s="85">
        <f t="shared" si="5"/>
        <v>0</v>
      </c>
    </row>
    <row r="59" spans="6:15" s="76" customFormat="1" ht="11.4" outlineLevel="2">
      <c r="F59" s="77">
        <v>49</v>
      </c>
      <c r="G59" s="78" t="s">
        <v>35</v>
      </c>
      <c r="H59" s="79" t="s">
        <v>177</v>
      </c>
      <c r="I59" s="80" t="s">
        <v>178</v>
      </c>
      <c r="J59" s="78" t="s">
        <v>59</v>
      </c>
      <c r="K59" s="81">
        <f>32.5*7</f>
        <v>227.5</v>
      </c>
      <c r="L59" s="82">
        <v>0</v>
      </c>
      <c r="M59" s="83">
        <f t="shared" si="4"/>
        <v>227.5</v>
      </c>
      <c r="N59" s="84"/>
      <c r="O59" s="85">
        <f t="shared" si="5"/>
        <v>0</v>
      </c>
    </row>
    <row r="60" spans="6:15" s="76" customFormat="1" ht="11.4" outlineLevel="2">
      <c r="F60" s="77">
        <v>50</v>
      </c>
      <c r="G60" s="78" t="s">
        <v>35</v>
      </c>
      <c r="H60" s="79" t="s">
        <v>179</v>
      </c>
      <c r="I60" s="80" t="s">
        <v>180</v>
      </c>
      <c r="J60" s="78" t="s">
        <v>59</v>
      </c>
      <c r="K60" s="81">
        <v>32.5</v>
      </c>
      <c r="L60" s="82">
        <v>0</v>
      </c>
      <c r="M60" s="83">
        <f t="shared" si="4"/>
        <v>32.5</v>
      </c>
      <c r="N60" s="84"/>
      <c r="O60" s="85">
        <f t="shared" si="5"/>
        <v>0</v>
      </c>
    </row>
    <row r="61" spans="6:15" s="76" customFormat="1" ht="11.4" outlineLevel="2">
      <c r="F61" s="77">
        <v>51</v>
      </c>
      <c r="G61" s="78" t="s">
        <v>35</v>
      </c>
      <c r="H61" s="79" t="s">
        <v>181</v>
      </c>
      <c r="I61" s="80" t="s">
        <v>182</v>
      </c>
      <c r="J61" s="78" t="s">
        <v>59</v>
      </c>
      <c r="K61" s="81">
        <f>32.5*7</f>
        <v>227.5</v>
      </c>
      <c r="L61" s="82">
        <v>0</v>
      </c>
      <c r="M61" s="83">
        <f t="shared" si="4"/>
        <v>227.5</v>
      </c>
      <c r="N61" s="84"/>
      <c r="O61" s="85">
        <f t="shared" si="5"/>
        <v>0</v>
      </c>
    </row>
    <row r="62" spans="6:15" s="76" customFormat="1" ht="22.8" outlineLevel="2">
      <c r="F62" s="77" t="s">
        <v>1206</v>
      </c>
      <c r="G62" s="78" t="s">
        <v>35</v>
      </c>
      <c r="H62" s="79" t="s">
        <v>183</v>
      </c>
      <c r="I62" s="80" t="s">
        <v>1207</v>
      </c>
      <c r="J62" s="78" t="s">
        <v>59</v>
      </c>
      <c r="K62" s="81">
        <v>227.5</v>
      </c>
      <c r="L62" s="82">
        <v>0</v>
      </c>
      <c r="M62" s="83">
        <f>K62*(1+L62/100)</f>
        <v>227.5</v>
      </c>
      <c r="N62" s="84"/>
      <c r="O62" s="85">
        <f t="shared" si="5"/>
        <v>0</v>
      </c>
    </row>
    <row r="63" spans="6:15" s="76" customFormat="1" ht="22.8" outlineLevel="2">
      <c r="F63" s="77" t="s">
        <v>1208</v>
      </c>
      <c r="G63" s="78" t="s">
        <v>35</v>
      </c>
      <c r="H63" s="79" t="s">
        <v>183</v>
      </c>
      <c r="I63" s="80" t="s">
        <v>1209</v>
      </c>
      <c r="J63" s="78" t="s">
        <v>59</v>
      </c>
      <c r="K63" s="81">
        <v>227.5</v>
      </c>
      <c r="L63" s="82">
        <v>0</v>
      </c>
      <c r="M63" s="83">
        <f>K63*(1+L63/100)</f>
        <v>227.5</v>
      </c>
      <c r="N63" s="84"/>
      <c r="O63" s="85">
        <f t="shared" si="5"/>
        <v>0</v>
      </c>
    </row>
    <row r="64" spans="6:15" s="76" customFormat="1" ht="11.4" outlineLevel="2">
      <c r="F64" s="77">
        <v>52</v>
      </c>
      <c r="G64" s="78" t="s">
        <v>35</v>
      </c>
      <c r="H64" s="79" t="s">
        <v>186</v>
      </c>
      <c r="I64" s="80" t="s">
        <v>187</v>
      </c>
      <c r="J64" s="78" t="s">
        <v>59</v>
      </c>
      <c r="K64" s="81">
        <v>32.5</v>
      </c>
      <c r="L64" s="82">
        <v>0</v>
      </c>
      <c r="M64" s="83">
        <f t="shared" si="4"/>
        <v>32.5</v>
      </c>
      <c r="N64" s="84"/>
      <c r="O64" s="85">
        <f t="shared" si="5"/>
        <v>0</v>
      </c>
    </row>
    <row r="65" spans="6:15" s="76" customFormat="1" ht="11.4" outlineLevel="2">
      <c r="F65" s="77">
        <v>53</v>
      </c>
      <c r="G65" s="78" t="s">
        <v>35</v>
      </c>
      <c r="H65" s="79" t="s">
        <v>188</v>
      </c>
      <c r="I65" s="80" t="s">
        <v>189</v>
      </c>
      <c r="J65" s="78" t="s">
        <v>59</v>
      </c>
      <c r="K65" s="81">
        <f>32.5*20</f>
        <v>650</v>
      </c>
      <c r="L65" s="82">
        <v>0</v>
      </c>
      <c r="M65" s="83">
        <f t="shared" si="4"/>
        <v>650</v>
      </c>
      <c r="N65" s="84"/>
      <c r="O65" s="85">
        <f t="shared" si="5"/>
        <v>0</v>
      </c>
    </row>
    <row r="66" spans="6:15" s="76" customFormat="1" ht="22.8" outlineLevel="2">
      <c r="F66" s="77">
        <v>54</v>
      </c>
      <c r="G66" s="78" t="s">
        <v>35</v>
      </c>
      <c r="H66" s="79" t="s">
        <v>190</v>
      </c>
      <c r="I66" s="80" t="s">
        <v>191</v>
      </c>
      <c r="J66" s="78" t="s">
        <v>59</v>
      </c>
      <c r="K66" s="81">
        <v>32.5</v>
      </c>
      <c r="L66" s="82">
        <v>0</v>
      </c>
      <c r="M66" s="83">
        <f t="shared" si="4"/>
        <v>32.5</v>
      </c>
      <c r="N66" s="84"/>
      <c r="O66" s="85">
        <f t="shared" si="5"/>
        <v>0</v>
      </c>
    </row>
    <row r="67" spans="6:15" s="62" customFormat="1" ht="12.75" customHeight="1" outlineLevel="2">
      <c r="F67" s="63"/>
      <c r="G67" s="64"/>
      <c r="H67" s="64"/>
      <c r="I67" s="65"/>
      <c r="J67" s="64"/>
      <c r="K67" s="66"/>
      <c r="L67" s="86"/>
      <c r="M67" s="87"/>
      <c r="N67" s="67"/>
      <c r="O67" s="69"/>
    </row>
    <row r="68" spans="6:15" s="70" customFormat="1" ht="16.5" customHeight="1" outlineLevel="1">
      <c r="F68" s="71"/>
      <c r="G68" s="50"/>
      <c r="H68" s="72"/>
      <c r="I68" s="72" t="s">
        <v>214</v>
      </c>
      <c r="J68" s="50"/>
      <c r="K68" s="73"/>
      <c r="L68" s="88"/>
      <c r="M68" s="89"/>
      <c r="N68" s="74"/>
      <c r="O68" s="8">
        <f>SUM(O69:O140)</f>
        <v>0</v>
      </c>
    </row>
    <row r="69" spans="6:15" s="76" customFormat="1" ht="34.2" outlineLevel="2">
      <c r="F69" s="77">
        <v>55</v>
      </c>
      <c r="G69" s="78" t="s">
        <v>192</v>
      </c>
      <c r="H69" s="79"/>
      <c r="I69" s="80" t="s">
        <v>1210</v>
      </c>
      <c r="J69" s="78" t="s">
        <v>217</v>
      </c>
      <c r="K69" s="83">
        <v>1</v>
      </c>
      <c r="L69" s="82">
        <v>0</v>
      </c>
      <c r="M69" s="83">
        <f aca="true" t="shared" si="6" ref="M69:M132">K69*(1+L69/100)</f>
        <v>1</v>
      </c>
      <c r="N69" s="84"/>
      <c r="O69" s="85">
        <f>M69*N69</f>
        <v>0</v>
      </c>
    </row>
    <row r="70" spans="6:15" s="76" customFormat="1" ht="22.8" outlineLevel="2">
      <c r="F70" s="77">
        <v>56</v>
      </c>
      <c r="G70" s="78" t="s">
        <v>192</v>
      </c>
      <c r="H70" s="79"/>
      <c r="I70" s="80" t="s">
        <v>1211</v>
      </c>
      <c r="J70" s="78" t="s">
        <v>217</v>
      </c>
      <c r="K70" s="81">
        <v>1</v>
      </c>
      <c r="L70" s="82">
        <v>0</v>
      </c>
      <c r="M70" s="83">
        <f t="shared" si="6"/>
        <v>1</v>
      </c>
      <c r="N70" s="84"/>
      <c r="O70" s="85">
        <f aca="true" t="shared" si="7" ref="O70:O133">M70*N70</f>
        <v>0</v>
      </c>
    </row>
    <row r="71" spans="6:15" s="76" customFormat="1" ht="22.8" outlineLevel="2">
      <c r="F71" s="77">
        <v>57</v>
      </c>
      <c r="G71" s="78" t="s">
        <v>192</v>
      </c>
      <c r="H71" s="79"/>
      <c r="I71" s="80" t="s">
        <v>1212</v>
      </c>
      <c r="J71" s="78" t="s">
        <v>217</v>
      </c>
      <c r="K71" s="81">
        <v>1</v>
      </c>
      <c r="L71" s="82">
        <v>0</v>
      </c>
      <c r="M71" s="83">
        <f t="shared" si="6"/>
        <v>1</v>
      </c>
      <c r="N71" s="84"/>
      <c r="O71" s="85">
        <f t="shared" si="7"/>
        <v>0</v>
      </c>
    </row>
    <row r="72" spans="6:15" s="76" customFormat="1" ht="22.8" outlineLevel="2">
      <c r="F72" s="77">
        <v>58</v>
      </c>
      <c r="G72" s="78" t="s">
        <v>192</v>
      </c>
      <c r="H72" s="79"/>
      <c r="I72" s="80" t="s">
        <v>1213</v>
      </c>
      <c r="J72" s="78" t="s">
        <v>217</v>
      </c>
      <c r="K72" s="81">
        <v>3</v>
      </c>
      <c r="L72" s="82">
        <v>0</v>
      </c>
      <c r="M72" s="83">
        <f t="shared" si="6"/>
        <v>3</v>
      </c>
      <c r="N72" s="84"/>
      <c r="O72" s="85">
        <f t="shared" si="7"/>
        <v>0</v>
      </c>
    </row>
    <row r="73" spans="6:15" s="76" customFormat="1" ht="22.8" outlineLevel="2">
      <c r="F73" s="77">
        <v>59</v>
      </c>
      <c r="G73" s="78" t="s">
        <v>192</v>
      </c>
      <c r="H73" s="79"/>
      <c r="I73" s="80" t="s">
        <v>1214</v>
      </c>
      <c r="J73" s="78" t="s">
        <v>217</v>
      </c>
      <c r="K73" s="81">
        <v>6</v>
      </c>
      <c r="L73" s="82">
        <v>0</v>
      </c>
      <c r="M73" s="83">
        <f t="shared" si="6"/>
        <v>6</v>
      </c>
      <c r="N73" s="84"/>
      <c r="O73" s="85">
        <f t="shared" si="7"/>
        <v>0</v>
      </c>
    </row>
    <row r="74" spans="6:15" s="76" customFormat="1" ht="22.8" outlineLevel="2">
      <c r="F74" s="77">
        <v>60</v>
      </c>
      <c r="G74" s="78" t="s">
        <v>192</v>
      </c>
      <c r="H74" s="79"/>
      <c r="I74" s="80" t="s">
        <v>1215</v>
      </c>
      <c r="J74" s="78" t="s">
        <v>217</v>
      </c>
      <c r="K74" s="81">
        <v>1</v>
      </c>
      <c r="L74" s="82">
        <v>0</v>
      </c>
      <c r="M74" s="83">
        <f t="shared" si="6"/>
        <v>1</v>
      </c>
      <c r="N74" s="84"/>
      <c r="O74" s="85">
        <f t="shared" si="7"/>
        <v>0</v>
      </c>
    </row>
    <row r="75" spans="6:15" s="76" customFormat="1" ht="22.8" outlineLevel="2">
      <c r="F75" s="77">
        <v>61</v>
      </c>
      <c r="G75" s="78" t="s">
        <v>192</v>
      </c>
      <c r="H75" s="79"/>
      <c r="I75" s="80" t="s">
        <v>1216</v>
      </c>
      <c r="J75" s="78" t="s">
        <v>217</v>
      </c>
      <c r="K75" s="81">
        <v>3</v>
      </c>
      <c r="L75" s="82">
        <v>0</v>
      </c>
      <c r="M75" s="83">
        <f t="shared" si="6"/>
        <v>3</v>
      </c>
      <c r="N75" s="84"/>
      <c r="O75" s="85">
        <f t="shared" si="7"/>
        <v>0</v>
      </c>
    </row>
    <row r="76" spans="6:15" s="76" customFormat="1" ht="22.8" outlineLevel="2">
      <c r="F76" s="77">
        <v>62</v>
      </c>
      <c r="G76" s="78" t="s">
        <v>192</v>
      </c>
      <c r="H76" s="79"/>
      <c r="I76" s="80" t="s">
        <v>1217</v>
      </c>
      <c r="J76" s="78" t="s">
        <v>217</v>
      </c>
      <c r="K76" s="81">
        <v>39</v>
      </c>
      <c r="L76" s="82">
        <v>0</v>
      </c>
      <c r="M76" s="83">
        <f t="shared" si="6"/>
        <v>39</v>
      </c>
      <c r="N76" s="84"/>
      <c r="O76" s="85">
        <f t="shared" si="7"/>
        <v>0</v>
      </c>
    </row>
    <row r="77" spans="6:15" s="76" customFormat="1" ht="22.8" outlineLevel="2">
      <c r="F77" s="77">
        <v>63</v>
      </c>
      <c r="G77" s="78" t="s">
        <v>192</v>
      </c>
      <c r="H77" s="79"/>
      <c r="I77" s="80" t="s">
        <v>1218</v>
      </c>
      <c r="J77" s="78" t="s">
        <v>217</v>
      </c>
      <c r="K77" s="81">
        <v>18</v>
      </c>
      <c r="L77" s="82">
        <v>0</v>
      </c>
      <c r="M77" s="83">
        <f t="shared" si="6"/>
        <v>18</v>
      </c>
      <c r="N77" s="84"/>
      <c r="O77" s="85">
        <f t="shared" si="7"/>
        <v>0</v>
      </c>
    </row>
    <row r="78" spans="6:15" s="76" customFormat="1" ht="22.8" outlineLevel="2">
      <c r="F78" s="77">
        <v>64</v>
      </c>
      <c r="G78" s="78" t="s">
        <v>192</v>
      </c>
      <c r="H78" s="79"/>
      <c r="I78" s="80" t="s">
        <v>1219</v>
      </c>
      <c r="J78" s="78" t="s">
        <v>217</v>
      </c>
      <c r="K78" s="81">
        <v>19</v>
      </c>
      <c r="L78" s="82">
        <v>0</v>
      </c>
      <c r="M78" s="83">
        <f t="shared" si="6"/>
        <v>19</v>
      </c>
      <c r="N78" s="84"/>
      <c r="O78" s="85">
        <f t="shared" si="7"/>
        <v>0</v>
      </c>
    </row>
    <row r="79" spans="6:15" s="76" customFormat="1" ht="11.4" outlineLevel="2">
      <c r="F79" s="77">
        <v>65</v>
      </c>
      <c r="G79" s="78" t="s">
        <v>192</v>
      </c>
      <c r="H79" s="79"/>
      <c r="I79" s="80" t="s">
        <v>1220</v>
      </c>
      <c r="J79" s="78" t="s">
        <v>217</v>
      </c>
      <c r="K79" s="81">
        <v>18</v>
      </c>
      <c r="L79" s="82">
        <v>0</v>
      </c>
      <c r="M79" s="83">
        <f t="shared" si="6"/>
        <v>18</v>
      </c>
      <c r="N79" s="84"/>
      <c r="O79" s="85">
        <f t="shared" si="7"/>
        <v>0</v>
      </c>
    </row>
    <row r="80" spans="6:15" s="76" customFormat="1" ht="11.4" outlineLevel="2">
      <c r="F80" s="77">
        <v>66</v>
      </c>
      <c r="G80" s="78" t="s">
        <v>192</v>
      </c>
      <c r="H80" s="79"/>
      <c r="I80" s="80" t="s">
        <v>1221</v>
      </c>
      <c r="J80" s="78" t="s">
        <v>217</v>
      </c>
      <c r="K80" s="81">
        <v>12</v>
      </c>
      <c r="L80" s="82">
        <v>0</v>
      </c>
      <c r="M80" s="83">
        <f t="shared" si="6"/>
        <v>12</v>
      </c>
      <c r="N80" s="84"/>
      <c r="O80" s="85">
        <f t="shared" si="7"/>
        <v>0</v>
      </c>
    </row>
    <row r="81" spans="6:15" s="76" customFormat="1" ht="11.4" outlineLevel="2">
      <c r="F81" s="77">
        <v>67</v>
      </c>
      <c r="G81" s="78" t="s">
        <v>192</v>
      </c>
      <c r="H81" s="79"/>
      <c r="I81" s="80" t="s">
        <v>1222</v>
      </c>
      <c r="J81" s="78" t="s">
        <v>217</v>
      </c>
      <c r="K81" s="81">
        <v>156</v>
      </c>
      <c r="L81" s="82">
        <v>0</v>
      </c>
      <c r="M81" s="83">
        <f t="shared" si="6"/>
        <v>156</v>
      </c>
      <c r="N81" s="84"/>
      <c r="O81" s="85">
        <f t="shared" si="7"/>
        <v>0</v>
      </c>
    </row>
    <row r="82" spans="6:15" s="76" customFormat="1" ht="11.4" outlineLevel="2">
      <c r="F82" s="77">
        <v>68</v>
      </c>
      <c r="G82" s="78" t="s">
        <v>192</v>
      </c>
      <c r="H82" s="79"/>
      <c r="I82" s="80" t="s">
        <v>1223</v>
      </c>
      <c r="J82" s="78" t="s">
        <v>217</v>
      </c>
      <c r="K82" s="81">
        <v>72</v>
      </c>
      <c r="L82" s="82">
        <v>0</v>
      </c>
      <c r="M82" s="83">
        <f t="shared" si="6"/>
        <v>72</v>
      </c>
      <c r="N82" s="84"/>
      <c r="O82" s="85">
        <f t="shared" si="7"/>
        <v>0</v>
      </c>
    </row>
    <row r="83" spans="6:15" s="76" customFormat="1" ht="11.4" outlineLevel="2">
      <c r="F83" s="77">
        <v>69</v>
      </c>
      <c r="G83" s="78" t="s">
        <v>192</v>
      </c>
      <c r="H83" s="79"/>
      <c r="I83" s="80" t="s">
        <v>1224</v>
      </c>
      <c r="J83" s="78" t="s">
        <v>217</v>
      </c>
      <c r="K83" s="81">
        <v>18</v>
      </c>
      <c r="L83" s="82">
        <v>0</v>
      </c>
      <c r="M83" s="83">
        <f t="shared" si="6"/>
        <v>18</v>
      </c>
      <c r="N83" s="84"/>
      <c r="O83" s="85">
        <f t="shared" si="7"/>
        <v>0</v>
      </c>
    </row>
    <row r="84" spans="6:15" s="76" customFormat="1" ht="11.4" outlineLevel="2">
      <c r="F84" s="77">
        <v>70</v>
      </c>
      <c r="G84" s="78" t="s">
        <v>192</v>
      </c>
      <c r="H84" s="79"/>
      <c r="I84" s="80" t="s">
        <v>1225</v>
      </c>
      <c r="J84" s="78" t="s">
        <v>217</v>
      </c>
      <c r="K84" s="81">
        <v>8</v>
      </c>
      <c r="L84" s="82">
        <v>0</v>
      </c>
      <c r="M84" s="83">
        <f t="shared" si="6"/>
        <v>8</v>
      </c>
      <c r="N84" s="84"/>
      <c r="O84" s="85">
        <f t="shared" si="7"/>
        <v>0</v>
      </c>
    </row>
    <row r="85" spans="6:15" s="76" customFormat="1" ht="11.4" outlineLevel="2">
      <c r="F85" s="77">
        <v>71</v>
      </c>
      <c r="G85" s="78" t="s">
        <v>192</v>
      </c>
      <c r="H85" s="79"/>
      <c r="I85" s="80" t="s">
        <v>1226</v>
      </c>
      <c r="J85" s="78" t="s">
        <v>217</v>
      </c>
      <c r="K85" s="81">
        <v>19</v>
      </c>
      <c r="L85" s="82">
        <v>0</v>
      </c>
      <c r="M85" s="83">
        <f t="shared" si="6"/>
        <v>19</v>
      </c>
      <c r="N85" s="84"/>
      <c r="O85" s="85">
        <f t="shared" si="7"/>
        <v>0</v>
      </c>
    </row>
    <row r="86" spans="6:15" s="76" customFormat="1" ht="11.4" outlineLevel="2">
      <c r="F86" s="77">
        <v>72</v>
      </c>
      <c r="G86" s="78" t="s">
        <v>192</v>
      </c>
      <c r="H86" s="79"/>
      <c r="I86" s="80" t="s">
        <v>1227</v>
      </c>
      <c r="J86" s="78" t="s">
        <v>217</v>
      </c>
      <c r="K86" s="81">
        <v>30</v>
      </c>
      <c r="L86" s="82">
        <v>0</v>
      </c>
      <c r="M86" s="83">
        <f t="shared" si="6"/>
        <v>30</v>
      </c>
      <c r="N86" s="84"/>
      <c r="O86" s="85">
        <f t="shared" si="7"/>
        <v>0</v>
      </c>
    </row>
    <row r="87" spans="6:15" s="76" customFormat="1" ht="11.4" outlineLevel="2">
      <c r="F87" s="77">
        <v>73</v>
      </c>
      <c r="G87" s="78" t="s">
        <v>192</v>
      </c>
      <c r="H87" s="79"/>
      <c r="I87" s="80" t="s">
        <v>1228</v>
      </c>
      <c r="J87" s="78" t="s">
        <v>217</v>
      </c>
      <c r="K87" s="81">
        <v>14</v>
      </c>
      <c r="L87" s="82">
        <v>0</v>
      </c>
      <c r="M87" s="83">
        <f t="shared" si="6"/>
        <v>14</v>
      </c>
      <c r="N87" s="84"/>
      <c r="O87" s="85">
        <f t="shared" si="7"/>
        <v>0</v>
      </c>
    </row>
    <row r="88" spans="6:15" s="76" customFormat="1" ht="11.4" outlineLevel="2">
      <c r="F88" s="77">
        <v>74</v>
      </c>
      <c r="G88" s="78" t="s">
        <v>192</v>
      </c>
      <c r="H88" s="79"/>
      <c r="I88" s="80" t="s">
        <v>1229</v>
      </c>
      <c r="J88" s="78" t="s">
        <v>217</v>
      </c>
      <c r="K88" s="81">
        <v>10</v>
      </c>
      <c r="L88" s="82">
        <v>0</v>
      </c>
      <c r="M88" s="83">
        <f t="shared" si="6"/>
        <v>10</v>
      </c>
      <c r="N88" s="84"/>
      <c r="O88" s="85">
        <f t="shared" si="7"/>
        <v>0</v>
      </c>
    </row>
    <row r="89" spans="6:15" s="76" customFormat="1" ht="11.4" outlineLevel="2">
      <c r="F89" s="77">
        <v>75</v>
      </c>
      <c r="G89" s="78" t="s">
        <v>192</v>
      </c>
      <c r="H89" s="79"/>
      <c r="I89" s="80" t="s">
        <v>1230</v>
      </c>
      <c r="J89" s="78" t="s">
        <v>217</v>
      </c>
      <c r="K89" s="81">
        <v>12</v>
      </c>
      <c r="L89" s="82">
        <v>0</v>
      </c>
      <c r="M89" s="83">
        <f t="shared" si="6"/>
        <v>12</v>
      </c>
      <c r="N89" s="84"/>
      <c r="O89" s="85">
        <f t="shared" si="7"/>
        <v>0</v>
      </c>
    </row>
    <row r="90" spans="6:15" s="76" customFormat="1" ht="11.4" outlineLevel="2">
      <c r="F90" s="77">
        <v>76</v>
      </c>
      <c r="G90" s="78" t="s">
        <v>192</v>
      </c>
      <c r="H90" s="79"/>
      <c r="I90" s="80" t="s">
        <v>1231</v>
      </c>
      <c r="J90" s="78" t="s">
        <v>217</v>
      </c>
      <c r="K90" s="81">
        <v>16</v>
      </c>
      <c r="L90" s="82">
        <v>0</v>
      </c>
      <c r="M90" s="83">
        <f t="shared" si="6"/>
        <v>16</v>
      </c>
      <c r="N90" s="84"/>
      <c r="O90" s="85">
        <f t="shared" si="7"/>
        <v>0</v>
      </c>
    </row>
    <row r="91" spans="6:15" s="76" customFormat="1" ht="11.4" outlineLevel="2">
      <c r="F91" s="77">
        <v>77</v>
      </c>
      <c r="G91" s="78" t="s">
        <v>192</v>
      </c>
      <c r="H91" s="79"/>
      <c r="I91" s="80" t="s">
        <v>1232</v>
      </c>
      <c r="J91" s="78" t="s">
        <v>217</v>
      </c>
      <c r="K91" s="81">
        <v>56</v>
      </c>
      <c r="L91" s="82">
        <v>0</v>
      </c>
      <c r="M91" s="83">
        <f t="shared" si="6"/>
        <v>56</v>
      </c>
      <c r="N91" s="84"/>
      <c r="O91" s="85">
        <f t="shared" si="7"/>
        <v>0</v>
      </c>
    </row>
    <row r="92" spans="6:15" s="76" customFormat="1" ht="11.4" outlineLevel="2">
      <c r="F92" s="77">
        <v>78</v>
      </c>
      <c r="G92" s="78" t="s">
        <v>192</v>
      </c>
      <c r="H92" s="79"/>
      <c r="I92" s="80" t="s">
        <v>267</v>
      </c>
      <c r="J92" s="78" t="s">
        <v>217</v>
      </c>
      <c r="K92" s="81">
        <v>38</v>
      </c>
      <c r="L92" s="82">
        <v>0</v>
      </c>
      <c r="M92" s="83">
        <f t="shared" si="6"/>
        <v>38</v>
      </c>
      <c r="N92" s="84"/>
      <c r="O92" s="85">
        <f t="shared" si="7"/>
        <v>0</v>
      </c>
    </row>
    <row r="93" spans="6:15" s="76" customFormat="1" ht="11.4" outlineLevel="2">
      <c r="F93" s="77">
        <v>79</v>
      </c>
      <c r="G93" s="78" t="s">
        <v>192</v>
      </c>
      <c r="H93" s="79"/>
      <c r="I93" s="80" t="s">
        <v>1233</v>
      </c>
      <c r="J93" s="78" t="s">
        <v>217</v>
      </c>
      <c r="K93" s="81">
        <v>6</v>
      </c>
      <c r="L93" s="82">
        <v>0</v>
      </c>
      <c r="M93" s="83">
        <f t="shared" si="6"/>
        <v>6</v>
      </c>
      <c r="N93" s="84"/>
      <c r="O93" s="85">
        <f t="shared" si="7"/>
        <v>0</v>
      </c>
    </row>
    <row r="94" spans="6:15" s="76" customFormat="1" ht="11.4" outlineLevel="2">
      <c r="F94" s="77">
        <v>80</v>
      </c>
      <c r="G94" s="78" t="s">
        <v>192</v>
      </c>
      <c r="H94" s="79"/>
      <c r="I94" s="80" t="s">
        <v>1234</v>
      </c>
      <c r="J94" s="78" t="s">
        <v>217</v>
      </c>
      <c r="K94" s="81">
        <v>25</v>
      </c>
      <c r="L94" s="82">
        <v>0</v>
      </c>
      <c r="M94" s="83">
        <f t="shared" si="6"/>
        <v>25</v>
      </c>
      <c r="N94" s="84"/>
      <c r="O94" s="85">
        <f t="shared" si="7"/>
        <v>0</v>
      </c>
    </row>
    <row r="95" spans="6:15" s="76" customFormat="1" ht="11.4" outlineLevel="2">
      <c r="F95" s="77">
        <v>81</v>
      </c>
      <c r="G95" s="78" t="s">
        <v>192</v>
      </c>
      <c r="H95" s="79" t="s">
        <v>1235</v>
      </c>
      <c r="I95" s="80" t="s">
        <v>1236</v>
      </c>
      <c r="J95" s="78" t="s">
        <v>69</v>
      </c>
      <c r="K95" s="81">
        <v>35</v>
      </c>
      <c r="L95" s="82">
        <v>0</v>
      </c>
      <c r="M95" s="83">
        <f t="shared" si="6"/>
        <v>35</v>
      </c>
      <c r="N95" s="84"/>
      <c r="O95" s="85">
        <f t="shared" si="7"/>
        <v>0</v>
      </c>
    </row>
    <row r="96" spans="6:15" s="76" customFormat="1" ht="11.4" outlineLevel="2">
      <c r="F96" s="77">
        <v>82</v>
      </c>
      <c r="G96" s="78" t="s">
        <v>192</v>
      </c>
      <c r="H96" s="79" t="s">
        <v>1235</v>
      </c>
      <c r="I96" s="80" t="s">
        <v>1237</v>
      </c>
      <c r="J96" s="78" t="s">
        <v>217</v>
      </c>
      <c r="K96" s="81">
        <v>25</v>
      </c>
      <c r="L96" s="82">
        <v>0</v>
      </c>
      <c r="M96" s="83">
        <f t="shared" si="6"/>
        <v>25</v>
      </c>
      <c r="N96" s="84"/>
      <c r="O96" s="85">
        <f t="shared" si="7"/>
        <v>0</v>
      </c>
    </row>
    <row r="97" spans="6:15" s="76" customFormat="1" ht="11.4" outlineLevel="2">
      <c r="F97" s="77">
        <v>83</v>
      </c>
      <c r="G97" s="78" t="s">
        <v>192</v>
      </c>
      <c r="H97" s="79" t="s">
        <v>1235</v>
      </c>
      <c r="I97" s="80" t="s">
        <v>277</v>
      </c>
      <c r="J97" s="78" t="s">
        <v>217</v>
      </c>
      <c r="K97" s="81">
        <v>4</v>
      </c>
      <c r="L97" s="82">
        <v>0</v>
      </c>
      <c r="M97" s="83">
        <f t="shared" si="6"/>
        <v>4</v>
      </c>
      <c r="N97" s="84"/>
      <c r="O97" s="85">
        <f t="shared" si="7"/>
        <v>0</v>
      </c>
    </row>
    <row r="98" spans="6:15" s="76" customFormat="1" ht="11.4" outlineLevel="2">
      <c r="F98" s="77">
        <v>84</v>
      </c>
      <c r="G98" s="78" t="s">
        <v>192</v>
      </c>
      <c r="H98" s="79" t="s">
        <v>1235</v>
      </c>
      <c r="I98" s="80" t="s">
        <v>278</v>
      </c>
      <c r="J98" s="78" t="s">
        <v>279</v>
      </c>
      <c r="K98" s="81">
        <v>20</v>
      </c>
      <c r="L98" s="82">
        <v>0</v>
      </c>
      <c r="M98" s="83">
        <f t="shared" si="6"/>
        <v>20</v>
      </c>
      <c r="N98" s="84"/>
      <c r="O98" s="85">
        <f t="shared" si="7"/>
        <v>0</v>
      </c>
    </row>
    <row r="99" spans="6:15" s="76" customFormat="1" ht="11.4" outlineLevel="2">
      <c r="F99" s="77">
        <v>85</v>
      </c>
      <c r="G99" s="78" t="s">
        <v>192</v>
      </c>
      <c r="H99" s="79" t="s">
        <v>1235</v>
      </c>
      <c r="I99" s="80" t="s">
        <v>280</v>
      </c>
      <c r="J99" s="78" t="s">
        <v>69</v>
      </c>
      <c r="K99" s="81">
        <v>18</v>
      </c>
      <c r="L99" s="82">
        <v>0</v>
      </c>
      <c r="M99" s="83">
        <f t="shared" si="6"/>
        <v>18</v>
      </c>
      <c r="N99" s="84"/>
      <c r="O99" s="85">
        <f t="shared" si="7"/>
        <v>0</v>
      </c>
    </row>
    <row r="100" spans="6:15" s="76" customFormat="1" ht="11.4" outlineLevel="2">
      <c r="F100" s="77">
        <v>86</v>
      </c>
      <c r="G100" s="78" t="s">
        <v>192</v>
      </c>
      <c r="H100" s="79" t="s">
        <v>1235</v>
      </c>
      <c r="I100" s="80" t="s">
        <v>281</v>
      </c>
      <c r="J100" s="78" t="s">
        <v>69</v>
      </c>
      <c r="K100" s="81">
        <v>21</v>
      </c>
      <c r="L100" s="82">
        <v>0</v>
      </c>
      <c r="M100" s="83">
        <f t="shared" si="6"/>
        <v>21</v>
      </c>
      <c r="N100" s="84"/>
      <c r="O100" s="85">
        <f t="shared" si="7"/>
        <v>0</v>
      </c>
    </row>
    <row r="101" spans="6:15" s="76" customFormat="1" ht="11.4" outlineLevel="2">
      <c r="F101" s="77">
        <v>87</v>
      </c>
      <c r="G101" s="78" t="s">
        <v>192</v>
      </c>
      <c r="H101" s="79" t="s">
        <v>1235</v>
      </c>
      <c r="I101" s="80" t="s">
        <v>282</v>
      </c>
      <c r="J101" s="78" t="s">
        <v>69</v>
      </c>
      <c r="K101" s="81">
        <v>18</v>
      </c>
      <c r="L101" s="82">
        <v>0</v>
      </c>
      <c r="M101" s="83">
        <f t="shared" si="6"/>
        <v>18</v>
      </c>
      <c r="N101" s="84"/>
      <c r="O101" s="85">
        <f t="shared" si="7"/>
        <v>0</v>
      </c>
    </row>
    <row r="102" spans="6:15" s="76" customFormat="1" ht="11.4" outlineLevel="2">
      <c r="F102" s="77">
        <v>88</v>
      </c>
      <c r="G102" s="78" t="s">
        <v>192</v>
      </c>
      <c r="H102" s="79" t="s">
        <v>1235</v>
      </c>
      <c r="I102" s="80" t="s">
        <v>283</v>
      </c>
      <c r="J102" s="78" t="s">
        <v>69</v>
      </c>
      <c r="K102" s="81">
        <v>21</v>
      </c>
      <c r="L102" s="82">
        <v>0</v>
      </c>
      <c r="M102" s="83">
        <f t="shared" si="6"/>
        <v>21</v>
      </c>
      <c r="N102" s="84"/>
      <c r="O102" s="85">
        <f t="shared" si="7"/>
        <v>0</v>
      </c>
    </row>
    <row r="103" spans="6:15" s="76" customFormat="1" ht="11.4" outlineLevel="2">
      <c r="F103" s="77">
        <v>89</v>
      </c>
      <c r="G103" s="78" t="s">
        <v>192</v>
      </c>
      <c r="H103" s="79" t="s">
        <v>1235</v>
      </c>
      <c r="I103" s="80" t="s">
        <v>284</v>
      </c>
      <c r="J103" s="78" t="s">
        <v>217</v>
      </c>
      <c r="K103" s="81">
        <v>16</v>
      </c>
      <c r="L103" s="82">
        <v>0</v>
      </c>
      <c r="M103" s="83">
        <f t="shared" si="6"/>
        <v>16</v>
      </c>
      <c r="N103" s="84"/>
      <c r="O103" s="85">
        <f t="shared" si="7"/>
        <v>0</v>
      </c>
    </row>
    <row r="104" spans="6:15" s="76" customFormat="1" ht="11.4" outlineLevel="2">
      <c r="F104" s="77">
        <v>90</v>
      </c>
      <c r="G104" s="78" t="s">
        <v>192</v>
      </c>
      <c r="H104" s="79" t="s">
        <v>1235</v>
      </c>
      <c r="I104" s="80" t="s">
        <v>285</v>
      </c>
      <c r="J104" s="78" t="s">
        <v>217</v>
      </c>
      <c r="K104" s="81">
        <v>27</v>
      </c>
      <c r="L104" s="82">
        <v>0</v>
      </c>
      <c r="M104" s="83">
        <f t="shared" si="6"/>
        <v>27</v>
      </c>
      <c r="N104" s="84"/>
      <c r="O104" s="85">
        <f t="shared" si="7"/>
        <v>0</v>
      </c>
    </row>
    <row r="105" spans="6:15" s="76" customFormat="1" ht="11.4" outlineLevel="2">
      <c r="F105" s="77">
        <v>91</v>
      </c>
      <c r="G105" s="78" t="s">
        <v>192</v>
      </c>
      <c r="H105" s="79" t="s">
        <v>1235</v>
      </c>
      <c r="I105" s="80" t="s">
        <v>286</v>
      </c>
      <c r="J105" s="78" t="s">
        <v>217</v>
      </c>
      <c r="K105" s="81">
        <v>4</v>
      </c>
      <c r="L105" s="82">
        <v>0</v>
      </c>
      <c r="M105" s="83">
        <f t="shared" si="6"/>
        <v>4</v>
      </c>
      <c r="N105" s="84"/>
      <c r="O105" s="85">
        <f t="shared" si="7"/>
        <v>0</v>
      </c>
    </row>
    <row r="106" spans="6:15" s="76" customFormat="1" ht="11.4" outlineLevel="2">
      <c r="F106" s="77">
        <v>92</v>
      </c>
      <c r="G106" s="78" t="s">
        <v>192</v>
      </c>
      <c r="H106" s="79" t="s">
        <v>1235</v>
      </c>
      <c r="I106" s="80" t="s">
        <v>287</v>
      </c>
      <c r="J106" s="78" t="s">
        <v>69</v>
      </c>
      <c r="K106" s="81">
        <v>24</v>
      </c>
      <c r="L106" s="82">
        <v>0</v>
      </c>
      <c r="M106" s="83">
        <f t="shared" si="6"/>
        <v>24</v>
      </c>
      <c r="N106" s="84"/>
      <c r="O106" s="85">
        <f t="shared" si="7"/>
        <v>0</v>
      </c>
    </row>
    <row r="107" spans="6:15" s="76" customFormat="1" ht="11.4" outlineLevel="2">
      <c r="F107" s="77">
        <v>93</v>
      </c>
      <c r="G107" s="78" t="s">
        <v>192</v>
      </c>
      <c r="H107" s="79" t="s">
        <v>1235</v>
      </c>
      <c r="I107" s="80" t="s">
        <v>288</v>
      </c>
      <c r="J107" s="78" t="s">
        <v>69</v>
      </c>
      <c r="K107" s="81">
        <v>16</v>
      </c>
      <c r="L107" s="82">
        <v>0</v>
      </c>
      <c r="M107" s="83">
        <f t="shared" si="6"/>
        <v>16</v>
      </c>
      <c r="N107" s="84"/>
      <c r="O107" s="85">
        <f t="shared" si="7"/>
        <v>0</v>
      </c>
    </row>
    <row r="108" spans="6:15" s="76" customFormat="1" ht="11.4" outlineLevel="2">
      <c r="F108" s="77">
        <v>94</v>
      </c>
      <c r="G108" s="78" t="s">
        <v>192</v>
      </c>
      <c r="H108" s="79" t="s">
        <v>1235</v>
      </c>
      <c r="I108" s="80" t="s">
        <v>289</v>
      </c>
      <c r="J108" s="78" t="s">
        <v>217</v>
      </c>
      <c r="K108" s="81">
        <v>50</v>
      </c>
      <c r="L108" s="82">
        <v>0</v>
      </c>
      <c r="M108" s="83">
        <f t="shared" si="6"/>
        <v>50</v>
      </c>
      <c r="N108" s="84"/>
      <c r="O108" s="85">
        <f t="shared" si="7"/>
        <v>0</v>
      </c>
    </row>
    <row r="109" spans="6:15" s="76" customFormat="1" ht="11.4" outlineLevel="2">
      <c r="F109" s="77">
        <v>95</v>
      </c>
      <c r="G109" s="78" t="s">
        <v>192</v>
      </c>
      <c r="H109" s="79" t="s">
        <v>1235</v>
      </c>
      <c r="I109" s="80" t="s">
        <v>290</v>
      </c>
      <c r="J109" s="78" t="s">
        <v>217</v>
      </c>
      <c r="K109" s="81">
        <v>30</v>
      </c>
      <c r="L109" s="82">
        <v>0</v>
      </c>
      <c r="M109" s="83">
        <f t="shared" si="6"/>
        <v>30</v>
      </c>
      <c r="N109" s="84"/>
      <c r="O109" s="85">
        <f t="shared" si="7"/>
        <v>0</v>
      </c>
    </row>
    <row r="110" spans="6:15" s="76" customFormat="1" ht="11.4" outlineLevel="2">
      <c r="F110" s="77">
        <v>96</v>
      </c>
      <c r="G110" s="78" t="s">
        <v>192</v>
      </c>
      <c r="H110" s="79" t="s">
        <v>1235</v>
      </c>
      <c r="I110" s="80" t="s">
        <v>291</v>
      </c>
      <c r="J110" s="78" t="s">
        <v>69</v>
      </c>
      <c r="K110" s="81">
        <v>212</v>
      </c>
      <c r="L110" s="82">
        <v>0</v>
      </c>
      <c r="M110" s="83">
        <f t="shared" si="6"/>
        <v>212</v>
      </c>
      <c r="N110" s="84"/>
      <c r="O110" s="85">
        <f t="shared" si="7"/>
        <v>0</v>
      </c>
    </row>
    <row r="111" spans="6:15" s="76" customFormat="1" ht="11.4" outlineLevel="2">
      <c r="F111" s="77">
        <v>97</v>
      </c>
      <c r="G111" s="78" t="s">
        <v>192</v>
      </c>
      <c r="H111" s="79"/>
      <c r="I111" s="80" t="s">
        <v>293</v>
      </c>
      <c r="J111" s="78" t="s">
        <v>69</v>
      </c>
      <c r="K111" s="81">
        <v>126</v>
      </c>
      <c r="L111" s="82">
        <v>0</v>
      </c>
      <c r="M111" s="83">
        <f t="shared" si="6"/>
        <v>126</v>
      </c>
      <c r="N111" s="84"/>
      <c r="O111" s="85">
        <f t="shared" si="7"/>
        <v>0</v>
      </c>
    </row>
    <row r="112" spans="6:15" s="76" customFormat="1" ht="11.4" outlineLevel="2">
      <c r="F112" s="77">
        <v>98</v>
      </c>
      <c r="G112" s="78" t="s">
        <v>192</v>
      </c>
      <c r="H112" s="79"/>
      <c r="I112" s="80" t="s">
        <v>294</v>
      </c>
      <c r="J112" s="78" t="s">
        <v>69</v>
      </c>
      <c r="K112" s="81">
        <v>1250</v>
      </c>
      <c r="L112" s="82">
        <v>0</v>
      </c>
      <c r="M112" s="83">
        <f t="shared" si="6"/>
        <v>1250</v>
      </c>
      <c r="N112" s="84"/>
      <c r="O112" s="85">
        <f t="shared" si="7"/>
        <v>0</v>
      </c>
    </row>
    <row r="113" spans="6:15" s="76" customFormat="1" ht="11.4" outlineLevel="2">
      <c r="F113" s="77">
        <v>99</v>
      </c>
      <c r="G113" s="78" t="s">
        <v>192</v>
      </c>
      <c r="H113" s="79"/>
      <c r="I113" s="80" t="s">
        <v>295</v>
      </c>
      <c r="J113" s="78" t="s">
        <v>69</v>
      </c>
      <c r="K113" s="81">
        <v>942</v>
      </c>
      <c r="L113" s="82">
        <v>0</v>
      </c>
      <c r="M113" s="83">
        <f t="shared" si="6"/>
        <v>942</v>
      </c>
      <c r="N113" s="84"/>
      <c r="O113" s="85">
        <f t="shared" si="7"/>
        <v>0</v>
      </c>
    </row>
    <row r="114" spans="6:15" s="76" customFormat="1" ht="11.4" outlineLevel="2">
      <c r="F114" s="77">
        <v>100</v>
      </c>
      <c r="G114" s="78" t="s">
        <v>192</v>
      </c>
      <c r="H114" s="79"/>
      <c r="I114" s="80" t="s">
        <v>296</v>
      </c>
      <c r="J114" s="78" t="s">
        <v>69</v>
      </c>
      <c r="K114" s="81">
        <v>178</v>
      </c>
      <c r="L114" s="82">
        <v>0</v>
      </c>
      <c r="M114" s="83">
        <f t="shared" si="6"/>
        <v>178</v>
      </c>
      <c r="N114" s="84"/>
      <c r="O114" s="85">
        <f t="shared" si="7"/>
        <v>0</v>
      </c>
    </row>
    <row r="115" spans="6:15" s="76" customFormat="1" ht="11.4" outlineLevel="2">
      <c r="F115" s="77">
        <v>101</v>
      </c>
      <c r="G115" s="78" t="s">
        <v>192</v>
      </c>
      <c r="H115" s="79"/>
      <c r="I115" s="80" t="s">
        <v>297</v>
      </c>
      <c r="J115" s="78" t="s">
        <v>69</v>
      </c>
      <c r="K115" s="81">
        <v>61</v>
      </c>
      <c r="L115" s="82">
        <v>0</v>
      </c>
      <c r="M115" s="83">
        <f t="shared" si="6"/>
        <v>61</v>
      </c>
      <c r="N115" s="84"/>
      <c r="O115" s="85">
        <f t="shared" si="7"/>
        <v>0</v>
      </c>
    </row>
    <row r="116" spans="6:15" s="76" customFormat="1" ht="11.4" outlineLevel="2">
      <c r="F116" s="77">
        <v>102</v>
      </c>
      <c r="G116" s="78" t="s">
        <v>192</v>
      </c>
      <c r="H116" s="79"/>
      <c r="I116" s="80" t="s">
        <v>298</v>
      </c>
      <c r="J116" s="78" t="s">
        <v>69</v>
      </c>
      <c r="K116" s="81">
        <v>27</v>
      </c>
      <c r="L116" s="82">
        <v>0</v>
      </c>
      <c r="M116" s="83">
        <f t="shared" si="6"/>
        <v>27</v>
      </c>
      <c r="N116" s="84"/>
      <c r="O116" s="85">
        <f t="shared" si="7"/>
        <v>0</v>
      </c>
    </row>
    <row r="117" spans="6:15" s="76" customFormat="1" ht="11.4" outlineLevel="2">
      <c r="F117" s="77">
        <v>103</v>
      </c>
      <c r="G117" s="78" t="s">
        <v>192</v>
      </c>
      <c r="H117" s="79"/>
      <c r="I117" s="80" t="s">
        <v>299</v>
      </c>
      <c r="J117" s="78" t="s">
        <v>69</v>
      </c>
      <c r="K117" s="81">
        <v>1174</v>
      </c>
      <c r="L117" s="82">
        <v>0</v>
      </c>
      <c r="M117" s="83">
        <f t="shared" si="6"/>
        <v>1174</v>
      </c>
      <c r="N117" s="84"/>
      <c r="O117" s="85">
        <f t="shared" si="7"/>
        <v>0</v>
      </c>
    </row>
    <row r="118" spans="6:15" s="76" customFormat="1" ht="11.4" outlineLevel="2">
      <c r="F118" s="77">
        <v>104</v>
      </c>
      <c r="G118" s="78" t="s">
        <v>192</v>
      </c>
      <c r="H118" s="79"/>
      <c r="I118" s="80" t="s">
        <v>301</v>
      </c>
      <c r="J118" s="78" t="s">
        <v>217</v>
      </c>
      <c r="K118" s="81">
        <v>246</v>
      </c>
      <c r="L118" s="82">
        <v>0</v>
      </c>
      <c r="M118" s="83">
        <f t="shared" si="6"/>
        <v>246</v>
      </c>
      <c r="N118" s="84"/>
      <c r="O118" s="85">
        <f t="shared" si="7"/>
        <v>0</v>
      </c>
    </row>
    <row r="119" spans="6:15" s="76" customFormat="1" ht="11.4" outlineLevel="2">
      <c r="F119" s="77">
        <v>105</v>
      </c>
      <c r="G119" s="78" t="s">
        <v>192</v>
      </c>
      <c r="H119" s="79"/>
      <c r="I119" s="80" t="s">
        <v>302</v>
      </c>
      <c r="J119" s="78" t="s">
        <v>217</v>
      </c>
      <c r="K119" s="81">
        <v>50</v>
      </c>
      <c r="L119" s="82">
        <v>0</v>
      </c>
      <c r="M119" s="83">
        <f t="shared" si="6"/>
        <v>50</v>
      </c>
      <c r="N119" s="84"/>
      <c r="O119" s="85">
        <f t="shared" si="7"/>
        <v>0</v>
      </c>
    </row>
    <row r="120" spans="6:15" s="76" customFormat="1" ht="11.4" outlineLevel="2">
      <c r="F120" s="77">
        <v>106</v>
      </c>
      <c r="G120" s="78" t="s">
        <v>192</v>
      </c>
      <c r="H120" s="79"/>
      <c r="I120" s="80" t="s">
        <v>303</v>
      </c>
      <c r="J120" s="78" t="s">
        <v>217</v>
      </c>
      <c r="K120" s="81">
        <v>116</v>
      </c>
      <c r="L120" s="82">
        <v>0</v>
      </c>
      <c r="M120" s="83">
        <f t="shared" si="6"/>
        <v>116</v>
      </c>
      <c r="N120" s="84"/>
      <c r="O120" s="85">
        <f t="shared" si="7"/>
        <v>0</v>
      </c>
    </row>
    <row r="121" spans="6:15" s="76" customFormat="1" ht="11.4" outlineLevel="2">
      <c r="F121" s="77">
        <v>107</v>
      </c>
      <c r="G121" s="78" t="s">
        <v>192</v>
      </c>
      <c r="H121" s="79" t="s">
        <v>1238</v>
      </c>
      <c r="I121" s="80" t="s">
        <v>305</v>
      </c>
      <c r="J121" s="78" t="s">
        <v>217</v>
      </c>
      <c r="K121" s="81">
        <v>2</v>
      </c>
      <c r="L121" s="82">
        <v>0</v>
      </c>
      <c r="M121" s="83">
        <f t="shared" si="6"/>
        <v>2</v>
      </c>
      <c r="N121" s="84"/>
      <c r="O121" s="85">
        <f t="shared" si="7"/>
        <v>0</v>
      </c>
    </row>
    <row r="122" spans="6:15" s="76" customFormat="1" ht="11.4" outlineLevel="2">
      <c r="F122" s="77">
        <v>108</v>
      </c>
      <c r="G122" s="78" t="s">
        <v>192</v>
      </c>
      <c r="H122" s="79" t="s">
        <v>1238</v>
      </c>
      <c r="I122" s="80" t="s">
        <v>306</v>
      </c>
      <c r="J122" s="78" t="s">
        <v>217</v>
      </c>
      <c r="K122" s="81">
        <v>6</v>
      </c>
      <c r="L122" s="82">
        <v>0</v>
      </c>
      <c r="M122" s="83">
        <f t="shared" si="6"/>
        <v>6</v>
      </c>
      <c r="N122" s="84"/>
      <c r="O122" s="85">
        <f t="shared" si="7"/>
        <v>0</v>
      </c>
    </row>
    <row r="123" spans="6:15" s="76" customFormat="1" ht="11.4" outlineLevel="2">
      <c r="F123" s="77">
        <v>109</v>
      </c>
      <c r="G123" s="78" t="s">
        <v>192</v>
      </c>
      <c r="H123" s="79" t="s">
        <v>1238</v>
      </c>
      <c r="I123" s="80" t="s">
        <v>1239</v>
      </c>
      <c r="J123" s="78" t="s">
        <v>69</v>
      </c>
      <c r="K123" s="81">
        <v>38</v>
      </c>
      <c r="L123" s="82">
        <v>0</v>
      </c>
      <c r="M123" s="83">
        <f t="shared" si="6"/>
        <v>38</v>
      </c>
      <c r="N123" s="84"/>
      <c r="O123" s="85">
        <f t="shared" si="7"/>
        <v>0</v>
      </c>
    </row>
    <row r="124" spans="6:15" s="76" customFormat="1" ht="11.4" outlineLevel="2">
      <c r="F124" s="77">
        <v>110</v>
      </c>
      <c r="G124" s="78" t="s">
        <v>192</v>
      </c>
      <c r="H124" s="79" t="s">
        <v>1238</v>
      </c>
      <c r="I124" s="80" t="s">
        <v>308</v>
      </c>
      <c r="J124" s="78" t="s">
        <v>69</v>
      </c>
      <c r="K124" s="81">
        <v>78</v>
      </c>
      <c r="L124" s="82">
        <v>0</v>
      </c>
      <c r="M124" s="83">
        <f t="shared" si="6"/>
        <v>78</v>
      </c>
      <c r="N124" s="84"/>
      <c r="O124" s="85">
        <f t="shared" si="7"/>
        <v>0</v>
      </c>
    </row>
    <row r="125" spans="6:15" s="76" customFormat="1" ht="11.4" outlineLevel="2">
      <c r="F125" s="77">
        <v>111</v>
      </c>
      <c r="G125" s="78" t="s">
        <v>192</v>
      </c>
      <c r="H125" s="79" t="s">
        <v>1238</v>
      </c>
      <c r="I125" s="80" t="s">
        <v>309</v>
      </c>
      <c r="J125" s="78" t="s">
        <v>69</v>
      </c>
      <c r="K125" s="81">
        <v>152</v>
      </c>
      <c r="L125" s="82">
        <v>0</v>
      </c>
      <c r="M125" s="83">
        <f t="shared" si="6"/>
        <v>152</v>
      </c>
      <c r="N125" s="84"/>
      <c r="O125" s="85">
        <f t="shared" si="7"/>
        <v>0</v>
      </c>
    </row>
    <row r="126" spans="6:15" s="76" customFormat="1" ht="11.4" outlineLevel="2">
      <c r="F126" s="77">
        <v>112</v>
      </c>
      <c r="G126" s="78" t="s">
        <v>192</v>
      </c>
      <c r="H126" s="79" t="s">
        <v>1238</v>
      </c>
      <c r="I126" s="80" t="s">
        <v>310</v>
      </c>
      <c r="J126" s="78" t="s">
        <v>217</v>
      </c>
      <c r="K126" s="81">
        <v>6</v>
      </c>
      <c r="L126" s="82">
        <v>0</v>
      </c>
      <c r="M126" s="83">
        <f t="shared" si="6"/>
        <v>6</v>
      </c>
      <c r="N126" s="84"/>
      <c r="O126" s="85">
        <f t="shared" si="7"/>
        <v>0</v>
      </c>
    </row>
    <row r="127" spans="6:15" s="76" customFormat="1" ht="22.8" outlineLevel="2">
      <c r="F127" s="77">
        <v>113</v>
      </c>
      <c r="G127" s="78" t="s">
        <v>192</v>
      </c>
      <c r="H127" s="79"/>
      <c r="I127" s="80" t="s">
        <v>312</v>
      </c>
      <c r="J127" s="78" t="s">
        <v>313</v>
      </c>
      <c r="K127" s="81">
        <v>30</v>
      </c>
      <c r="L127" s="82">
        <v>0</v>
      </c>
      <c r="M127" s="83">
        <f t="shared" si="6"/>
        <v>30</v>
      </c>
      <c r="N127" s="84"/>
      <c r="O127" s="85">
        <f t="shared" si="7"/>
        <v>0</v>
      </c>
    </row>
    <row r="128" spans="6:15" s="76" customFormat="1" ht="11.4" outlineLevel="2">
      <c r="F128" s="77">
        <v>114</v>
      </c>
      <c r="G128" s="78" t="s">
        <v>192</v>
      </c>
      <c r="H128" s="79"/>
      <c r="I128" s="80" t="s">
        <v>314</v>
      </c>
      <c r="J128" s="78" t="s">
        <v>217</v>
      </c>
      <c r="K128" s="81">
        <v>126</v>
      </c>
      <c r="L128" s="82">
        <v>0</v>
      </c>
      <c r="M128" s="83">
        <f t="shared" si="6"/>
        <v>126</v>
      </c>
      <c r="N128" s="84"/>
      <c r="O128" s="85">
        <f t="shared" si="7"/>
        <v>0</v>
      </c>
    </row>
    <row r="129" spans="6:15" s="76" customFormat="1" ht="11.4" outlineLevel="2">
      <c r="F129" s="77">
        <v>115</v>
      </c>
      <c r="G129" s="78" t="s">
        <v>192</v>
      </c>
      <c r="H129" s="79"/>
      <c r="I129" s="80" t="s">
        <v>315</v>
      </c>
      <c r="J129" s="78" t="s">
        <v>217</v>
      </c>
      <c r="K129" s="81">
        <v>98</v>
      </c>
      <c r="L129" s="82">
        <v>0</v>
      </c>
      <c r="M129" s="83">
        <f t="shared" si="6"/>
        <v>98</v>
      </c>
      <c r="N129" s="84"/>
      <c r="O129" s="85">
        <f t="shared" si="7"/>
        <v>0</v>
      </c>
    </row>
    <row r="130" spans="6:15" s="76" customFormat="1" ht="11.4" outlineLevel="2">
      <c r="F130" s="77">
        <v>116</v>
      </c>
      <c r="G130" s="78" t="s">
        <v>192</v>
      </c>
      <c r="H130" s="79"/>
      <c r="I130" s="80" t="s">
        <v>316</v>
      </c>
      <c r="J130" s="78" t="s">
        <v>113</v>
      </c>
      <c r="K130" s="81">
        <v>1</v>
      </c>
      <c r="L130" s="82">
        <v>0</v>
      </c>
      <c r="M130" s="83">
        <f t="shared" si="6"/>
        <v>1</v>
      </c>
      <c r="N130" s="84"/>
      <c r="O130" s="85">
        <f t="shared" si="7"/>
        <v>0</v>
      </c>
    </row>
    <row r="131" spans="6:15" s="76" customFormat="1" ht="11.4" outlineLevel="2">
      <c r="F131" s="77">
        <v>117</v>
      </c>
      <c r="G131" s="78" t="s">
        <v>192</v>
      </c>
      <c r="H131" s="79"/>
      <c r="I131" s="80" t="s">
        <v>317</v>
      </c>
      <c r="J131" s="78" t="s">
        <v>113</v>
      </c>
      <c r="K131" s="81">
        <v>1</v>
      </c>
      <c r="L131" s="82">
        <v>0</v>
      </c>
      <c r="M131" s="83">
        <f t="shared" si="6"/>
        <v>1</v>
      </c>
      <c r="N131" s="84"/>
      <c r="O131" s="85">
        <f t="shared" si="7"/>
        <v>0</v>
      </c>
    </row>
    <row r="132" spans="6:15" s="76" customFormat="1" ht="11.4" outlineLevel="2">
      <c r="F132" s="77">
        <v>118</v>
      </c>
      <c r="G132" s="78" t="s">
        <v>192</v>
      </c>
      <c r="H132" s="79"/>
      <c r="I132" s="80" t="s">
        <v>318</v>
      </c>
      <c r="J132" s="78" t="s">
        <v>113</v>
      </c>
      <c r="K132" s="81">
        <v>1</v>
      </c>
      <c r="L132" s="82">
        <v>0</v>
      </c>
      <c r="M132" s="83">
        <f t="shared" si="6"/>
        <v>1</v>
      </c>
      <c r="N132" s="84"/>
      <c r="O132" s="85">
        <f t="shared" si="7"/>
        <v>0</v>
      </c>
    </row>
    <row r="133" spans="6:15" s="76" customFormat="1" ht="11.4" outlineLevel="2">
      <c r="F133" s="77">
        <v>119</v>
      </c>
      <c r="G133" s="78" t="s">
        <v>192</v>
      </c>
      <c r="H133" s="79"/>
      <c r="I133" s="80" t="s">
        <v>319</v>
      </c>
      <c r="J133" s="78" t="s">
        <v>113</v>
      </c>
      <c r="K133" s="81">
        <v>1</v>
      </c>
      <c r="L133" s="82">
        <v>0</v>
      </c>
      <c r="M133" s="83">
        <f aca="true" t="shared" si="8" ref="M133:M140">K133*(1+L133/100)</f>
        <v>1</v>
      </c>
      <c r="N133" s="84"/>
      <c r="O133" s="85">
        <f t="shared" si="7"/>
        <v>0</v>
      </c>
    </row>
    <row r="134" spans="6:15" s="76" customFormat="1" ht="11.4" outlineLevel="2">
      <c r="F134" s="77">
        <v>120</v>
      </c>
      <c r="G134" s="78" t="s">
        <v>192</v>
      </c>
      <c r="H134" s="79"/>
      <c r="I134" s="80" t="s">
        <v>320</v>
      </c>
      <c r="J134" s="78" t="s">
        <v>113</v>
      </c>
      <c r="K134" s="81">
        <v>1</v>
      </c>
      <c r="L134" s="82">
        <v>0</v>
      </c>
      <c r="M134" s="83">
        <f t="shared" si="8"/>
        <v>1</v>
      </c>
      <c r="N134" s="84"/>
      <c r="O134" s="85">
        <f aca="true" t="shared" si="9" ref="O134:O140">M134*N134</f>
        <v>0</v>
      </c>
    </row>
    <row r="135" spans="6:15" s="76" customFormat="1" ht="11.4" outlineLevel="2">
      <c r="F135" s="77">
        <v>121</v>
      </c>
      <c r="G135" s="78" t="s">
        <v>192</v>
      </c>
      <c r="H135" s="79"/>
      <c r="I135" s="80" t="s">
        <v>321</v>
      </c>
      <c r="J135" s="78" t="s">
        <v>113</v>
      </c>
      <c r="K135" s="81">
        <v>1</v>
      </c>
      <c r="L135" s="82">
        <v>0</v>
      </c>
      <c r="M135" s="83">
        <f t="shared" si="8"/>
        <v>1</v>
      </c>
      <c r="N135" s="84"/>
      <c r="O135" s="85">
        <f t="shared" si="9"/>
        <v>0</v>
      </c>
    </row>
    <row r="136" spans="6:15" s="76" customFormat="1" ht="11.4" outlineLevel="2">
      <c r="F136" s="77">
        <v>122</v>
      </c>
      <c r="G136" s="78" t="s">
        <v>192</v>
      </c>
      <c r="H136" s="79"/>
      <c r="I136" s="80" t="s">
        <v>322</v>
      </c>
      <c r="J136" s="78" t="s">
        <v>113</v>
      </c>
      <c r="K136" s="81">
        <v>1</v>
      </c>
      <c r="L136" s="82">
        <v>0</v>
      </c>
      <c r="M136" s="83">
        <f t="shared" si="8"/>
        <v>1</v>
      </c>
      <c r="N136" s="84"/>
      <c r="O136" s="85">
        <f t="shared" si="9"/>
        <v>0</v>
      </c>
    </row>
    <row r="137" spans="6:15" s="76" customFormat="1" ht="11.4" outlineLevel="2">
      <c r="F137" s="77">
        <v>123</v>
      </c>
      <c r="G137" s="78" t="s">
        <v>192</v>
      </c>
      <c r="H137" s="79"/>
      <c r="I137" s="80" t="s">
        <v>323</v>
      </c>
      <c r="J137" s="78" t="s">
        <v>113</v>
      </c>
      <c r="K137" s="81">
        <v>1</v>
      </c>
      <c r="L137" s="82">
        <v>0</v>
      </c>
      <c r="M137" s="83">
        <f t="shared" si="8"/>
        <v>1</v>
      </c>
      <c r="N137" s="84"/>
      <c r="O137" s="85">
        <f t="shared" si="9"/>
        <v>0</v>
      </c>
    </row>
    <row r="138" spans="6:15" s="76" customFormat="1" ht="11.4" outlineLevel="2">
      <c r="F138" s="77">
        <v>124</v>
      </c>
      <c r="G138" s="78" t="s">
        <v>192</v>
      </c>
      <c r="H138" s="79"/>
      <c r="I138" s="80" t="s">
        <v>324</v>
      </c>
      <c r="J138" s="78" t="s">
        <v>113</v>
      </c>
      <c r="K138" s="81">
        <v>1</v>
      </c>
      <c r="L138" s="82">
        <v>0</v>
      </c>
      <c r="M138" s="83">
        <f t="shared" si="8"/>
        <v>1</v>
      </c>
      <c r="N138" s="84"/>
      <c r="O138" s="85">
        <f t="shared" si="9"/>
        <v>0</v>
      </c>
    </row>
    <row r="139" spans="6:15" s="76" customFormat="1" ht="11.4" outlineLevel="2">
      <c r="F139" s="77">
        <v>125</v>
      </c>
      <c r="G139" s="78" t="s">
        <v>192</v>
      </c>
      <c r="H139" s="79"/>
      <c r="I139" s="80" t="s">
        <v>1240</v>
      </c>
      <c r="J139" s="78" t="s">
        <v>113</v>
      </c>
      <c r="K139" s="81">
        <v>1</v>
      </c>
      <c r="L139" s="82">
        <v>0</v>
      </c>
      <c r="M139" s="83">
        <f>K139*(1+L139/100)</f>
        <v>1</v>
      </c>
      <c r="N139" s="84"/>
      <c r="O139" s="85">
        <f>M139*N139</f>
        <v>0</v>
      </c>
    </row>
    <row r="140" spans="6:15" s="76" customFormat="1" ht="11.4" outlineLevel="2">
      <c r="F140" s="77">
        <v>126</v>
      </c>
      <c r="G140" s="78" t="s">
        <v>192</v>
      </c>
      <c r="H140" s="79"/>
      <c r="I140" s="80" t="s">
        <v>325</v>
      </c>
      <c r="J140" s="78" t="s">
        <v>113</v>
      </c>
      <c r="K140" s="81">
        <v>1</v>
      </c>
      <c r="L140" s="82">
        <v>0</v>
      </c>
      <c r="M140" s="83">
        <f t="shared" si="8"/>
        <v>1</v>
      </c>
      <c r="N140" s="84"/>
      <c r="O140" s="85">
        <f t="shared" si="9"/>
        <v>0</v>
      </c>
    </row>
    <row r="141" spans="6:15" s="76" customFormat="1" ht="11.4" outlineLevel="2">
      <c r="F141" s="77">
        <v>127</v>
      </c>
      <c r="G141" s="78" t="s">
        <v>192</v>
      </c>
      <c r="H141" s="79"/>
      <c r="I141" s="80" t="s">
        <v>1241</v>
      </c>
      <c r="J141" s="78" t="s">
        <v>113</v>
      </c>
      <c r="K141" s="81">
        <v>1</v>
      </c>
      <c r="L141" s="82">
        <v>0</v>
      </c>
      <c r="M141" s="83">
        <f>K141*(1+L141/100)</f>
        <v>1</v>
      </c>
      <c r="N141" s="84"/>
      <c r="O141" s="85">
        <f>M141*N141</f>
        <v>0</v>
      </c>
    </row>
    <row r="142" spans="6:15" s="76" customFormat="1" ht="11.4" outlineLevel="2">
      <c r="F142" s="98"/>
      <c r="G142" s="99"/>
      <c r="H142" s="92"/>
      <c r="I142" s="113"/>
      <c r="J142" s="99"/>
      <c r="K142" s="235"/>
      <c r="L142" s="90"/>
      <c r="M142" s="91"/>
      <c r="N142" s="117"/>
      <c r="O142" s="115"/>
    </row>
    <row r="143" spans="6:15" s="76" customFormat="1" ht="16.5" customHeight="1" outlineLevel="2">
      <c r="F143" s="98"/>
      <c r="G143" s="99"/>
      <c r="H143" s="92"/>
      <c r="I143" s="72" t="s">
        <v>4</v>
      </c>
      <c r="J143" s="99"/>
      <c r="K143" s="235"/>
      <c r="L143" s="90"/>
      <c r="M143" s="91"/>
      <c r="N143" s="117"/>
      <c r="O143" s="8">
        <f>SUM(O144:O185)</f>
        <v>0</v>
      </c>
    </row>
    <row r="144" spans="6:15" s="76" customFormat="1" ht="11.4" outlineLevel="2">
      <c r="F144" s="77">
        <v>128</v>
      </c>
      <c r="G144" s="78" t="s">
        <v>192</v>
      </c>
      <c r="H144" s="79"/>
      <c r="I144" s="80" t="s">
        <v>1242</v>
      </c>
      <c r="J144" s="78" t="s">
        <v>217</v>
      </c>
      <c r="K144" s="81">
        <v>1</v>
      </c>
      <c r="L144" s="82">
        <v>0</v>
      </c>
      <c r="M144" s="83">
        <f aca="true" t="shared" si="10" ref="M144:M185">K144*(1+L144/100)</f>
        <v>1</v>
      </c>
      <c r="N144" s="84"/>
      <c r="O144" s="85">
        <f aca="true" t="shared" si="11" ref="O144:O185">M144*N144</f>
        <v>0</v>
      </c>
    </row>
    <row r="145" spans="6:15" s="76" customFormat="1" ht="11.4" outlineLevel="2">
      <c r="F145" s="77">
        <v>129</v>
      </c>
      <c r="G145" s="78" t="s">
        <v>192</v>
      </c>
      <c r="H145" s="79"/>
      <c r="I145" s="80" t="s">
        <v>1243</v>
      </c>
      <c r="J145" s="78" t="s">
        <v>217</v>
      </c>
      <c r="K145" s="81">
        <v>9</v>
      </c>
      <c r="L145" s="82">
        <v>0</v>
      </c>
      <c r="M145" s="83">
        <f t="shared" si="10"/>
        <v>9</v>
      </c>
      <c r="N145" s="84"/>
      <c r="O145" s="85">
        <f t="shared" si="11"/>
        <v>0</v>
      </c>
    </row>
    <row r="146" spans="6:15" s="76" customFormat="1" ht="11.4" outlineLevel="2">
      <c r="F146" s="77">
        <v>130</v>
      </c>
      <c r="G146" s="78" t="s">
        <v>192</v>
      </c>
      <c r="H146" s="79"/>
      <c r="I146" s="80" t="s">
        <v>1244</v>
      </c>
      <c r="J146" s="78" t="s">
        <v>217</v>
      </c>
      <c r="K146" s="81">
        <v>2</v>
      </c>
      <c r="L146" s="82">
        <v>0</v>
      </c>
      <c r="M146" s="83">
        <f t="shared" si="10"/>
        <v>2</v>
      </c>
      <c r="N146" s="84"/>
      <c r="O146" s="85">
        <f t="shared" si="11"/>
        <v>0</v>
      </c>
    </row>
    <row r="147" spans="6:15" s="76" customFormat="1" ht="11.4" outlineLevel="2">
      <c r="F147" s="77">
        <v>131</v>
      </c>
      <c r="G147" s="78" t="s">
        <v>192</v>
      </c>
      <c r="H147" s="79"/>
      <c r="I147" s="80" t="s">
        <v>1245</v>
      </c>
      <c r="J147" s="78" t="s">
        <v>217</v>
      </c>
      <c r="K147" s="81">
        <v>2</v>
      </c>
      <c r="L147" s="82">
        <v>0</v>
      </c>
      <c r="M147" s="83">
        <f t="shared" si="10"/>
        <v>2</v>
      </c>
      <c r="N147" s="84"/>
      <c r="O147" s="85">
        <f t="shared" si="11"/>
        <v>0</v>
      </c>
    </row>
    <row r="148" spans="6:15" s="76" customFormat="1" ht="11.4" outlineLevel="2">
      <c r="F148" s="77">
        <v>132</v>
      </c>
      <c r="G148" s="78" t="s">
        <v>192</v>
      </c>
      <c r="H148" s="79"/>
      <c r="I148" s="80" t="s">
        <v>1246</v>
      </c>
      <c r="J148" s="78" t="s">
        <v>217</v>
      </c>
      <c r="K148" s="81">
        <v>3</v>
      </c>
      <c r="L148" s="82">
        <v>0</v>
      </c>
      <c r="M148" s="83">
        <f t="shared" si="10"/>
        <v>3</v>
      </c>
      <c r="N148" s="84"/>
      <c r="O148" s="85">
        <f t="shared" si="11"/>
        <v>0</v>
      </c>
    </row>
    <row r="149" spans="6:15" s="76" customFormat="1" ht="11.4" outlineLevel="2">
      <c r="F149" s="77">
        <v>133</v>
      </c>
      <c r="G149" s="78" t="s">
        <v>192</v>
      </c>
      <c r="H149" s="79"/>
      <c r="I149" s="80" t="s">
        <v>1247</v>
      </c>
      <c r="J149" s="78" t="s">
        <v>217</v>
      </c>
      <c r="K149" s="81">
        <v>3</v>
      </c>
      <c r="L149" s="82">
        <v>0</v>
      </c>
      <c r="M149" s="83">
        <f t="shared" si="10"/>
        <v>3</v>
      </c>
      <c r="N149" s="84"/>
      <c r="O149" s="85">
        <f t="shared" si="11"/>
        <v>0</v>
      </c>
    </row>
    <row r="150" spans="6:15" s="76" customFormat="1" ht="11.4" outlineLevel="2">
      <c r="F150" s="77">
        <v>134</v>
      </c>
      <c r="G150" s="78" t="s">
        <v>192</v>
      </c>
      <c r="H150" s="79"/>
      <c r="I150" s="80" t="s">
        <v>1248</v>
      </c>
      <c r="J150" s="78" t="s">
        <v>217</v>
      </c>
      <c r="K150" s="81">
        <v>21</v>
      </c>
      <c r="L150" s="82">
        <v>0</v>
      </c>
      <c r="M150" s="83">
        <f t="shared" si="10"/>
        <v>21</v>
      </c>
      <c r="N150" s="84"/>
      <c r="O150" s="85">
        <f t="shared" si="11"/>
        <v>0</v>
      </c>
    </row>
    <row r="151" spans="6:15" s="76" customFormat="1" ht="11.4" outlineLevel="2">
      <c r="F151" s="77">
        <v>135</v>
      </c>
      <c r="G151" s="78" t="s">
        <v>192</v>
      </c>
      <c r="H151" s="79"/>
      <c r="I151" s="80" t="s">
        <v>1249</v>
      </c>
      <c r="J151" s="78" t="s">
        <v>217</v>
      </c>
      <c r="K151" s="81">
        <v>21</v>
      </c>
      <c r="L151" s="82">
        <v>0</v>
      </c>
      <c r="M151" s="83">
        <f t="shared" si="10"/>
        <v>21</v>
      </c>
      <c r="N151" s="84"/>
      <c r="O151" s="85">
        <f t="shared" si="11"/>
        <v>0</v>
      </c>
    </row>
    <row r="152" spans="6:15" s="76" customFormat="1" ht="11.4" outlineLevel="2">
      <c r="F152" s="77">
        <v>136</v>
      </c>
      <c r="G152" s="78" t="s">
        <v>192</v>
      </c>
      <c r="H152" s="79"/>
      <c r="I152" s="80" t="s">
        <v>1250</v>
      </c>
      <c r="J152" s="78" t="s">
        <v>217</v>
      </c>
      <c r="K152" s="81">
        <v>6</v>
      </c>
      <c r="L152" s="82">
        <v>0</v>
      </c>
      <c r="M152" s="83">
        <f t="shared" si="10"/>
        <v>6</v>
      </c>
      <c r="N152" s="84"/>
      <c r="O152" s="85">
        <f t="shared" si="11"/>
        <v>0</v>
      </c>
    </row>
    <row r="153" spans="6:15" s="76" customFormat="1" ht="11.4" outlineLevel="2">
      <c r="F153" s="77">
        <v>137</v>
      </c>
      <c r="G153" s="78" t="s">
        <v>192</v>
      </c>
      <c r="H153" s="79"/>
      <c r="I153" s="80" t="s">
        <v>1251</v>
      </c>
      <c r="J153" s="78" t="s">
        <v>217</v>
      </c>
      <c r="K153" s="81">
        <v>3</v>
      </c>
      <c r="L153" s="82">
        <v>0</v>
      </c>
      <c r="M153" s="83">
        <f t="shared" si="10"/>
        <v>3</v>
      </c>
      <c r="N153" s="84"/>
      <c r="O153" s="85">
        <f t="shared" si="11"/>
        <v>0</v>
      </c>
    </row>
    <row r="154" spans="6:15" s="76" customFormat="1" ht="11.4" outlineLevel="2">
      <c r="F154" s="77">
        <v>138</v>
      </c>
      <c r="G154" s="78" t="s">
        <v>192</v>
      </c>
      <c r="H154" s="79"/>
      <c r="I154" s="80" t="s">
        <v>1252</v>
      </c>
      <c r="J154" s="78" t="s">
        <v>217</v>
      </c>
      <c r="K154" s="81">
        <v>9</v>
      </c>
      <c r="L154" s="82">
        <v>0</v>
      </c>
      <c r="M154" s="83">
        <f t="shared" si="10"/>
        <v>9</v>
      </c>
      <c r="N154" s="84"/>
      <c r="O154" s="85">
        <f t="shared" si="11"/>
        <v>0</v>
      </c>
    </row>
    <row r="155" spans="6:15" s="76" customFormat="1" ht="11.4" outlineLevel="2">
      <c r="F155" s="77">
        <v>139</v>
      </c>
      <c r="G155" s="78" t="s">
        <v>192</v>
      </c>
      <c r="H155" s="79"/>
      <c r="I155" s="80" t="s">
        <v>1253</v>
      </c>
      <c r="J155" s="78" t="s">
        <v>113</v>
      </c>
      <c r="K155" s="81">
        <v>1</v>
      </c>
      <c r="L155" s="82">
        <v>0</v>
      </c>
      <c r="M155" s="83">
        <f t="shared" si="10"/>
        <v>1</v>
      </c>
      <c r="N155" s="84"/>
      <c r="O155" s="85">
        <f t="shared" si="11"/>
        <v>0</v>
      </c>
    </row>
    <row r="156" spans="6:15" s="76" customFormat="1" ht="11.4" outlineLevel="2">
      <c r="F156" s="77">
        <v>140</v>
      </c>
      <c r="G156" s="78" t="s">
        <v>192</v>
      </c>
      <c r="H156" s="79"/>
      <c r="I156" s="80" t="s">
        <v>1254</v>
      </c>
      <c r="J156" s="78" t="s">
        <v>69</v>
      </c>
      <c r="K156" s="81">
        <v>35</v>
      </c>
      <c r="L156" s="82">
        <v>0</v>
      </c>
      <c r="M156" s="83">
        <f t="shared" si="10"/>
        <v>35</v>
      </c>
      <c r="N156" s="84"/>
      <c r="O156" s="85">
        <f t="shared" si="11"/>
        <v>0</v>
      </c>
    </row>
    <row r="157" spans="6:15" s="76" customFormat="1" ht="11.4" outlineLevel="2">
      <c r="F157" s="77">
        <v>141</v>
      </c>
      <c r="G157" s="78" t="s">
        <v>192</v>
      </c>
      <c r="H157" s="79"/>
      <c r="I157" s="80" t="s">
        <v>275</v>
      </c>
      <c r="J157" s="78" t="s">
        <v>217</v>
      </c>
      <c r="K157" s="81">
        <v>25</v>
      </c>
      <c r="L157" s="82">
        <v>0</v>
      </c>
      <c r="M157" s="83">
        <f t="shared" si="10"/>
        <v>25</v>
      </c>
      <c r="N157" s="84"/>
      <c r="O157" s="85">
        <f t="shared" si="11"/>
        <v>0</v>
      </c>
    </row>
    <row r="158" spans="6:15" s="76" customFormat="1" ht="11.4" outlineLevel="2">
      <c r="F158" s="77">
        <v>142</v>
      </c>
      <c r="G158" s="78" t="s">
        <v>192</v>
      </c>
      <c r="H158" s="79"/>
      <c r="I158" s="80" t="s">
        <v>277</v>
      </c>
      <c r="J158" s="78" t="s">
        <v>217</v>
      </c>
      <c r="K158" s="81">
        <v>1</v>
      </c>
      <c r="L158" s="82">
        <v>0</v>
      </c>
      <c r="M158" s="83">
        <f t="shared" si="10"/>
        <v>1</v>
      </c>
      <c r="N158" s="84"/>
      <c r="O158" s="85">
        <f t="shared" si="11"/>
        <v>0</v>
      </c>
    </row>
    <row r="159" spans="6:15" s="76" customFormat="1" ht="11.4" outlineLevel="2">
      <c r="F159" s="77">
        <v>143</v>
      </c>
      <c r="G159" s="78" t="s">
        <v>192</v>
      </c>
      <c r="H159" s="79"/>
      <c r="I159" s="80" t="s">
        <v>278</v>
      </c>
      <c r="J159" s="78" t="s">
        <v>279</v>
      </c>
      <c r="K159" s="81">
        <v>5</v>
      </c>
      <c r="L159" s="82">
        <v>0</v>
      </c>
      <c r="M159" s="83">
        <f t="shared" si="10"/>
        <v>5</v>
      </c>
      <c r="N159" s="84"/>
      <c r="O159" s="85">
        <f t="shared" si="11"/>
        <v>0</v>
      </c>
    </row>
    <row r="160" spans="6:15" s="76" customFormat="1" ht="11.4" outlineLevel="2">
      <c r="F160" s="77">
        <v>144</v>
      </c>
      <c r="G160" s="78" t="s">
        <v>192</v>
      </c>
      <c r="H160" s="79"/>
      <c r="I160" s="80" t="s">
        <v>280</v>
      </c>
      <c r="J160" s="78" t="s">
        <v>69</v>
      </c>
      <c r="K160" s="81">
        <v>12</v>
      </c>
      <c r="L160" s="82">
        <v>0</v>
      </c>
      <c r="M160" s="83">
        <f t="shared" si="10"/>
        <v>12</v>
      </c>
      <c r="N160" s="84"/>
      <c r="O160" s="85">
        <f t="shared" si="11"/>
        <v>0</v>
      </c>
    </row>
    <row r="161" spans="6:15" s="76" customFormat="1" ht="11.4" outlineLevel="2">
      <c r="F161" s="77">
        <v>145</v>
      </c>
      <c r="G161" s="78" t="s">
        <v>192</v>
      </c>
      <c r="H161" s="79"/>
      <c r="I161" s="80" t="s">
        <v>281</v>
      </c>
      <c r="J161" s="78" t="s">
        <v>69</v>
      </c>
      <c r="K161" s="81">
        <v>16</v>
      </c>
      <c r="L161" s="82">
        <v>0</v>
      </c>
      <c r="M161" s="83">
        <f t="shared" si="10"/>
        <v>16</v>
      </c>
      <c r="N161" s="84"/>
      <c r="O161" s="85">
        <f t="shared" si="11"/>
        <v>0</v>
      </c>
    </row>
    <row r="162" spans="6:15" s="76" customFormat="1" ht="11.4" outlineLevel="2">
      <c r="F162" s="77">
        <v>146</v>
      </c>
      <c r="G162" s="78" t="s">
        <v>192</v>
      </c>
      <c r="H162" s="79"/>
      <c r="I162" s="80" t="s">
        <v>282</v>
      </c>
      <c r="J162" s="78" t="s">
        <v>69</v>
      </c>
      <c r="K162" s="81">
        <v>12</v>
      </c>
      <c r="L162" s="82">
        <v>0</v>
      </c>
      <c r="M162" s="83">
        <f t="shared" si="10"/>
        <v>12</v>
      </c>
      <c r="N162" s="84"/>
      <c r="O162" s="85">
        <f t="shared" si="11"/>
        <v>0</v>
      </c>
    </row>
    <row r="163" spans="6:15" s="76" customFormat="1" ht="11.4" outlineLevel="2">
      <c r="F163" s="77">
        <v>147</v>
      </c>
      <c r="G163" s="78" t="s">
        <v>192</v>
      </c>
      <c r="H163" s="79"/>
      <c r="I163" s="80" t="s">
        <v>283</v>
      </c>
      <c r="J163" s="78" t="s">
        <v>69</v>
      </c>
      <c r="K163" s="81">
        <v>16</v>
      </c>
      <c r="L163" s="82">
        <v>0</v>
      </c>
      <c r="M163" s="83">
        <f t="shared" si="10"/>
        <v>16</v>
      </c>
      <c r="N163" s="84"/>
      <c r="O163" s="85">
        <f t="shared" si="11"/>
        <v>0</v>
      </c>
    </row>
    <row r="164" spans="6:15" s="76" customFormat="1" ht="11.4" outlineLevel="2">
      <c r="F164" s="77">
        <v>148</v>
      </c>
      <c r="G164" s="78" t="s">
        <v>192</v>
      </c>
      <c r="H164" s="79"/>
      <c r="I164" s="80" t="s">
        <v>287</v>
      </c>
      <c r="J164" s="78" t="s">
        <v>69</v>
      </c>
      <c r="K164" s="81">
        <v>16</v>
      </c>
      <c r="L164" s="82">
        <v>0</v>
      </c>
      <c r="M164" s="83">
        <f t="shared" si="10"/>
        <v>16</v>
      </c>
      <c r="N164" s="84"/>
      <c r="O164" s="85">
        <f t="shared" si="11"/>
        <v>0</v>
      </c>
    </row>
    <row r="165" spans="6:15" s="76" customFormat="1" ht="11.4" outlineLevel="2">
      <c r="F165" s="77">
        <v>149</v>
      </c>
      <c r="G165" s="78" t="s">
        <v>192</v>
      </c>
      <c r="H165" s="79"/>
      <c r="I165" s="80" t="s">
        <v>288</v>
      </c>
      <c r="J165" s="78" t="s">
        <v>69</v>
      </c>
      <c r="K165" s="81">
        <v>8</v>
      </c>
      <c r="L165" s="82">
        <v>0</v>
      </c>
      <c r="M165" s="83">
        <f t="shared" si="10"/>
        <v>8</v>
      </c>
      <c r="N165" s="84"/>
      <c r="O165" s="85">
        <f t="shared" si="11"/>
        <v>0</v>
      </c>
    </row>
    <row r="166" spans="6:15" s="76" customFormat="1" ht="11.4" outlineLevel="2">
      <c r="F166" s="77">
        <v>150</v>
      </c>
      <c r="G166" s="78" t="s">
        <v>192</v>
      </c>
      <c r="H166" s="79"/>
      <c r="I166" s="80" t="s">
        <v>289</v>
      </c>
      <c r="J166" s="78" t="s">
        <v>217</v>
      </c>
      <c r="K166" s="81">
        <v>20</v>
      </c>
      <c r="L166" s="82">
        <v>0</v>
      </c>
      <c r="M166" s="83">
        <f t="shared" si="10"/>
        <v>20</v>
      </c>
      <c r="N166" s="84"/>
      <c r="O166" s="85">
        <f t="shared" si="11"/>
        <v>0</v>
      </c>
    </row>
    <row r="167" spans="6:15" s="76" customFormat="1" ht="11.4" outlineLevel="2">
      <c r="F167" s="77">
        <v>151</v>
      </c>
      <c r="G167" s="78" t="s">
        <v>192</v>
      </c>
      <c r="H167" s="79"/>
      <c r="I167" s="80" t="s">
        <v>290</v>
      </c>
      <c r="J167" s="78" t="s">
        <v>217</v>
      </c>
      <c r="K167" s="81">
        <v>10</v>
      </c>
      <c r="L167" s="82">
        <v>0</v>
      </c>
      <c r="M167" s="83">
        <f t="shared" si="10"/>
        <v>10</v>
      </c>
      <c r="N167" s="84"/>
      <c r="O167" s="85">
        <f t="shared" si="11"/>
        <v>0</v>
      </c>
    </row>
    <row r="168" spans="6:15" s="76" customFormat="1" ht="11.4" outlineLevel="2">
      <c r="F168" s="77">
        <v>152</v>
      </c>
      <c r="G168" s="78" t="s">
        <v>192</v>
      </c>
      <c r="H168" s="79"/>
      <c r="I168" s="80" t="s">
        <v>291</v>
      </c>
      <c r="J168" s="78" t="s">
        <v>69</v>
      </c>
      <c r="K168" s="81">
        <v>36</v>
      </c>
      <c r="L168" s="82">
        <v>0</v>
      </c>
      <c r="M168" s="83">
        <f t="shared" si="10"/>
        <v>36</v>
      </c>
      <c r="N168" s="84"/>
      <c r="O168" s="85">
        <f t="shared" si="11"/>
        <v>0</v>
      </c>
    </row>
    <row r="169" spans="6:15" s="76" customFormat="1" ht="11.4" outlineLevel="2">
      <c r="F169" s="77">
        <v>153</v>
      </c>
      <c r="G169" s="78" t="s">
        <v>192</v>
      </c>
      <c r="H169" s="79"/>
      <c r="I169" s="80" t="s">
        <v>1255</v>
      </c>
      <c r="J169" s="78" t="s">
        <v>69</v>
      </c>
      <c r="K169" s="81">
        <v>478</v>
      </c>
      <c r="L169" s="82">
        <v>0</v>
      </c>
      <c r="M169" s="83">
        <f t="shared" si="10"/>
        <v>478</v>
      </c>
      <c r="N169" s="84"/>
      <c r="O169" s="85">
        <f t="shared" si="11"/>
        <v>0</v>
      </c>
    </row>
    <row r="170" spans="6:15" s="76" customFormat="1" ht="11.4" outlineLevel="2">
      <c r="F170" s="77">
        <v>154</v>
      </c>
      <c r="G170" s="78" t="s">
        <v>192</v>
      </c>
      <c r="H170" s="79"/>
      <c r="I170" s="80" t="s">
        <v>1256</v>
      </c>
      <c r="J170" s="78" t="s">
        <v>69</v>
      </c>
      <c r="K170" s="81">
        <v>547</v>
      </c>
      <c r="L170" s="82">
        <v>0</v>
      </c>
      <c r="M170" s="83">
        <f t="shared" si="10"/>
        <v>547</v>
      </c>
      <c r="N170" s="84"/>
      <c r="O170" s="85">
        <f t="shared" si="11"/>
        <v>0</v>
      </c>
    </row>
    <row r="171" spans="6:15" s="76" customFormat="1" ht="11.4" outlineLevel="2">
      <c r="F171" s="77">
        <v>155</v>
      </c>
      <c r="G171" s="78" t="s">
        <v>192</v>
      </c>
      <c r="H171" s="79"/>
      <c r="I171" s="80" t="s">
        <v>1257</v>
      </c>
      <c r="J171" s="78" t="s">
        <v>69</v>
      </c>
      <c r="K171" s="81">
        <v>131</v>
      </c>
      <c r="L171" s="82">
        <v>0</v>
      </c>
      <c r="M171" s="83">
        <f t="shared" si="10"/>
        <v>131</v>
      </c>
      <c r="N171" s="84"/>
      <c r="O171" s="85">
        <f t="shared" si="11"/>
        <v>0</v>
      </c>
    </row>
    <row r="172" spans="6:15" s="76" customFormat="1" ht="11.4" outlineLevel="2">
      <c r="F172" s="77">
        <v>156</v>
      </c>
      <c r="G172" s="78" t="s">
        <v>192</v>
      </c>
      <c r="H172" s="79"/>
      <c r="I172" s="80" t="s">
        <v>1258</v>
      </c>
      <c r="J172" s="78" t="s">
        <v>69</v>
      </c>
      <c r="K172" s="81">
        <v>174</v>
      </c>
      <c r="L172" s="82">
        <v>0</v>
      </c>
      <c r="M172" s="83">
        <f t="shared" si="10"/>
        <v>174</v>
      </c>
      <c r="N172" s="84"/>
      <c r="O172" s="85">
        <f t="shared" si="11"/>
        <v>0</v>
      </c>
    </row>
    <row r="173" spans="6:15" s="76" customFormat="1" ht="11.4" outlineLevel="2">
      <c r="F173" s="77">
        <v>157</v>
      </c>
      <c r="G173" s="78" t="s">
        <v>192</v>
      </c>
      <c r="H173" s="79"/>
      <c r="I173" s="80" t="s">
        <v>352</v>
      </c>
      <c r="J173" s="78" t="s">
        <v>217</v>
      </c>
      <c r="K173" s="81">
        <v>148</v>
      </c>
      <c r="L173" s="82">
        <v>0</v>
      </c>
      <c r="M173" s="83">
        <f t="shared" si="10"/>
        <v>148</v>
      </c>
      <c r="N173" s="84"/>
      <c r="O173" s="85">
        <f t="shared" si="11"/>
        <v>0</v>
      </c>
    </row>
    <row r="174" spans="6:15" s="76" customFormat="1" ht="11.4" outlineLevel="2">
      <c r="F174" s="77">
        <v>158</v>
      </c>
      <c r="G174" s="78" t="s">
        <v>192</v>
      </c>
      <c r="H174" s="79"/>
      <c r="I174" s="80" t="s">
        <v>303</v>
      </c>
      <c r="J174" s="78" t="s">
        <v>217</v>
      </c>
      <c r="K174" s="81">
        <v>116</v>
      </c>
      <c r="L174" s="82">
        <v>0</v>
      </c>
      <c r="M174" s="83">
        <f t="shared" si="10"/>
        <v>116</v>
      </c>
      <c r="N174" s="84"/>
      <c r="O174" s="85">
        <f t="shared" si="11"/>
        <v>0</v>
      </c>
    </row>
    <row r="175" spans="6:15" s="76" customFormat="1" ht="22.8" outlineLevel="2">
      <c r="F175" s="77">
        <v>159</v>
      </c>
      <c r="G175" s="78" t="s">
        <v>192</v>
      </c>
      <c r="H175" s="79"/>
      <c r="I175" s="80" t="s">
        <v>312</v>
      </c>
      <c r="J175" s="78" t="s">
        <v>313</v>
      </c>
      <c r="K175" s="81">
        <v>20</v>
      </c>
      <c r="L175" s="82">
        <v>0</v>
      </c>
      <c r="M175" s="83">
        <f t="shared" si="10"/>
        <v>20</v>
      </c>
      <c r="N175" s="84"/>
      <c r="O175" s="85">
        <f t="shared" si="11"/>
        <v>0</v>
      </c>
    </row>
    <row r="176" spans="6:15" s="76" customFormat="1" ht="11.4" outlineLevel="2">
      <c r="F176" s="77">
        <v>160</v>
      </c>
      <c r="G176" s="78" t="s">
        <v>192</v>
      </c>
      <c r="H176" s="79"/>
      <c r="I176" s="80" t="s">
        <v>316</v>
      </c>
      <c r="J176" s="78" t="s">
        <v>113</v>
      </c>
      <c r="K176" s="81">
        <v>1</v>
      </c>
      <c r="L176" s="82">
        <v>0</v>
      </c>
      <c r="M176" s="83">
        <f t="shared" si="10"/>
        <v>1</v>
      </c>
      <c r="N176" s="84"/>
      <c r="O176" s="85">
        <f t="shared" si="11"/>
        <v>0</v>
      </c>
    </row>
    <row r="177" spans="6:15" s="76" customFormat="1" ht="11.4" outlineLevel="2">
      <c r="F177" s="77">
        <v>161</v>
      </c>
      <c r="G177" s="78" t="s">
        <v>192</v>
      </c>
      <c r="H177" s="79"/>
      <c r="I177" s="80" t="s">
        <v>317</v>
      </c>
      <c r="J177" s="78" t="s">
        <v>113</v>
      </c>
      <c r="K177" s="81">
        <v>1</v>
      </c>
      <c r="L177" s="82">
        <v>0</v>
      </c>
      <c r="M177" s="83">
        <f t="shared" si="10"/>
        <v>1</v>
      </c>
      <c r="N177" s="84"/>
      <c r="O177" s="85">
        <f t="shared" si="11"/>
        <v>0</v>
      </c>
    </row>
    <row r="178" spans="6:15" s="76" customFormat="1" ht="11.4" outlineLevel="2">
      <c r="F178" s="77">
        <v>162</v>
      </c>
      <c r="G178" s="78" t="s">
        <v>192</v>
      </c>
      <c r="H178" s="79"/>
      <c r="I178" s="80" t="s">
        <v>318</v>
      </c>
      <c r="J178" s="78" t="s">
        <v>113</v>
      </c>
      <c r="K178" s="81">
        <v>1</v>
      </c>
      <c r="L178" s="82">
        <v>0</v>
      </c>
      <c r="M178" s="83">
        <f t="shared" si="10"/>
        <v>1</v>
      </c>
      <c r="N178" s="84"/>
      <c r="O178" s="85">
        <f t="shared" si="11"/>
        <v>0</v>
      </c>
    </row>
    <row r="179" spans="6:15" s="76" customFormat="1" ht="11.4" outlineLevel="2">
      <c r="F179" s="77">
        <v>163</v>
      </c>
      <c r="G179" s="78" t="s">
        <v>192</v>
      </c>
      <c r="H179" s="79"/>
      <c r="I179" s="80" t="s">
        <v>319</v>
      </c>
      <c r="J179" s="78" t="s">
        <v>113</v>
      </c>
      <c r="K179" s="81">
        <v>1</v>
      </c>
      <c r="L179" s="82">
        <v>0</v>
      </c>
      <c r="M179" s="83">
        <f t="shared" si="10"/>
        <v>1</v>
      </c>
      <c r="N179" s="84"/>
      <c r="O179" s="85">
        <f t="shared" si="11"/>
        <v>0</v>
      </c>
    </row>
    <row r="180" spans="6:15" s="76" customFormat="1" ht="11.4" outlineLevel="2">
      <c r="F180" s="77">
        <v>164</v>
      </c>
      <c r="G180" s="78" t="s">
        <v>192</v>
      </c>
      <c r="H180" s="79"/>
      <c r="I180" s="80" t="s">
        <v>320</v>
      </c>
      <c r="J180" s="78" t="s">
        <v>113</v>
      </c>
      <c r="K180" s="81">
        <v>1</v>
      </c>
      <c r="L180" s="82">
        <v>0</v>
      </c>
      <c r="M180" s="83">
        <f t="shared" si="10"/>
        <v>1</v>
      </c>
      <c r="N180" s="84"/>
      <c r="O180" s="85">
        <f t="shared" si="11"/>
        <v>0</v>
      </c>
    </row>
    <row r="181" spans="6:15" s="76" customFormat="1" ht="11.4" outlineLevel="2">
      <c r="F181" s="77">
        <v>165</v>
      </c>
      <c r="G181" s="78" t="s">
        <v>192</v>
      </c>
      <c r="H181" s="79"/>
      <c r="I181" s="80" t="s">
        <v>322</v>
      </c>
      <c r="J181" s="78" t="s">
        <v>113</v>
      </c>
      <c r="K181" s="81">
        <v>1</v>
      </c>
      <c r="L181" s="82">
        <v>0</v>
      </c>
      <c r="M181" s="83">
        <f t="shared" si="10"/>
        <v>1</v>
      </c>
      <c r="N181" s="84"/>
      <c r="O181" s="85">
        <f t="shared" si="11"/>
        <v>0</v>
      </c>
    </row>
    <row r="182" spans="6:15" s="76" customFormat="1" ht="11.4" outlineLevel="2">
      <c r="F182" s="77">
        <v>166</v>
      </c>
      <c r="G182" s="78" t="s">
        <v>192</v>
      </c>
      <c r="H182" s="79"/>
      <c r="I182" s="80" t="s">
        <v>323</v>
      </c>
      <c r="J182" s="78" t="s">
        <v>113</v>
      </c>
      <c r="K182" s="81">
        <v>1</v>
      </c>
      <c r="L182" s="82">
        <v>0</v>
      </c>
      <c r="M182" s="83">
        <f t="shared" si="10"/>
        <v>1</v>
      </c>
      <c r="N182" s="84"/>
      <c r="O182" s="85">
        <f t="shared" si="11"/>
        <v>0</v>
      </c>
    </row>
    <row r="183" spans="6:15" s="76" customFormat="1" ht="11.4" outlineLevel="2">
      <c r="F183" s="77">
        <v>167</v>
      </c>
      <c r="G183" s="78" t="s">
        <v>192</v>
      </c>
      <c r="H183" s="79"/>
      <c r="I183" s="80" t="s">
        <v>324</v>
      </c>
      <c r="J183" s="78" t="s">
        <v>113</v>
      </c>
      <c r="K183" s="81">
        <v>1</v>
      </c>
      <c r="L183" s="82">
        <v>0</v>
      </c>
      <c r="M183" s="83">
        <f t="shared" si="10"/>
        <v>1</v>
      </c>
      <c r="N183" s="84"/>
      <c r="O183" s="85">
        <f t="shared" si="11"/>
        <v>0</v>
      </c>
    </row>
    <row r="184" spans="6:15" s="76" customFormat="1" ht="11.4" outlineLevel="2">
      <c r="F184" s="77">
        <v>168</v>
      </c>
      <c r="G184" s="78" t="s">
        <v>192</v>
      </c>
      <c r="H184" s="79"/>
      <c r="I184" s="80" t="s">
        <v>325</v>
      </c>
      <c r="J184" s="78" t="s">
        <v>113</v>
      </c>
      <c r="K184" s="81">
        <v>1</v>
      </c>
      <c r="L184" s="82">
        <v>0</v>
      </c>
      <c r="M184" s="83">
        <f t="shared" si="10"/>
        <v>1</v>
      </c>
      <c r="N184" s="84"/>
      <c r="O184" s="85">
        <f t="shared" si="11"/>
        <v>0</v>
      </c>
    </row>
    <row r="185" spans="6:15" s="76" customFormat="1" ht="11.4" outlineLevel="2">
      <c r="F185" s="77">
        <v>169</v>
      </c>
      <c r="G185" s="78" t="s">
        <v>192</v>
      </c>
      <c r="H185" s="79"/>
      <c r="I185" s="80" t="s">
        <v>1259</v>
      </c>
      <c r="J185" s="78" t="s">
        <v>113</v>
      </c>
      <c r="K185" s="81">
        <v>1</v>
      </c>
      <c r="L185" s="82">
        <v>0</v>
      </c>
      <c r="M185" s="83">
        <f t="shared" si="10"/>
        <v>1</v>
      </c>
      <c r="N185" s="84"/>
      <c r="O185" s="85">
        <f t="shared" si="11"/>
        <v>0</v>
      </c>
    </row>
    <row r="186" spans="6:15" s="76" customFormat="1" ht="11.4" outlineLevel="2">
      <c r="F186" s="98"/>
      <c r="G186" s="99"/>
      <c r="H186" s="92"/>
      <c r="I186" s="113"/>
      <c r="J186" s="99"/>
      <c r="K186" s="235"/>
      <c r="L186" s="90"/>
      <c r="M186" s="91"/>
      <c r="N186" s="117"/>
      <c r="O186" s="115"/>
    </row>
    <row r="187" spans="6:15" s="70" customFormat="1" ht="16.5" customHeight="1" outlineLevel="1">
      <c r="F187" s="71"/>
      <c r="G187" s="50"/>
      <c r="H187" s="72"/>
      <c r="I187" s="72" t="s">
        <v>353</v>
      </c>
      <c r="J187" s="50"/>
      <c r="K187" s="73"/>
      <c r="L187" s="74"/>
      <c r="M187" s="75"/>
      <c r="N187" s="74"/>
      <c r="O187" s="8">
        <f>SUBTOTAL(9,O188:O190)</f>
        <v>0</v>
      </c>
    </row>
    <row r="188" spans="6:15" s="76" customFormat="1" ht="11.4" outlineLevel="2">
      <c r="F188" s="77">
        <v>170</v>
      </c>
      <c r="G188" s="78" t="s">
        <v>35</v>
      </c>
      <c r="H188" s="79" t="s">
        <v>354</v>
      </c>
      <c r="I188" s="80" t="s">
        <v>355</v>
      </c>
      <c r="J188" s="78" t="s">
        <v>59</v>
      </c>
      <c r="K188" s="81">
        <v>15.5</v>
      </c>
      <c r="L188" s="82">
        <v>0</v>
      </c>
      <c r="M188" s="83">
        <f>K188*(1+L188/100)</f>
        <v>15.5</v>
      </c>
      <c r="N188" s="84"/>
      <c r="O188" s="85">
        <f>M188*N188</f>
        <v>0</v>
      </c>
    </row>
    <row r="189" spans="6:15" s="76" customFormat="1" ht="22.8" outlineLevel="2">
      <c r="F189" s="77" t="s">
        <v>1260</v>
      </c>
      <c r="G189" s="78" t="s">
        <v>35</v>
      </c>
      <c r="H189" s="79" t="s">
        <v>356</v>
      </c>
      <c r="I189" s="80" t="s">
        <v>357</v>
      </c>
      <c r="J189" s="78" t="s">
        <v>59</v>
      </c>
      <c r="K189" s="81">
        <v>15.5</v>
      </c>
      <c r="L189" s="82">
        <v>0</v>
      </c>
      <c r="M189" s="83">
        <f>K189*(1+L189/100)</f>
        <v>15.5</v>
      </c>
      <c r="N189" s="84"/>
      <c r="O189" s="85">
        <f>M189*N189</f>
        <v>0</v>
      </c>
    </row>
    <row r="190" spans="6:15" s="76" customFormat="1" ht="22.8" outlineLevel="2">
      <c r="F190" s="77" t="s">
        <v>1261</v>
      </c>
      <c r="G190" s="78" t="s">
        <v>35</v>
      </c>
      <c r="H190" s="79" t="s">
        <v>358</v>
      </c>
      <c r="I190" s="80" t="s">
        <v>359</v>
      </c>
      <c r="J190" s="78" t="s">
        <v>59</v>
      </c>
      <c r="K190" s="81">
        <v>15.5</v>
      </c>
      <c r="L190" s="82">
        <v>0</v>
      </c>
      <c r="M190" s="83">
        <f>K190*(1+L190/100)</f>
        <v>15.5</v>
      </c>
      <c r="N190" s="84"/>
      <c r="O190" s="85">
        <f>M190*N190</f>
        <v>0</v>
      </c>
    </row>
    <row r="191" spans="6:15" s="62" customFormat="1" ht="12.75" customHeight="1" outlineLevel="2">
      <c r="F191" s="63"/>
      <c r="G191" s="64"/>
      <c r="H191" s="64"/>
      <c r="I191" s="65"/>
      <c r="J191" s="64"/>
      <c r="K191" s="66"/>
      <c r="L191" s="67"/>
      <c r="M191" s="68"/>
      <c r="N191" s="67"/>
      <c r="O191" s="69"/>
    </row>
    <row r="192" spans="6:15" s="62" customFormat="1" ht="15.75" customHeight="1" outlineLevel="2">
      <c r="F192" s="71"/>
      <c r="G192" s="50"/>
      <c r="H192" s="72"/>
      <c r="I192" s="72" t="s">
        <v>21</v>
      </c>
      <c r="J192" s="50"/>
      <c r="K192" s="75"/>
      <c r="L192" s="74"/>
      <c r="M192" s="75"/>
      <c r="N192" s="74"/>
      <c r="O192" s="8">
        <f>SUBTOTAL(9,O193:O196)</f>
        <v>0</v>
      </c>
    </row>
    <row r="193" spans="6:15" s="62" customFormat="1" ht="11.4" outlineLevel="2">
      <c r="F193" s="77">
        <v>171</v>
      </c>
      <c r="G193" s="78" t="s">
        <v>35</v>
      </c>
      <c r="H193" s="79" t="s">
        <v>1262</v>
      </c>
      <c r="I193" s="80" t="s">
        <v>1263</v>
      </c>
      <c r="J193" s="78" t="s">
        <v>38</v>
      </c>
      <c r="K193" s="83">
        <v>2.7</v>
      </c>
      <c r="L193" s="82">
        <v>0</v>
      </c>
      <c r="M193" s="83">
        <f>K193*(1+L193/100)</f>
        <v>2.7</v>
      </c>
      <c r="N193" s="84"/>
      <c r="O193" s="85">
        <f>M193*N193</f>
        <v>0</v>
      </c>
    </row>
    <row r="194" spans="6:15" s="62" customFormat="1" ht="12.75" customHeight="1" outlineLevel="2">
      <c r="F194" s="77">
        <v>172</v>
      </c>
      <c r="G194" s="78" t="s">
        <v>35</v>
      </c>
      <c r="H194" s="79" t="s">
        <v>1264</v>
      </c>
      <c r="I194" s="80" t="s">
        <v>1265</v>
      </c>
      <c r="J194" s="78" t="s">
        <v>38</v>
      </c>
      <c r="K194" s="83">
        <f>7*2.1</f>
        <v>14.700000000000001</v>
      </c>
      <c r="L194" s="82">
        <v>0</v>
      </c>
      <c r="M194" s="83">
        <f>K194*(1+L194/100)</f>
        <v>14.700000000000001</v>
      </c>
      <c r="N194" s="84"/>
      <c r="O194" s="85">
        <f>M194*N194</f>
        <v>0</v>
      </c>
    </row>
    <row r="195" spans="6:15" s="62" customFormat="1" ht="22.8" outlineLevel="2">
      <c r="F195" s="77">
        <v>173</v>
      </c>
      <c r="G195" s="78" t="s">
        <v>60</v>
      </c>
      <c r="H195" s="79" t="s">
        <v>1266</v>
      </c>
      <c r="I195" s="80" t="s">
        <v>1267</v>
      </c>
      <c r="J195" s="78" t="s">
        <v>279</v>
      </c>
      <c r="K195" s="83">
        <f>(2.7+14.7)*0.3</f>
        <v>5.22</v>
      </c>
      <c r="L195" s="82">
        <v>5</v>
      </c>
      <c r="M195" s="83">
        <f>K195*(1+L195/100)</f>
        <v>5.481</v>
      </c>
      <c r="N195" s="84"/>
      <c r="O195" s="85">
        <f>M195*N195</f>
        <v>0</v>
      </c>
    </row>
    <row r="196" spans="6:15" s="62" customFormat="1" ht="11.4" outlineLevel="2">
      <c r="F196" s="77">
        <v>174</v>
      </c>
      <c r="G196" s="78" t="s">
        <v>35</v>
      </c>
      <c r="H196" s="79" t="s">
        <v>1268</v>
      </c>
      <c r="I196" s="80" t="s">
        <v>1269</v>
      </c>
      <c r="J196" s="78" t="s">
        <v>367</v>
      </c>
      <c r="K196" s="83">
        <v>3.21</v>
      </c>
      <c r="L196" s="82">
        <v>0</v>
      </c>
      <c r="M196" s="83">
        <f>K196*(1+L196/100)</f>
        <v>3.21</v>
      </c>
      <c r="N196" s="84"/>
      <c r="O196" s="85">
        <f>M196*N196</f>
        <v>0</v>
      </c>
    </row>
    <row r="197" spans="6:15" s="62" customFormat="1" ht="12.75" customHeight="1" outlineLevel="2">
      <c r="F197" s="63"/>
      <c r="G197" s="64"/>
      <c r="H197" s="64"/>
      <c r="I197" s="65"/>
      <c r="J197" s="64"/>
      <c r="K197" s="66"/>
      <c r="L197" s="67"/>
      <c r="M197" s="68"/>
      <c r="N197" s="67"/>
      <c r="O197" s="69"/>
    </row>
    <row r="198" spans="6:15" s="62" customFormat="1" ht="15.75" customHeight="1" outlineLevel="2">
      <c r="F198" s="71"/>
      <c r="G198" s="50"/>
      <c r="H198" s="72"/>
      <c r="I198" s="72" t="s">
        <v>6</v>
      </c>
      <c r="J198" s="50"/>
      <c r="K198" s="73"/>
      <c r="L198" s="74"/>
      <c r="M198" s="75"/>
      <c r="N198" s="74"/>
      <c r="O198" s="8">
        <f>SUM(O199:O202)</f>
        <v>0</v>
      </c>
    </row>
    <row r="199" spans="6:15" s="62" customFormat="1" ht="12.75" customHeight="1" outlineLevel="2">
      <c r="F199" s="77">
        <v>175</v>
      </c>
      <c r="G199" s="78" t="s">
        <v>35</v>
      </c>
      <c r="H199" s="79" t="s">
        <v>360</v>
      </c>
      <c r="I199" s="80" t="s">
        <v>361</v>
      </c>
      <c r="J199" s="78" t="s">
        <v>38</v>
      </c>
      <c r="K199" s="83">
        <f>0.5*3.3*2+2.8*2*1.25</f>
        <v>10.3</v>
      </c>
      <c r="L199" s="82">
        <v>0</v>
      </c>
      <c r="M199" s="83">
        <f>K199*(1+L199/100)</f>
        <v>10.3</v>
      </c>
      <c r="N199" s="84"/>
      <c r="O199" s="85">
        <f>M199*N199</f>
        <v>0</v>
      </c>
    </row>
    <row r="200" spans="6:15" s="62" customFormat="1" ht="22.8" outlineLevel="2">
      <c r="F200" s="77">
        <v>176</v>
      </c>
      <c r="G200" s="78" t="s">
        <v>35</v>
      </c>
      <c r="H200" s="79" t="s">
        <v>362</v>
      </c>
      <c r="I200" s="80" t="s">
        <v>363</v>
      </c>
      <c r="J200" s="78" t="s">
        <v>38</v>
      </c>
      <c r="K200" s="83">
        <v>10.3</v>
      </c>
      <c r="L200" s="82">
        <v>0</v>
      </c>
      <c r="M200" s="83">
        <f>K200*(1+L200/100)</f>
        <v>10.3</v>
      </c>
      <c r="N200" s="84"/>
      <c r="O200" s="85">
        <f>M200*N200</f>
        <v>0</v>
      </c>
    </row>
    <row r="201" spans="6:15" s="62" customFormat="1" ht="34.2" outlineLevel="2">
      <c r="F201" s="77">
        <v>177</v>
      </c>
      <c r="G201" s="78" t="s">
        <v>60</v>
      </c>
      <c r="H201" s="79" t="s">
        <v>364</v>
      </c>
      <c r="I201" s="80" t="s">
        <v>365</v>
      </c>
      <c r="J201" s="78" t="s">
        <v>38</v>
      </c>
      <c r="K201" s="83">
        <v>10.3</v>
      </c>
      <c r="L201" s="82">
        <v>10</v>
      </c>
      <c r="M201" s="83">
        <f>K201*(1+L201/100)</f>
        <v>11.330000000000002</v>
      </c>
      <c r="N201" s="84"/>
      <c r="O201" s="85">
        <f>M201*N201</f>
        <v>0</v>
      </c>
    </row>
    <row r="202" spans="6:15" s="62" customFormat="1" ht="12.75" customHeight="1" outlineLevel="2">
      <c r="F202" s="77">
        <v>178</v>
      </c>
      <c r="G202" s="78" t="s">
        <v>35</v>
      </c>
      <c r="H202" s="79">
        <v>998713203</v>
      </c>
      <c r="I202" s="80" t="s">
        <v>366</v>
      </c>
      <c r="J202" s="78" t="s">
        <v>367</v>
      </c>
      <c r="K202" s="81">
        <v>1.95</v>
      </c>
      <c r="L202" s="82">
        <v>0</v>
      </c>
      <c r="M202" s="83">
        <f>K202*(1+L202/100)</f>
        <v>1.95</v>
      </c>
      <c r="N202" s="84"/>
      <c r="O202" s="85">
        <f>K202*N202</f>
        <v>0</v>
      </c>
    </row>
    <row r="203" spans="6:15" s="62" customFormat="1" ht="12.75" customHeight="1" outlineLevel="2">
      <c r="F203" s="63"/>
      <c r="G203" s="64"/>
      <c r="H203" s="64"/>
      <c r="I203" s="65"/>
      <c r="J203" s="64"/>
      <c r="K203" s="66"/>
      <c r="L203" s="67"/>
      <c r="M203" s="68"/>
      <c r="N203" s="67"/>
      <c r="O203" s="69"/>
    </row>
    <row r="204" spans="6:15" s="70" customFormat="1" ht="16.5" customHeight="1" outlineLevel="1">
      <c r="F204" s="71"/>
      <c r="G204" s="50"/>
      <c r="H204" s="72"/>
      <c r="I204" s="72" t="s">
        <v>368</v>
      </c>
      <c r="J204" s="50"/>
      <c r="K204" s="73"/>
      <c r="L204" s="74"/>
      <c r="M204" s="75"/>
      <c r="N204" s="74"/>
      <c r="O204" s="8">
        <f>SUM(O205:O224)</f>
        <v>0</v>
      </c>
    </row>
    <row r="205" spans="6:15" s="70" customFormat="1" ht="12" customHeight="1" outlineLevel="1">
      <c r="F205" s="77">
        <v>179</v>
      </c>
      <c r="G205" s="78" t="s">
        <v>35</v>
      </c>
      <c r="H205" s="79" t="s">
        <v>369</v>
      </c>
      <c r="I205" s="80" t="s">
        <v>370</v>
      </c>
      <c r="J205" s="78" t="s">
        <v>43</v>
      </c>
      <c r="K205" s="81">
        <v>5</v>
      </c>
      <c r="L205" s="82">
        <v>0</v>
      </c>
      <c r="M205" s="83">
        <f aca="true" t="shared" si="12" ref="M205:M224">K205*(1+L205/100)</f>
        <v>5</v>
      </c>
      <c r="N205" s="84"/>
      <c r="O205" s="85">
        <f aca="true" t="shared" si="13" ref="O205:O223">M205*N205</f>
        <v>0</v>
      </c>
    </row>
    <row r="206" spans="6:15" s="70" customFormat="1" ht="12" customHeight="1" outlineLevel="1">
      <c r="F206" s="77">
        <v>180</v>
      </c>
      <c r="G206" s="78" t="s">
        <v>35</v>
      </c>
      <c r="H206" s="79" t="s">
        <v>371</v>
      </c>
      <c r="I206" s="80" t="s">
        <v>372</v>
      </c>
      <c r="J206" s="78" t="s">
        <v>69</v>
      </c>
      <c r="K206" s="83">
        <v>2</v>
      </c>
      <c r="L206" s="82">
        <v>0</v>
      </c>
      <c r="M206" s="83">
        <f t="shared" si="12"/>
        <v>2</v>
      </c>
      <c r="N206" s="84"/>
      <c r="O206" s="85">
        <f t="shared" si="13"/>
        <v>0</v>
      </c>
    </row>
    <row r="207" spans="6:15" s="70" customFormat="1" ht="12" customHeight="1" outlineLevel="1">
      <c r="F207" s="77">
        <v>181</v>
      </c>
      <c r="G207" s="78" t="s">
        <v>35</v>
      </c>
      <c r="H207" s="79" t="s">
        <v>373</v>
      </c>
      <c r="I207" s="80" t="s">
        <v>374</v>
      </c>
      <c r="J207" s="78" t="s">
        <v>69</v>
      </c>
      <c r="K207" s="83">
        <v>4</v>
      </c>
      <c r="L207" s="82">
        <v>0</v>
      </c>
      <c r="M207" s="83">
        <f t="shared" si="12"/>
        <v>4</v>
      </c>
      <c r="N207" s="84"/>
      <c r="O207" s="85">
        <f t="shared" si="13"/>
        <v>0</v>
      </c>
    </row>
    <row r="208" spans="6:15" s="70" customFormat="1" ht="12" customHeight="1" outlineLevel="1">
      <c r="F208" s="77">
        <v>182</v>
      </c>
      <c r="G208" s="78" t="s">
        <v>35</v>
      </c>
      <c r="H208" s="79" t="s">
        <v>375</v>
      </c>
      <c r="I208" s="80" t="s">
        <v>376</v>
      </c>
      <c r="J208" s="78" t="s">
        <v>69</v>
      </c>
      <c r="K208" s="83">
        <v>12</v>
      </c>
      <c r="L208" s="82">
        <v>0</v>
      </c>
      <c r="M208" s="83">
        <f t="shared" si="12"/>
        <v>12</v>
      </c>
      <c r="N208" s="84"/>
      <c r="O208" s="85">
        <f t="shared" si="13"/>
        <v>0</v>
      </c>
    </row>
    <row r="209" spans="6:15" s="70" customFormat="1" ht="12" customHeight="1" outlineLevel="1">
      <c r="F209" s="77">
        <v>183</v>
      </c>
      <c r="G209" s="78" t="s">
        <v>35</v>
      </c>
      <c r="H209" s="79" t="s">
        <v>377</v>
      </c>
      <c r="I209" s="80" t="s">
        <v>378</v>
      </c>
      <c r="J209" s="78" t="s">
        <v>69</v>
      </c>
      <c r="K209" s="83">
        <v>4</v>
      </c>
      <c r="L209" s="82">
        <v>0</v>
      </c>
      <c r="M209" s="83">
        <f t="shared" si="12"/>
        <v>4</v>
      </c>
      <c r="N209" s="84"/>
      <c r="O209" s="85">
        <f t="shared" si="13"/>
        <v>0</v>
      </c>
    </row>
    <row r="210" spans="6:15" s="70" customFormat="1" ht="12" customHeight="1" outlineLevel="1">
      <c r="F210" s="77">
        <v>184</v>
      </c>
      <c r="G210" s="78" t="s">
        <v>35</v>
      </c>
      <c r="H210" s="79" t="s">
        <v>379</v>
      </c>
      <c r="I210" s="80" t="s">
        <v>380</v>
      </c>
      <c r="J210" s="78" t="s">
        <v>43</v>
      </c>
      <c r="K210" s="83">
        <v>4</v>
      </c>
      <c r="L210" s="82">
        <v>0</v>
      </c>
      <c r="M210" s="83">
        <f t="shared" si="12"/>
        <v>4</v>
      </c>
      <c r="N210" s="84"/>
      <c r="O210" s="85">
        <f t="shared" si="13"/>
        <v>0</v>
      </c>
    </row>
    <row r="211" spans="6:15" s="70" customFormat="1" ht="12" customHeight="1" outlineLevel="1">
      <c r="F211" s="77">
        <v>185</v>
      </c>
      <c r="G211" s="78" t="s">
        <v>35</v>
      </c>
      <c r="H211" s="79" t="s">
        <v>381</v>
      </c>
      <c r="I211" s="80" t="s">
        <v>382</v>
      </c>
      <c r="J211" s="78" t="s">
        <v>43</v>
      </c>
      <c r="K211" s="83">
        <v>9</v>
      </c>
      <c r="L211" s="82">
        <v>0</v>
      </c>
      <c r="M211" s="83">
        <f t="shared" si="12"/>
        <v>9</v>
      </c>
      <c r="N211" s="84"/>
      <c r="O211" s="85">
        <f t="shared" si="13"/>
        <v>0</v>
      </c>
    </row>
    <row r="212" spans="6:15" s="70" customFormat="1" ht="12" customHeight="1" outlineLevel="1">
      <c r="F212" s="77">
        <v>186</v>
      </c>
      <c r="G212" s="78" t="s">
        <v>35</v>
      </c>
      <c r="H212" s="79" t="s">
        <v>383</v>
      </c>
      <c r="I212" s="80" t="s">
        <v>384</v>
      </c>
      <c r="J212" s="78" t="s">
        <v>43</v>
      </c>
      <c r="K212" s="83">
        <v>5</v>
      </c>
      <c r="L212" s="82">
        <v>0</v>
      </c>
      <c r="M212" s="83">
        <f t="shared" si="12"/>
        <v>5</v>
      </c>
      <c r="N212" s="84"/>
      <c r="O212" s="85">
        <f t="shared" si="13"/>
        <v>0</v>
      </c>
    </row>
    <row r="213" spans="6:15" s="70" customFormat="1" ht="12" customHeight="1" outlineLevel="1">
      <c r="F213" s="77">
        <v>187</v>
      </c>
      <c r="G213" s="78" t="s">
        <v>35</v>
      </c>
      <c r="H213" s="79" t="s">
        <v>385</v>
      </c>
      <c r="I213" s="80" t="s">
        <v>386</v>
      </c>
      <c r="J213" s="78" t="s">
        <v>69</v>
      </c>
      <c r="K213" s="83">
        <v>22</v>
      </c>
      <c r="L213" s="82">
        <v>0</v>
      </c>
      <c r="M213" s="83">
        <f t="shared" si="12"/>
        <v>22</v>
      </c>
      <c r="N213" s="84"/>
      <c r="O213" s="85">
        <f t="shared" si="13"/>
        <v>0</v>
      </c>
    </row>
    <row r="214" spans="6:15" s="70" customFormat="1" ht="12" customHeight="1" outlineLevel="1">
      <c r="F214" s="77">
        <v>188</v>
      </c>
      <c r="G214" s="78" t="s">
        <v>35</v>
      </c>
      <c r="H214" s="79" t="s">
        <v>387</v>
      </c>
      <c r="I214" s="80" t="s">
        <v>388</v>
      </c>
      <c r="J214" s="78" t="s">
        <v>59</v>
      </c>
      <c r="K214" s="83">
        <v>0.2538</v>
      </c>
      <c r="L214" s="82">
        <v>0</v>
      </c>
      <c r="M214" s="83">
        <f t="shared" si="12"/>
        <v>0.2538</v>
      </c>
      <c r="N214" s="84"/>
      <c r="O214" s="85">
        <f t="shared" si="13"/>
        <v>0</v>
      </c>
    </row>
    <row r="215" spans="6:15" s="70" customFormat="1" ht="12" customHeight="1" outlineLevel="1">
      <c r="F215" s="77">
        <v>189</v>
      </c>
      <c r="G215" s="78" t="s">
        <v>35</v>
      </c>
      <c r="H215" s="79" t="s">
        <v>389</v>
      </c>
      <c r="I215" s="80" t="s">
        <v>390</v>
      </c>
      <c r="J215" s="78" t="s">
        <v>69</v>
      </c>
      <c r="K215" s="83">
        <v>15</v>
      </c>
      <c r="L215" s="82">
        <v>0</v>
      </c>
      <c r="M215" s="83">
        <f t="shared" si="12"/>
        <v>15</v>
      </c>
      <c r="N215" s="84"/>
      <c r="O215" s="85">
        <f t="shared" si="13"/>
        <v>0</v>
      </c>
    </row>
    <row r="216" spans="6:15" s="70" customFormat="1" ht="12" customHeight="1" outlineLevel="1">
      <c r="F216" s="77">
        <v>190</v>
      </c>
      <c r="G216" s="78" t="s">
        <v>35</v>
      </c>
      <c r="H216" s="79" t="s">
        <v>391</v>
      </c>
      <c r="I216" s="80" t="s">
        <v>392</v>
      </c>
      <c r="J216" s="78" t="s">
        <v>69</v>
      </c>
      <c r="K216" s="83">
        <v>10</v>
      </c>
      <c r="L216" s="82">
        <v>0</v>
      </c>
      <c r="M216" s="83">
        <f t="shared" si="12"/>
        <v>10</v>
      </c>
      <c r="N216" s="84"/>
      <c r="O216" s="85">
        <f t="shared" si="13"/>
        <v>0</v>
      </c>
    </row>
    <row r="217" spans="6:15" s="70" customFormat="1" ht="12" customHeight="1" outlineLevel="1">
      <c r="F217" s="77">
        <v>191</v>
      </c>
      <c r="G217" s="78" t="s">
        <v>35</v>
      </c>
      <c r="H217" s="79" t="s">
        <v>395</v>
      </c>
      <c r="I217" s="80" t="s">
        <v>396</v>
      </c>
      <c r="J217" s="78" t="s">
        <v>59</v>
      </c>
      <c r="K217" s="83">
        <v>0.0513</v>
      </c>
      <c r="L217" s="82">
        <v>0</v>
      </c>
      <c r="M217" s="83">
        <f t="shared" si="12"/>
        <v>0.0513</v>
      </c>
      <c r="N217" s="84"/>
      <c r="O217" s="85">
        <f t="shared" si="13"/>
        <v>0</v>
      </c>
    </row>
    <row r="218" spans="6:15" s="70" customFormat="1" ht="12" customHeight="1" outlineLevel="1">
      <c r="F218" s="77">
        <v>192</v>
      </c>
      <c r="G218" s="78" t="s">
        <v>35</v>
      </c>
      <c r="H218" s="79" t="s">
        <v>1270</v>
      </c>
      <c r="I218" s="80" t="s">
        <v>1271</v>
      </c>
      <c r="J218" s="78" t="s">
        <v>43</v>
      </c>
      <c r="K218" s="83">
        <v>2</v>
      </c>
      <c r="L218" s="82">
        <v>0</v>
      </c>
      <c r="M218" s="83">
        <f t="shared" si="12"/>
        <v>2</v>
      </c>
      <c r="N218" s="84"/>
      <c r="O218" s="85">
        <f t="shared" si="13"/>
        <v>0</v>
      </c>
    </row>
    <row r="219" spans="6:15" s="70" customFormat="1" ht="12" customHeight="1" outlineLevel="1">
      <c r="F219" s="77">
        <v>193</v>
      </c>
      <c r="G219" s="78" t="s">
        <v>35</v>
      </c>
      <c r="H219" s="79" t="s">
        <v>399</v>
      </c>
      <c r="I219" s="80" t="s">
        <v>400</v>
      </c>
      <c r="J219" s="78" t="s">
        <v>43</v>
      </c>
      <c r="K219" s="83">
        <v>5</v>
      </c>
      <c r="L219" s="82">
        <v>0</v>
      </c>
      <c r="M219" s="83">
        <f t="shared" si="12"/>
        <v>5</v>
      </c>
      <c r="N219" s="84"/>
      <c r="O219" s="85">
        <f t="shared" si="13"/>
        <v>0</v>
      </c>
    </row>
    <row r="220" spans="6:15" s="70" customFormat="1" ht="12" customHeight="1" outlineLevel="1">
      <c r="F220" s="77">
        <v>194</v>
      </c>
      <c r="G220" s="78" t="s">
        <v>35</v>
      </c>
      <c r="H220" s="79" t="s">
        <v>411</v>
      </c>
      <c r="I220" s="80" t="s">
        <v>412</v>
      </c>
      <c r="J220" s="78" t="s">
        <v>43</v>
      </c>
      <c r="K220" s="83">
        <v>5</v>
      </c>
      <c r="L220" s="82">
        <v>0</v>
      </c>
      <c r="M220" s="83">
        <f t="shared" si="12"/>
        <v>5</v>
      </c>
      <c r="N220" s="84"/>
      <c r="O220" s="85">
        <f t="shared" si="13"/>
        <v>0</v>
      </c>
    </row>
    <row r="221" spans="6:15" s="70" customFormat="1" ht="12" customHeight="1" outlineLevel="1">
      <c r="F221" s="77">
        <v>195</v>
      </c>
      <c r="G221" s="78" t="s">
        <v>35</v>
      </c>
      <c r="H221" s="79" t="s">
        <v>413</v>
      </c>
      <c r="I221" s="80" t="s">
        <v>414</v>
      </c>
      <c r="J221" s="78" t="s">
        <v>43</v>
      </c>
      <c r="K221" s="83">
        <v>4</v>
      </c>
      <c r="L221" s="82">
        <v>0</v>
      </c>
      <c r="M221" s="83">
        <f t="shared" si="12"/>
        <v>4</v>
      </c>
      <c r="N221" s="84"/>
      <c r="O221" s="85">
        <f t="shared" si="13"/>
        <v>0</v>
      </c>
    </row>
    <row r="222" spans="6:15" s="70" customFormat="1" ht="12" customHeight="1" outlineLevel="1">
      <c r="F222" s="77">
        <v>196</v>
      </c>
      <c r="G222" s="78" t="s">
        <v>35</v>
      </c>
      <c r="H222" s="79" t="s">
        <v>415</v>
      </c>
      <c r="I222" s="80" t="s">
        <v>416</v>
      </c>
      <c r="J222" s="78" t="s">
        <v>43</v>
      </c>
      <c r="K222" s="83">
        <v>10</v>
      </c>
      <c r="L222" s="82">
        <v>0</v>
      </c>
      <c r="M222" s="83">
        <f t="shared" si="12"/>
        <v>10</v>
      </c>
      <c r="N222" s="84"/>
      <c r="O222" s="85">
        <f t="shared" si="13"/>
        <v>0</v>
      </c>
    </row>
    <row r="223" spans="6:15" s="70" customFormat="1" ht="12" customHeight="1" outlineLevel="1">
      <c r="F223" s="77">
        <v>197</v>
      </c>
      <c r="G223" s="78" t="s">
        <v>35</v>
      </c>
      <c r="H223" s="79" t="s">
        <v>417</v>
      </c>
      <c r="I223" s="80" t="s">
        <v>418</v>
      </c>
      <c r="J223" s="78" t="s">
        <v>69</v>
      </c>
      <c r="K223" s="83">
        <v>20</v>
      </c>
      <c r="L223" s="82">
        <v>0</v>
      </c>
      <c r="M223" s="83">
        <f t="shared" si="12"/>
        <v>20</v>
      </c>
      <c r="N223" s="84"/>
      <c r="O223" s="85">
        <f t="shared" si="13"/>
        <v>0</v>
      </c>
    </row>
    <row r="224" spans="6:15" s="70" customFormat="1" ht="12" customHeight="1" outlineLevel="1">
      <c r="F224" s="77">
        <v>198</v>
      </c>
      <c r="G224" s="78" t="s">
        <v>35</v>
      </c>
      <c r="H224" s="79" t="s">
        <v>419</v>
      </c>
      <c r="I224" s="124" t="s">
        <v>674</v>
      </c>
      <c r="J224" s="134" t="s">
        <v>313</v>
      </c>
      <c r="K224" s="81">
        <v>30</v>
      </c>
      <c r="L224" s="82">
        <v>0</v>
      </c>
      <c r="M224" s="83">
        <f t="shared" si="12"/>
        <v>30</v>
      </c>
      <c r="N224" s="84"/>
      <c r="O224" s="85">
        <f>K224*N224</f>
        <v>0</v>
      </c>
    </row>
    <row r="225" spans="6:15" s="62" customFormat="1" ht="12" customHeight="1" outlineLevel="2">
      <c r="F225" s="63"/>
      <c r="G225" s="64"/>
      <c r="H225" s="64"/>
      <c r="I225" s="65"/>
      <c r="J225" s="64"/>
      <c r="K225" s="118"/>
      <c r="L225" s="67"/>
      <c r="M225" s="68"/>
      <c r="N225" s="67"/>
      <c r="O225" s="69"/>
    </row>
    <row r="226" spans="6:15" s="70" customFormat="1" ht="16.5" customHeight="1" outlineLevel="1">
      <c r="F226" s="71"/>
      <c r="G226" s="50"/>
      <c r="H226" s="72"/>
      <c r="I226" s="72" t="s">
        <v>421</v>
      </c>
      <c r="J226" s="50"/>
      <c r="K226" s="73"/>
      <c r="L226" s="74"/>
      <c r="M226" s="75"/>
      <c r="N226" s="74"/>
      <c r="O226" s="8">
        <f>SUM(O227:O259)</f>
        <v>0</v>
      </c>
    </row>
    <row r="227" spans="6:15" s="70" customFormat="1" ht="12.75" customHeight="1" outlineLevel="1">
      <c r="F227" s="77">
        <v>199</v>
      </c>
      <c r="G227" s="78" t="s">
        <v>35</v>
      </c>
      <c r="H227" s="79" t="s">
        <v>422</v>
      </c>
      <c r="I227" s="80" t="s">
        <v>423</v>
      </c>
      <c r="J227" s="78" t="s">
        <v>69</v>
      </c>
      <c r="K227" s="83">
        <v>2</v>
      </c>
      <c r="L227" s="82">
        <v>0</v>
      </c>
      <c r="M227" s="83">
        <f aca="true" t="shared" si="14" ref="M227:M259">K227*(1+L227/100)</f>
        <v>2</v>
      </c>
      <c r="N227" s="84"/>
      <c r="O227" s="85">
        <f>M227*N227</f>
        <v>0</v>
      </c>
    </row>
    <row r="228" spans="6:15" s="70" customFormat="1" ht="12.75" customHeight="1" outlineLevel="1">
      <c r="F228" s="77">
        <v>200</v>
      </c>
      <c r="G228" s="78" t="s">
        <v>35</v>
      </c>
      <c r="H228" s="79" t="s">
        <v>424</v>
      </c>
      <c r="I228" s="80" t="s">
        <v>425</v>
      </c>
      <c r="J228" s="78" t="s">
        <v>69</v>
      </c>
      <c r="K228" s="83">
        <v>20</v>
      </c>
      <c r="L228" s="82">
        <v>0</v>
      </c>
      <c r="M228" s="83">
        <f t="shared" si="14"/>
        <v>20</v>
      </c>
      <c r="N228" s="84"/>
      <c r="O228" s="85">
        <f aca="true" t="shared" si="15" ref="O228:O258">M228*N228</f>
        <v>0</v>
      </c>
    </row>
    <row r="229" spans="6:15" s="70" customFormat="1" ht="12.75" customHeight="1" outlineLevel="1">
      <c r="F229" s="77">
        <v>201</v>
      </c>
      <c r="G229" s="78" t="s">
        <v>35</v>
      </c>
      <c r="H229" s="79" t="s">
        <v>426</v>
      </c>
      <c r="I229" s="80" t="s">
        <v>427</v>
      </c>
      <c r="J229" s="78" t="s">
        <v>69</v>
      </c>
      <c r="K229" s="83">
        <v>6</v>
      </c>
      <c r="L229" s="82">
        <v>0</v>
      </c>
      <c r="M229" s="83">
        <f t="shared" si="14"/>
        <v>6</v>
      </c>
      <c r="N229" s="84"/>
      <c r="O229" s="85">
        <f t="shared" si="15"/>
        <v>0</v>
      </c>
    </row>
    <row r="230" spans="6:15" s="70" customFormat="1" ht="12.75" customHeight="1" outlineLevel="1">
      <c r="F230" s="77">
        <v>202</v>
      </c>
      <c r="G230" s="78" t="s">
        <v>35</v>
      </c>
      <c r="H230" s="79" t="s">
        <v>430</v>
      </c>
      <c r="I230" s="80" t="s">
        <v>431</v>
      </c>
      <c r="J230" s="78" t="s">
        <v>69</v>
      </c>
      <c r="K230" s="83">
        <v>20</v>
      </c>
      <c r="L230" s="82">
        <v>0</v>
      </c>
      <c r="M230" s="83">
        <f t="shared" si="14"/>
        <v>20</v>
      </c>
      <c r="N230" s="84"/>
      <c r="O230" s="85">
        <f t="shared" si="15"/>
        <v>0</v>
      </c>
    </row>
    <row r="231" spans="6:15" s="70" customFormat="1" ht="12.75" customHeight="1" outlineLevel="1">
      <c r="F231" s="77">
        <v>203</v>
      </c>
      <c r="G231" s="78" t="s">
        <v>35</v>
      </c>
      <c r="H231" s="79" t="s">
        <v>432</v>
      </c>
      <c r="I231" s="80" t="s">
        <v>433</v>
      </c>
      <c r="J231" s="78" t="s">
        <v>69</v>
      </c>
      <c r="K231" s="83">
        <v>6</v>
      </c>
      <c r="L231" s="82">
        <v>0</v>
      </c>
      <c r="M231" s="83">
        <f t="shared" si="14"/>
        <v>6</v>
      </c>
      <c r="N231" s="84"/>
      <c r="O231" s="85">
        <f t="shared" si="15"/>
        <v>0</v>
      </c>
    </row>
    <row r="232" spans="6:15" s="70" customFormat="1" ht="12.75" customHeight="1" outlineLevel="1">
      <c r="F232" s="77">
        <v>204</v>
      </c>
      <c r="G232" s="78" t="s">
        <v>35</v>
      </c>
      <c r="H232" s="79" t="s">
        <v>434</v>
      </c>
      <c r="I232" s="80" t="s">
        <v>1272</v>
      </c>
      <c r="J232" s="78" t="s">
        <v>69</v>
      </c>
      <c r="K232" s="83">
        <v>2</v>
      </c>
      <c r="L232" s="82">
        <v>0</v>
      </c>
      <c r="M232" s="83">
        <f t="shared" si="14"/>
        <v>2</v>
      </c>
      <c r="N232" s="84"/>
      <c r="O232" s="85">
        <f t="shared" si="15"/>
        <v>0</v>
      </c>
    </row>
    <row r="233" spans="6:15" s="70" customFormat="1" ht="12.75" customHeight="1" outlineLevel="1">
      <c r="F233" s="77">
        <v>205</v>
      </c>
      <c r="G233" s="78" t="s">
        <v>35</v>
      </c>
      <c r="H233" s="79" t="s">
        <v>436</v>
      </c>
      <c r="I233" s="80" t="s">
        <v>1273</v>
      </c>
      <c r="J233" s="78" t="s">
        <v>69</v>
      </c>
      <c r="K233" s="83">
        <v>40</v>
      </c>
      <c r="L233" s="82">
        <v>0</v>
      </c>
      <c r="M233" s="83">
        <f t="shared" si="14"/>
        <v>40</v>
      </c>
      <c r="N233" s="84"/>
      <c r="O233" s="85">
        <f t="shared" si="15"/>
        <v>0</v>
      </c>
    </row>
    <row r="234" spans="6:15" s="70" customFormat="1" ht="12.75" customHeight="1" outlineLevel="1">
      <c r="F234" s="77">
        <v>206</v>
      </c>
      <c r="G234" s="78" t="s">
        <v>35</v>
      </c>
      <c r="H234" s="79" t="s">
        <v>438</v>
      </c>
      <c r="I234" s="80" t="s">
        <v>1274</v>
      </c>
      <c r="J234" s="78" t="s">
        <v>69</v>
      </c>
      <c r="K234" s="83">
        <v>12</v>
      </c>
      <c r="L234" s="82">
        <v>0</v>
      </c>
      <c r="M234" s="83">
        <f t="shared" si="14"/>
        <v>12</v>
      </c>
      <c r="N234" s="84"/>
      <c r="O234" s="85">
        <f t="shared" si="15"/>
        <v>0</v>
      </c>
    </row>
    <row r="235" spans="6:15" s="70" customFormat="1" ht="12.75" customHeight="1" outlineLevel="1">
      <c r="F235" s="77">
        <v>207</v>
      </c>
      <c r="G235" s="78" t="s">
        <v>35</v>
      </c>
      <c r="H235" s="79" t="s">
        <v>440</v>
      </c>
      <c r="I235" s="80" t="s">
        <v>441</v>
      </c>
      <c r="J235" s="78" t="s">
        <v>110</v>
      </c>
      <c r="K235" s="83">
        <v>4</v>
      </c>
      <c r="L235" s="82">
        <v>0</v>
      </c>
      <c r="M235" s="83">
        <f t="shared" si="14"/>
        <v>4</v>
      </c>
      <c r="N235" s="84"/>
      <c r="O235" s="85">
        <f t="shared" si="15"/>
        <v>0</v>
      </c>
    </row>
    <row r="236" spans="6:15" s="70" customFormat="1" ht="12.75" customHeight="1" outlineLevel="1">
      <c r="F236" s="77">
        <v>208</v>
      </c>
      <c r="G236" s="78" t="s">
        <v>35</v>
      </c>
      <c r="H236" s="79" t="s">
        <v>442</v>
      </c>
      <c r="I236" s="80" t="s">
        <v>443</v>
      </c>
      <c r="J236" s="78" t="s">
        <v>110</v>
      </c>
      <c r="K236" s="83">
        <v>4</v>
      </c>
      <c r="L236" s="82">
        <v>0</v>
      </c>
      <c r="M236" s="83">
        <f t="shared" si="14"/>
        <v>4</v>
      </c>
      <c r="N236" s="84"/>
      <c r="O236" s="85">
        <f t="shared" si="15"/>
        <v>0</v>
      </c>
    </row>
    <row r="237" spans="6:15" s="70" customFormat="1" ht="12.75" customHeight="1" outlineLevel="1">
      <c r="F237" s="77">
        <v>209</v>
      </c>
      <c r="G237" s="78" t="s">
        <v>35</v>
      </c>
      <c r="H237" s="79" t="s">
        <v>444</v>
      </c>
      <c r="I237" s="80" t="s">
        <v>445</v>
      </c>
      <c r="J237" s="78" t="s">
        <v>43</v>
      </c>
      <c r="K237" s="83">
        <v>21</v>
      </c>
      <c r="L237" s="82">
        <v>0</v>
      </c>
      <c r="M237" s="83">
        <f t="shared" si="14"/>
        <v>21</v>
      </c>
      <c r="N237" s="84"/>
      <c r="O237" s="85">
        <f t="shared" si="15"/>
        <v>0</v>
      </c>
    </row>
    <row r="238" spans="6:15" s="70" customFormat="1" ht="12.75" customHeight="1" outlineLevel="1">
      <c r="F238" s="77">
        <v>210</v>
      </c>
      <c r="G238" s="78" t="s">
        <v>35</v>
      </c>
      <c r="H238" s="79" t="s">
        <v>446</v>
      </c>
      <c r="I238" s="80" t="s">
        <v>447</v>
      </c>
      <c r="J238" s="78" t="s">
        <v>43</v>
      </c>
      <c r="K238" s="83">
        <v>12</v>
      </c>
      <c r="L238" s="82">
        <v>0</v>
      </c>
      <c r="M238" s="83">
        <f t="shared" si="14"/>
        <v>12</v>
      </c>
      <c r="N238" s="84"/>
      <c r="O238" s="85">
        <f t="shared" si="15"/>
        <v>0</v>
      </c>
    </row>
    <row r="239" spans="6:15" s="70" customFormat="1" ht="12.75" customHeight="1" outlineLevel="1">
      <c r="F239" s="77">
        <v>211</v>
      </c>
      <c r="G239" s="78" t="s">
        <v>35</v>
      </c>
      <c r="H239" s="79" t="s">
        <v>448</v>
      </c>
      <c r="I239" s="80" t="s">
        <v>449</v>
      </c>
      <c r="J239" s="78" t="s">
        <v>69</v>
      </c>
      <c r="K239" s="83">
        <v>54</v>
      </c>
      <c r="L239" s="82">
        <v>0</v>
      </c>
      <c r="M239" s="83">
        <f t="shared" si="14"/>
        <v>54</v>
      </c>
      <c r="N239" s="84"/>
      <c r="O239" s="85">
        <f t="shared" si="15"/>
        <v>0</v>
      </c>
    </row>
    <row r="240" spans="6:15" s="70" customFormat="1" ht="12.75" customHeight="1" outlineLevel="1">
      <c r="F240" s="77">
        <v>212</v>
      </c>
      <c r="G240" s="78" t="s">
        <v>35</v>
      </c>
      <c r="H240" s="79" t="s">
        <v>450</v>
      </c>
      <c r="I240" s="80" t="s">
        <v>451</v>
      </c>
      <c r="J240" s="78" t="s">
        <v>69</v>
      </c>
      <c r="K240" s="83">
        <v>54</v>
      </c>
      <c r="L240" s="82">
        <v>0</v>
      </c>
      <c r="M240" s="83">
        <f t="shared" si="14"/>
        <v>54</v>
      </c>
      <c r="N240" s="84"/>
      <c r="O240" s="85">
        <f t="shared" si="15"/>
        <v>0</v>
      </c>
    </row>
    <row r="241" spans="6:15" s="70" customFormat="1" ht="12.75" customHeight="1" outlineLevel="1">
      <c r="F241" s="77">
        <v>213</v>
      </c>
      <c r="G241" s="78" t="s">
        <v>35</v>
      </c>
      <c r="H241" s="79" t="s">
        <v>452</v>
      </c>
      <c r="I241" s="80" t="s">
        <v>453</v>
      </c>
      <c r="J241" s="78" t="s">
        <v>59</v>
      </c>
      <c r="K241" s="83">
        <v>0.3428</v>
      </c>
      <c r="L241" s="82">
        <v>0</v>
      </c>
      <c r="M241" s="83">
        <f t="shared" si="14"/>
        <v>0.3428</v>
      </c>
      <c r="N241" s="84"/>
      <c r="O241" s="85">
        <f t="shared" si="15"/>
        <v>0</v>
      </c>
    </row>
    <row r="242" spans="6:15" s="70" customFormat="1" ht="12.75" customHeight="1" outlineLevel="1">
      <c r="F242" s="77">
        <v>214</v>
      </c>
      <c r="G242" s="78" t="s">
        <v>35</v>
      </c>
      <c r="H242" s="79" t="s">
        <v>454</v>
      </c>
      <c r="I242" s="80" t="s">
        <v>455</v>
      </c>
      <c r="J242" s="78" t="s">
        <v>217</v>
      </c>
      <c r="K242" s="83">
        <v>10</v>
      </c>
      <c r="L242" s="82">
        <v>0</v>
      </c>
      <c r="M242" s="83">
        <f t="shared" si="14"/>
        <v>10</v>
      </c>
      <c r="N242" s="84"/>
      <c r="O242" s="85">
        <f t="shared" si="15"/>
        <v>0</v>
      </c>
    </row>
    <row r="243" spans="6:15" s="70" customFormat="1" ht="12.75" customHeight="1" outlineLevel="1">
      <c r="F243" s="77">
        <v>215</v>
      </c>
      <c r="G243" s="78" t="s">
        <v>35</v>
      </c>
      <c r="H243" s="79" t="s">
        <v>456</v>
      </c>
      <c r="I243" s="80" t="s">
        <v>457</v>
      </c>
      <c r="J243" s="78" t="s">
        <v>43</v>
      </c>
      <c r="K243" s="83">
        <v>13</v>
      </c>
      <c r="L243" s="82">
        <v>0</v>
      </c>
      <c r="M243" s="83">
        <f t="shared" si="14"/>
        <v>13</v>
      </c>
      <c r="N243" s="84"/>
      <c r="O243" s="85">
        <f t="shared" si="15"/>
        <v>0</v>
      </c>
    </row>
    <row r="244" spans="6:15" s="70" customFormat="1" ht="12.75" customHeight="1" outlineLevel="1">
      <c r="F244" s="77">
        <v>216</v>
      </c>
      <c r="G244" s="78" t="s">
        <v>35</v>
      </c>
      <c r="H244" s="79" t="s">
        <v>458</v>
      </c>
      <c r="I244" s="80" t="s">
        <v>459</v>
      </c>
      <c r="J244" s="78" t="s">
        <v>43</v>
      </c>
      <c r="K244" s="83">
        <v>2</v>
      </c>
      <c r="L244" s="82">
        <v>0</v>
      </c>
      <c r="M244" s="83">
        <f t="shared" si="14"/>
        <v>2</v>
      </c>
      <c r="N244" s="84"/>
      <c r="O244" s="85">
        <f t="shared" si="15"/>
        <v>0</v>
      </c>
    </row>
    <row r="245" spans="6:15" s="70" customFormat="1" ht="12.75" customHeight="1" outlineLevel="1">
      <c r="F245" s="77">
        <v>217</v>
      </c>
      <c r="G245" s="78" t="s">
        <v>35</v>
      </c>
      <c r="H245" s="79" t="s">
        <v>460</v>
      </c>
      <c r="I245" s="80" t="s">
        <v>461</v>
      </c>
      <c r="J245" s="78" t="s">
        <v>43</v>
      </c>
      <c r="K245" s="83">
        <v>10</v>
      </c>
      <c r="L245" s="82">
        <v>0</v>
      </c>
      <c r="M245" s="83">
        <f t="shared" si="14"/>
        <v>10</v>
      </c>
      <c r="N245" s="84"/>
      <c r="O245" s="85">
        <f t="shared" si="15"/>
        <v>0</v>
      </c>
    </row>
    <row r="246" spans="6:15" s="70" customFormat="1" ht="12.75" customHeight="1" outlineLevel="1">
      <c r="F246" s="77">
        <v>218</v>
      </c>
      <c r="G246" s="78" t="s">
        <v>35</v>
      </c>
      <c r="H246" s="79" t="s">
        <v>462</v>
      </c>
      <c r="I246" s="80" t="s">
        <v>463</v>
      </c>
      <c r="J246" s="78" t="s">
        <v>43</v>
      </c>
      <c r="K246" s="83">
        <v>20</v>
      </c>
      <c r="L246" s="82">
        <v>0</v>
      </c>
      <c r="M246" s="83">
        <f t="shared" si="14"/>
        <v>20</v>
      </c>
      <c r="N246" s="84"/>
      <c r="O246" s="85">
        <f t="shared" si="15"/>
        <v>0</v>
      </c>
    </row>
    <row r="247" spans="6:15" s="70" customFormat="1" ht="12.75" customHeight="1" outlineLevel="1">
      <c r="F247" s="77">
        <v>219</v>
      </c>
      <c r="G247" s="78" t="s">
        <v>35</v>
      </c>
      <c r="H247" s="79" t="s">
        <v>464</v>
      </c>
      <c r="I247" s="80" t="s">
        <v>465</v>
      </c>
      <c r="J247" s="78" t="s">
        <v>43</v>
      </c>
      <c r="K247" s="83">
        <v>10</v>
      </c>
      <c r="L247" s="82">
        <v>0</v>
      </c>
      <c r="M247" s="83">
        <f t="shared" si="14"/>
        <v>10</v>
      </c>
      <c r="N247" s="84"/>
      <c r="O247" s="85">
        <f t="shared" si="15"/>
        <v>0</v>
      </c>
    </row>
    <row r="248" spans="6:15" s="70" customFormat="1" ht="12.75" customHeight="1" outlineLevel="1">
      <c r="F248" s="77">
        <v>220</v>
      </c>
      <c r="G248" s="78" t="s">
        <v>35</v>
      </c>
      <c r="H248" s="79" t="s">
        <v>466</v>
      </c>
      <c r="I248" s="80" t="s">
        <v>467</v>
      </c>
      <c r="J248" s="78" t="s">
        <v>43</v>
      </c>
      <c r="K248" s="83">
        <v>6</v>
      </c>
      <c r="L248" s="82">
        <v>0</v>
      </c>
      <c r="M248" s="83">
        <f t="shared" si="14"/>
        <v>6</v>
      </c>
      <c r="N248" s="84"/>
      <c r="O248" s="85">
        <f t="shared" si="15"/>
        <v>0</v>
      </c>
    </row>
    <row r="249" spans="6:15" s="70" customFormat="1" ht="12.75" customHeight="1" outlineLevel="1">
      <c r="F249" s="77">
        <v>221</v>
      </c>
      <c r="G249" s="78" t="s">
        <v>35</v>
      </c>
      <c r="H249" s="79" t="s">
        <v>468</v>
      </c>
      <c r="I249" s="80" t="s">
        <v>469</v>
      </c>
      <c r="J249" s="78" t="s">
        <v>43</v>
      </c>
      <c r="K249" s="83">
        <v>8</v>
      </c>
      <c r="L249" s="82">
        <v>0</v>
      </c>
      <c r="M249" s="83">
        <f t="shared" si="14"/>
        <v>8</v>
      </c>
      <c r="N249" s="84"/>
      <c r="O249" s="85">
        <f t="shared" si="15"/>
        <v>0</v>
      </c>
    </row>
    <row r="250" spans="6:15" s="70" customFormat="1" ht="12.75" customHeight="1" outlineLevel="1">
      <c r="F250" s="77">
        <v>222</v>
      </c>
      <c r="G250" s="78" t="s">
        <v>35</v>
      </c>
      <c r="H250" s="79" t="s">
        <v>470</v>
      </c>
      <c r="I250" s="80" t="s">
        <v>471</v>
      </c>
      <c r="J250" s="78" t="s">
        <v>43</v>
      </c>
      <c r="K250" s="83">
        <v>8</v>
      </c>
      <c r="L250" s="82">
        <v>0</v>
      </c>
      <c r="M250" s="83">
        <f t="shared" si="14"/>
        <v>8</v>
      </c>
      <c r="N250" s="84"/>
      <c r="O250" s="85">
        <f t="shared" si="15"/>
        <v>0</v>
      </c>
    </row>
    <row r="251" spans="6:15" s="70" customFormat="1" ht="12.75" customHeight="1" outlineLevel="1">
      <c r="F251" s="77">
        <v>223</v>
      </c>
      <c r="G251" s="78" t="s">
        <v>35</v>
      </c>
      <c r="H251" s="79" t="s">
        <v>472</v>
      </c>
      <c r="I251" s="80" t="s">
        <v>473</v>
      </c>
      <c r="J251" s="78" t="s">
        <v>43</v>
      </c>
      <c r="K251" s="83">
        <v>4</v>
      </c>
      <c r="L251" s="82">
        <v>0</v>
      </c>
      <c r="M251" s="83">
        <f t="shared" si="14"/>
        <v>4</v>
      </c>
      <c r="N251" s="84"/>
      <c r="O251" s="85">
        <f t="shared" si="15"/>
        <v>0</v>
      </c>
    </row>
    <row r="252" spans="6:15" s="70" customFormat="1" ht="12.75" customHeight="1" outlineLevel="1">
      <c r="F252" s="77">
        <v>224</v>
      </c>
      <c r="G252" s="78" t="s">
        <v>35</v>
      </c>
      <c r="H252" s="79" t="s">
        <v>474</v>
      </c>
      <c r="I252" s="80" t="s">
        <v>475</v>
      </c>
      <c r="J252" s="78" t="s">
        <v>43</v>
      </c>
      <c r="K252" s="83">
        <v>12</v>
      </c>
      <c r="L252" s="82">
        <v>0</v>
      </c>
      <c r="M252" s="83">
        <f t="shared" si="14"/>
        <v>12</v>
      </c>
      <c r="N252" s="84"/>
      <c r="O252" s="85">
        <f t="shared" si="15"/>
        <v>0</v>
      </c>
    </row>
    <row r="253" spans="6:15" s="70" customFormat="1" ht="12.75" customHeight="1" outlineLevel="1">
      <c r="F253" s="77">
        <v>225</v>
      </c>
      <c r="G253" s="78" t="s">
        <v>35</v>
      </c>
      <c r="H253" s="79" t="s">
        <v>1275</v>
      </c>
      <c r="I253" s="80" t="s">
        <v>1276</v>
      </c>
      <c r="J253" s="78" t="s">
        <v>43</v>
      </c>
      <c r="K253" s="83">
        <v>8</v>
      </c>
      <c r="L253" s="82">
        <v>0</v>
      </c>
      <c r="M253" s="83">
        <f t="shared" si="14"/>
        <v>8</v>
      </c>
      <c r="N253" s="84"/>
      <c r="O253" s="85">
        <f t="shared" si="15"/>
        <v>0</v>
      </c>
    </row>
    <row r="254" spans="6:15" s="70" customFormat="1" ht="12.75" customHeight="1" outlineLevel="1">
      <c r="F254" s="77">
        <v>226</v>
      </c>
      <c r="G254" s="78" t="s">
        <v>35</v>
      </c>
      <c r="H254" s="79" t="s">
        <v>1277</v>
      </c>
      <c r="I254" s="80" t="s">
        <v>1278</v>
      </c>
      <c r="J254" s="78" t="s">
        <v>43</v>
      </c>
      <c r="K254" s="83">
        <v>8</v>
      </c>
      <c r="L254" s="82">
        <v>0</v>
      </c>
      <c r="M254" s="83">
        <f t="shared" si="14"/>
        <v>8</v>
      </c>
      <c r="N254" s="84"/>
      <c r="O254" s="85">
        <f t="shared" si="15"/>
        <v>0</v>
      </c>
    </row>
    <row r="255" spans="6:15" s="70" customFormat="1" ht="12.75" customHeight="1" outlineLevel="1">
      <c r="F255" s="77">
        <v>227</v>
      </c>
      <c r="G255" s="78" t="s">
        <v>35</v>
      </c>
      <c r="H255" s="79" t="s">
        <v>476</v>
      </c>
      <c r="I255" s="80" t="s">
        <v>477</v>
      </c>
      <c r="J255" s="78" t="s">
        <v>43</v>
      </c>
      <c r="K255" s="83">
        <v>12</v>
      </c>
      <c r="L255" s="82">
        <v>0</v>
      </c>
      <c r="M255" s="83">
        <f t="shared" si="14"/>
        <v>12</v>
      </c>
      <c r="N255" s="84"/>
      <c r="O255" s="85">
        <f t="shared" si="15"/>
        <v>0</v>
      </c>
    </row>
    <row r="256" spans="6:15" s="70" customFormat="1" ht="12.75" customHeight="1" outlineLevel="1">
      <c r="F256" s="77">
        <v>228</v>
      </c>
      <c r="G256" s="78" t="s">
        <v>35</v>
      </c>
      <c r="H256" s="79" t="s">
        <v>478</v>
      </c>
      <c r="I256" s="80" t="s">
        <v>479</v>
      </c>
      <c r="J256" s="78" t="s">
        <v>69</v>
      </c>
      <c r="K256" s="83">
        <v>30</v>
      </c>
      <c r="L256" s="82">
        <v>0</v>
      </c>
      <c r="M256" s="83">
        <f t="shared" si="14"/>
        <v>30</v>
      </c>
      <c r="N256" s="84"/>
      <c r="O256" s="85">
        <f t="shared" si="15"/>
        <v>0</v>
      </c>
    </row>
    <row r="257" spans="6:15" s="70" customFormat="1" ht="12.75" customHeight="1" outlineLevel="1">
      <c r="F257" s="77">
        <v>229</v>
      </c>
      <c r="G257" s="78" t="s">
        <v>35</v>
      </c>
      <c r="H257" s="79" t="s">
        <v>480</v>
      </c>
      <c r="I257" s="80" t="s">
        <v>481</v>
      </c>
      <c r="J257" s="78" t="s">
        <v>69</v>
      </c>
      <c r="K257" s="83">
        <v>30</v>
      </c>
      <c r="L257" s="82">
        <v>0</v>
      </c>
      <c r="M257" s="83">
        <f t="shared" si="14"/>
        <v>30</v>
      </c>
      <c r="N257" s="84"/>
      <c r="O257" s="85">
        <f t="shared" si="15"/>
        <v>0</v>
      </c>
    </row>
    <row r="258" spans="6:15" s="70" customFormat="1" ht="12.75" customHeight="1" outlineLevel="1">
      <c r="F258" s="77">
        <v>230</v>
      </c>
      <c r="G258" s="78" t="s">
        <v>35</v>
      </c>
      <c r="H258" s="79" t="s">
        <v>482</v>
      </c>
      <c r="I258" s="80" t="s">
        <v>483</v>
      </c>
      <c r="J258" s="78" t="s">
        <v>59</v>
      </c>
      <c r="K258" s="83">
        <v>0.0153</v>
      </c>
      <c r="L258" s="82">
        <v>0</v>
      </c>
      <c r="M258" s="83">
        <f t="shared" si="14"/>
        <v>0.0153</v>
      </c>
      <c r="N258" s="84"/>
      <c r="O258" s="85">
        <f t="shared" si="15"/>
        <v>0</v>
      </c>
    </row>
    <row r="259" spans="6:15" s="70" customFormat="1" ht="12.75" customHeight="1" outlineLevel="1">
      <c r="F259" s="77">
        <v>231</v>
      </c>
      <c r="G259" s="78" t="s">
        <v>35</v>
      </c>
      <c r="H259" s="79" t="s">
        <v>419</v>
      </c>
      <c r="I259" s="124" t="s">
        <v>674</v>
      </c>
      <c r="J259" s="134" t="s">
        <v>313</v>
      </c>
      <c r="K259" s="81">
        <v>30</v>
      </c>
      <c r="L259" s="82">
        <v>0</v>
      </c>
      <c r="M259" s="83">
        <f t="shared" si="14"/>
        <v>30</v>
      </c>
      <c r="N259" s="84"/>
      <c r="O259" s="85">
        <f>K259*N259</f>
        <v>0</v>
      </c>
    </row>
    <row r="260" spans="6:15" s="70" customFormat="1" ht="12.75" customHeight="1" outlineLevel="1">
      <c r="F260" s="98"/>
      <c r="G260" s="99"/>
      <c r="H260" s="92"/>
      <c r="I260" s="113"/>
      <c r="J260" s="99"/>
      <c r="K260" s="235"/>
      <c r="L260" s="90"/>
      <c r="M260" s="91"/>
      <c r="N260" s="117"/>
      <c r="O260" s="115"/>
    </row>
    <row r="261" spans="6:15" s="70" customFormat="1" ht="16.5" customHeight="1" outlineLevel="1">
      <c r="F261" s="98"/>
      <c r="G261" s="99"/>
      <c r="H261" s="92"/>
      <c r="I261" s="72" t="s">
        <v>7</v>
      </c>
      <c r="J261" s="99"/>
      <c r="K261" s="235"/>
      <c r="L261" s="90"/>
      <c r="M261" s="91"/>
      <c r="N261" s="90"/>
      <c r="O261" s="8">
        <f>SUM(O262:O284)</f>
        <v>0</v>
      </c>
    </row>
    <row r="262" spans="6:15" s="70" customFormat="1" ht="12.75" customHeight="1" outlineLevel="1">
      <c r="F262" s="77">
        <v>232</v>
      </c>
      <c r="G262" s="78" t="s">
        <v>35</v>
      </c>
      <c r="H262" s="79" t="s">
        <v>484</v>
      </c>
      <c r="I262" s="80" t="s">
        <v>1279</v>
      </c>
      <c r="J262" s="78" t="s">
        <v>110</v>
      </c>
      <c r="K262" s="83">
        <v>5</v>
      </c>
      <c r="L262" s="82">
        <v>0</v>
      </c>
      <c r="M262" s="83">
        <f aca="true" t="shared" si="16" ref="M262:M284">K262*(1+L262/100)</f>
        <v>5</v>
      </c>
      <c r="N262" s="84"/>
      <c r="O262" s="85">
        <f>M262*N262</f>
        <v>0</v>
      </c>
    </row>
    <row r="263" spans="6:15" s="70" customFormat="1" ht="12.75" customHeight="1" outlineLevel="1">
      <c r="F263" s="77">
        <v>233</v>
      </c>
      <c r="G263" s="78" t="s">
        <v>35</v>
      </c>
      <c r="H263" s="79" t="s">
        <v>1280</v>
      </c>
      <c r="I263" s="80" t="s">
        <v>1281</v>
      </c>
      <c r="J263" s="78" t="s">
        <v>110</v>
      </c>
      <c r="K263" s="83">
        <v>3</v>
      </c>
      <c r="L263" s="82">
        <v>0</v>
      </c>
      <c r="M263" s="83">
        <f t="shared" si="16"/>
        <v>3</v>
      </c>
      <c r="N263" s="84"/>
      <c r="O263" s="85">
        <f aca="true" t="shared" si="17" ref="O263:O284">M263*N263</f>
        <v>0</v>
      </c>
    </row>
    <row r="264" spans="6:15" s="70" customFormat="1" ht="12.75" customHeight="1" outlineLevel="1">
      <c r="F264" s="77">
        <v>234</v>
      </c>
      <c r="G264" s="78" t="s">
        <v>35</v>
      </c>
      <c r="H264" s="79" t="s">
        <v>1282</v>
      </c>
      <c r="I264" s="80" t="s">
        <v>1283</v>
      </c>
      <c r="J264" s="78" t="s">
        <v>110</v>
      </c>
      <c r="K264" s="83">
        <v>1</v>
      </c>
      <c r="L264" s="82">
        <v>0</v>
      </c>
      <c r="M264" s="83">
        <f t="shared" si="16"/>
        <v>1</v>
      </c>
      <c r="N264" s="84"/>
      <c r="O264" s="85">
        <f t="shared" si="17"/>
        <v>0</v>
      </c>
    </row>
    <row r="265" spans="6:15" s="70" customFormat="1" ht="12.75" customHeight="1" outlineLevel="1">
      <c r="F265" s="77">
        <v>235</v>
      </c>
      <c r="G265" s="78" t="s">
        <v>35</v>
      </c>
      <c r="H265" s="79" t="s">
        <v>503</v>
      </c>
      <c r="I265" s="80" t="s">
        <v>504</v>
      </c>
      <c r="J265" s="78" t="s">
        <v>110</v>
      </c>
      <c r="K265" s="83">
        <v>4</v>
      </c>
      <c r="L265" s="82">
        <v>0</v>
      </c>
      <c r="M265" s="83">
        <f t="shared" si="16"/>
        <v>4</v>
      </c>
      <c r="N265" s="84"/>
      <c r="O265" s="85">
        <f t="shared" si="17"/>
        <v>0</v>
      </c>
    </row>
    <row r="266" spans="6:15" s="70" customFormat="1" ht="12.75" customHeight="1" outlineLevel="1">
      <c r="F266" s="77">
        <v>236</v>
      </c>
      <c r="G266" s="78" t="s">
        <v>35</v>
      </c>
      <c r="H266" s="79" t="s">
        <v>505</v>
      </c>
      <c r="I266" s="80" t="s">
        <v>1284</v>
      </c>
      <c r="J266" s="78" t="s">
        <v>217</v>
      </c>
      <c r="K266" s="83">
        <v>4</v>
      </c>
      <c r="L266" s="82">
        <v>0</v>
      </c>
      <c r="M266" s="83">
        <f t="shared" si="16"/>
        <v>4</v>
      </c>
      <c r="N266" s="84"/>
      <c r="O266" s="85">
        <f t="shared" si="17"/>
        <v>0</v>
      </c>
    </row>
    <row r="267" spans="6:15" s="70" customFormat="1" ht="12.75" customHeight="1" outlineLevel="1">
      <c r="F267" s="77">
        <v>237</v>
      </c>
      <c r="G267" s="78" t="s">
        <v>35</v>
      </c>
      <c r="H267" s="79" t="s">
        <v>1285</v>
      </c>
      <c r="I267" s="80" t="s">
        <v>1286</v>
      </c>
      <c r="J267" s="78" t="s">
        <v>43</v>
      </c>
      <c r="K267" s="83">
        <v>4</v>
      </c>
      <c r="L267" s="82">
        <v>0</v>
      </c>
      <c r="M267" s="83">
        <f t="shared" si="16"/>
        <v>4</v>
      </c>
      <c r="N267" s="84"/>
      <c r="O267" s="85">
        <f t="shared" si="17"/>
        <v>0</v>
      </c>
    </row>
    <row r="268" spans="6:15" s="70" customFormat="1" ht="12.75" customHeight="1" outlineLevel="1">
      <c r="F268" s="77">
        <v>238</v>
      </c>
      <c r="G268" s="78" t="s">
        <v>35</v>
      </c>
      <c r="H268" s="79" t="s">
        <v>1287</v>
      </c>
      <c r="I268" s="80" t="s">
        <v>1288</v>
      </c>
      <c r="J268" s="78" t="s">
        <v>43</v>
      </c>
      <c r="K268" s="83">
        <v>4</v>
      </c>
      <c r="L268" s="82">
        <v>0</v>
      </c>
      <c r="M268" s="83">
        <f t="shared" si="16"/>
        <v>4</v>
      </c>
      <c r="N268" s="84"/>
      <c r="O268" s="85">
        <f t="shared" si="17"/>
        <v>0</v>
      </c>
    </row>
    <row r="269" spans="6:15" s="70" customFormat="1" ht="12.75" customHeight="1" outlineLevel="1">
      <c r="F269" s="77">
        <v>239</v>
      </c>
      <c r="G269" s="78" t="s">
        <v>35</v>
      </c>
      <c r="H269" s="79" t="s">
        <v>517</v>
      </c>
      <c r="I269" s="80" t="s">
        <v>518</v>
      </c>
      <c r="J269" s="78" t="s">
        <v>217</v>
      </c>
      <c r="K269" s="83">
        <v>8</v>
      </c>
      <c r="L269" s="82">
        <v>0</v>
      </c>
      <c r="M269" s="83">
        <f t="shared" si="16"/>
        <v>8</v>
      </c>
      <c r="N269" s="84"/>
      <c r="O269" s="85">
        <f t="shared" si="17"/>
        <v>0</v>
      </c>
    </row>
    <row r="270" spans="6:15" s="70" customFormat="1" ht="12.75" customHeight="1" outlineLevel="1">
      <c r="F270" s="77">
        <v>240</v>
      </c>
      <c r="G270" s="78" t="s">
        <v>35</v>
      </c>
      <c r="H270" s="79" t="s">
        <v>519</v>
      </c>
      <c r="I270" s="80" t="s">
        <v>520</v>
      </c>
      <c r="J270" s="78" t="s">
        <v>217</v>
      </c>
      <c r="K270" s="83">
        <v>8</v>
      </c>
      <c r="L270" s="82">
        <v>0</v>
      </c>
      <c r="M270" s="83">
        <f t="shared" si="16"/>
        <v>8</v>
      </c>
      <c r="N270" s="84"/>
      <c r="O270" s="85">
        <f t="shared" si="17"/>
        <v>0</v>
      </c>
    </row>
    <row r="271" spans="6:15" s="70" customFormat="1" ht="12.75" customHeight="1" outlineLevel="1">
      <c r="F271" s="77">
        <v>241</v>
      </c>
      <c r="G271" s="78" t="s">
        <v>35</v>
      </c>
      <c r="H271" s="79" t="s">
        <v>521</v>
      </c>
      <c r="I271" s="80" t="s">
        <v>522</v>
      </c>
      <c r="J271" s="78" t="s">
        <v>43</v>
      </c>
      <c r="K271" s="83">
        <v>6</v>
      </c>
      <c r="L271" s="82">
        <v>0</v>
      </c>
      <c r="M271" s="83">
        <f t="shared" si="16"/>
        <v>6</v>
      </c>
      <c r="N271" s="84"/>
      <c r="O271" s="85">
        <f t="shared" si="17"/>
        <v>0</v>
      </c>
    </row>
    <row r="272" spans="6:15" s="70" customFormat="1" ht="12.75" customHeight="1" outlineLevel="1">
      <c r="F272" s="77">
        <v>242</v>
      </c>
      <c r="G272" s="78" t="s">
        <v>35</v>
      </c>
      <c r="H272" s="79" t="s">
        <v>523</v>
      </c>
      <c r="I272" s="80" t="s">
        <v>524</v>
      </c>
      <c r="J272" s="78" t="s">
        <v>217</v>
      </c>
      <c r="K272" s="83">
        <v>1</v>
      </c>
      <c r="L272" s="82">
        <v>0</v>
      </c>
      <c r="M272" s="83">
        <f t="shared" si="16"/>
        <v>1</v>
      </c>
      <c r="N272" s="84"/>
      <c r="O272" s="85">
        <f t="shared" si="17"/>
        <v>0</v>
      </c>
    </row>
    <row r="273" spans="6:15" s="70" customFormat="1" ht="12.75" customHeight="1" outlineLevel="1">
      <c r="F273" s="77">
        <v>243</v>
      </c>
      <c r="G273" s="78" t="s">
        <v>35</v>
      </c>
      <c r="H273" s="79" t="s">
        <v>525</v>
      </c>
      <c r="I273" s="80" t="s">
        <v>526</v>
      </c>
      <c r="J273" s="78" t="s">
        <v>217</v>
      </c>
      <c r="K273" s="83">
        <v>5</v>
      </c>
      <c r="L273" s="82">
        <v>0</v>
      </c>
      <c r="M273" s="83">
        <f t="shared" si="16"/>
        <v>5</v>
      </c>
      <c r="N273" s="84"/>
      <c r="O273" s="85">
        <f t="shared" si="17"/>
        <v>0</v>
      </c>
    </row>
    <row r="274" spans="6:15" s="70" customFormat="1" ht="12.75" customHeight="1" outlineLevel="1">
      <c r="F274" s="77">
        <v>244</v>
      </c>
      <c r="G274" s="78" t="s">
        <v>35</v>
      </c>
      <c r="H274" s="79" t="s">
        <v>533</v>
      </c>
      <c r="I274" s="80" t="s">
        <v>534</v>
      </c>
      <c r="J274" s="78" t="s">
        <v>43</v>
      </c>
      <c r="K274" s="83">
        <v>4</v>
      </c>
      <c r="L274" s="82">
        <v>0</v>
      </c>
      <c r="M274" s="83">
        <f t="shared" si="16"/>
        <v>4</v>
      </c>
      <c r="N274" s="84"/>
      <c r="O274" s="85">
        <f t="shared" si="17"/>
        <v>0</v>
      </c>
    </row>
    <row r="275" spans="6:15" s="70" customFormat="1" ht="12.75" customHeight="1" outlineLevel="1">
      <c r="F275" s="77">
        <v>245</v>
      </c>
      <c r="G275" s="78" t="s">
        <v>35</v>
      </c>
      <c r="H275" s="79" t="s">
        <v>535</v>
      </c>
      <c r="I275" s="80" t="s">
        <v>536</v>
      </c>
      <c r="J275" s="78" t="s">
        <v>217</v>
      </c>
      <c r="K275" s="83">
        <v>1</v>
      </c>
      <c r="L275" s="82">
        <v>0</v>
      </c>
      <c r="M275" s="83">
        <f t="shared" si="16"/>
        <v>1</v>
      </c>
      <c r="N275" s="84"/>
      <c r="O275" s="85">
        <f t="shared" si="17"/>
        <v>0</v>
      </c>
    </row>
    <row r="276" spans="6:15" s="70" customFormat="1" ht="22.8" outlineLevel="1">
      <c r="F276" s="77">
        <v>246</v>
      </c>
      <c r="G276" s="78" t="s">
        <v>35</v>
      </c>
      <c r="H276" s="79" t="s">
        <v>537</v>
      </c>
      <c r="I276" s="80" t="s">
        <v>538</v>
      </c>
      <c r="J276" s="78" t="s">
        <v>43</v>
      </c>
      <c r="K276" s="83">
        <v>5</v>
      </c>
      <c r="L276" s="82">
        <v>0</v>
      </c>
      <c r="M276" s="83">
        <f t="shared" si="16"/>
        <v>5</v>
      </c>
      <c r="N276" s="84"/>
      <c r="O276" s="85">
        <f t="shared" si="17"/>
        <v>0</v>
      </c>
    </row>
    <row r="277" spans="6:15" s="70" customFormat="1" ht="12.75" customHeight="1" outlineLevel="1">
      <c r="F277" s="77">
        <v>247</v>
      </c>
      <c r="G277" s="78" t="s">
        <v>35</v>
      </c>
      <c r="H277" s="79" t="s">
        <v>539</v>
      </c>
      <c r="I277" s="80" t="s">
        <v>540</v>
      </c>
      <c r="J277" s="78" t="s">
        <v>43</v>
      </c>
      <c r="K277" s="83">
        <v>4</v>
      </c>
      <c r="L277" s="82">
        <v>0</v>
      </c>
      <c r="M277" s="83">
        <f t="shared" si="16"/>
        <v>4</v>
      </c>
      <c r="N277" s="84"/>
      <c r="O277" s="85">
        <f t="shared" si="17"/>
        <v>0</v>
      </c>
    </row>
    <row r="278" spans="6:15" s="70" customFormat="1" ht="12.75" customHeight="1" outlineLevel="1">
      <c r="F278" s="77">
        <v>248</v>
      </c>
      <c r="G278" s="78" t="s">
        <v>35</v>
      </c>
      <c r="H278" s="79" t="s">
        <v>541</v>
      </c>
      <c r="I278" s="80" t="s">
        <v>542</v>
      </c>
      <c r="J278" s="78" t="s">
        <v>59</v>
      </c>
      <c r="K278" s="83">
        <v>0.22</v>
      </c>
      <c r="L278" s="82">
        <v>0</v>
      </c>
      <c r="M278" s="83">
        <f t="shared" si="16"/>
        <v>0.22</v>
      </c>
      <c r="N278" s="84"/>
      <c r="O278" s="85">
        <f t="shared" si="17"/>
        <v>0</v>
      </c>
    </row>
    <row r="279" spans="6:15" s="70" customFormat="1" ht="12.75" customHeight="1" outlineLevel="1">
      <c r="F279" s="77">
        <v>249</v>
      </c>
      <c r="G279" s="78" t="s">
        <v>35</v>
      </c>
      <c r="H279" s="79" t="s">
        <v>543</v>
      </c>
      <c r="I279" s="80" t="s">
        <v>544</v>
      </c>
      <c r="J279" s="78" t="s">
        <v>110</v>
      </c>
      <c r="K279" s="83">
        <v>4</v>
      </c>
      <c r="L279" s="82">
        <v>0</v>
      </c>
      <c r="M279" s="83">
        <f t="shared" si="16"/>
        <v>4</v>
      </c>
      <c r="N279" s="84"/>
      <c r="O279" s="85">
        <f t="shared" si="17"/>
        <v>0</v>
      </c>
    </row>
    <row r="280" spans="6:15" s="70" customFormat="1" ht="12.75" customHeight="1" outlineLevel="1">
      <c r="F280" s="77">
        <v>250</v>
      </c>
      <c r="G280" s="78" t="s">
        <v>35</v>
      </c>
      <c r="H280" s="79" t="s">
        <v>545</v>
      </c>
      <c r="I280" s="80" t="s">
        <v>546</v>
      </c>
      <c r="J280" s="78" t="s">
        <v>110</v>
      </c>
      <c r="K280" s="83">
        <v>7</v>
      </c>
      <c r="L280" s="82">
        <v>0</v>
      </c>
      <c r="M280" s="83">
        <f t="shared" si="16"/>
        <v>7</v>
      </c>
      <c r="N280" s="84"/>
      <c r="O280" s="85">
        <f t="shared" si="17"/>
        <v>0</v>
      </c>
    </row>
    <row r="281" spans="6:15" s="70" customFormat="1" ht="12.75" customHeight="1" outlineLevel="1">
      <c r="F281" s="77">
        <v>251</v>
      </c>
      <c r="G281" s="78" t="s">
        <v>35</v>
      </c>
      <c r="H281" s="79" t="s">
        <v>547</v>
      </c>
      <c r="I281" s="80" t="s">
        <v>548</v>
      </c>
      <c r="J281" s="78" t="s">
        <v>110</v>
      </c>
      <c r="K281" s="83">
        <v>2</v>
      </c>
      <c r="L281" s="82">
        <v>0</v>
      </c>
      <c r="M281" s="83">
        <f t="shared" si="16"/>
        <v>2</v>
      </c>
      <c r="N281" s="84"/>
      <c r="O281" s="85">
        <f t="shared" si="17"/>
        <v>0</v>
      </c>
    </row>
    <row r="282" spans="6:15" s="70" customFormat="1" ht="12.75" customHeight="1" outlineLevel="1">
      <c r="F282" s="77">
        <v>252</v>
      </c>
      <c r="G282" s="78" t="s">
        <v>35</v>
      </c>
      <c r="H282" s="79" t="s">
        <v>551</v>
      </c>
      <c r="I282" s="80" t="s">
        <v>552</v>
      </c>
      <c r="J282" s="78" t="s">
        <v>110</v>
      </c>
      <c r="K282" s="83">
        <v>9</v>
      </c>
      <c r="L282" s="82">
        <v>0</v>
      </c>
      <c r="M282" s="83">
        <f t="shared" si="16"/>
        <v>9</v>
      </c>
      <c r="N282" s="84"/>
      <c r="O282" s="85">
        <f t="shared" si="17"/>
        <v>0</v>
      </c>
    </row>
    <row r="283" spans="6:15" s="70" customFormat="1" ht="12.75" customHeight="1" outlineLevel="1">
      <c r="F283" s="77">
        <v>253</v>
      </c>
      <c r="G283" s="78" t="s">
        <v>35</v>
      </c>
      <c r="H283" s="79" t="s">
        <v>555</v>
      </c>
      <c r="I283" s="80" t="s">
        <v>556</v>
      </c>
      <c r="J283" s="78" t="s">
        <v>43</v>
      </c>
      <c r="K283" s="83">
        <v>9</v>
      </c>
      <c r="L283" s="82">
        <v>0</v>
      </c>
      <c r="M283" s="83">
        <f t="shared" si="16"/>
        <v>9</v>
      </c>
      <c r="N283" s="84"/>
      <c r="O283" s="85">
        <f t="shared" si="17"/>
        <v>0</v>
      </c>
    </row>
    <row r="284" spans="6:15" s="70" customFormat="1" ht="12.75" customHeight="1" outlineLevel="1">
      <c r="F284" s="77">
        <v>254</v>
      </c>
      <c r="G284" s="78" t="s">
        <v>35</v>
      </c>
      <c r="H284" s="79" t="s">
        <v>557</v>
      </c>
      <c r="I284" s="80" t="s">
        <v>558</v>
      </c>
      <c r="J284" s="78" t="s">
        <v>59</v>
      </c>
      <c r="K284" s="83">
        <v>0.2914</v>
      </c>
      <c r="L284" s="82">
        <v>0</v>
      </c>
      <c r="M284" s="83">
        <f t="shared" si="16"/>
        <v>0.2914</v>
      </c>
      <c r="N284" s="84"/>
      <c r="O284" s="85">
        <f t="shared" si="17"/>
        <v>0</v>
      </c>
    </row>
    <row r="285" spans="6:15" s="70" customFormat="1" ht="12.75" customHeight="1" outlineLevel="1">
      <c r="F285" s="98"/>
      <c r="G285" s="99"/>
      <c r="H285" s="92"/>
      <c r="I285" s="113"/>
      <c r="J285" s="99"/>
      <c r="K285" s="91"/>
      <c r="L285" s="90"/>
      <c r="M285" s="91"/>
      <c r="N285" s="117"/>
      <c r="O285" s="115"/>
    </row>
    <row r="286" spans="6:15" s="70" customFormat="1" ht="16.5" customHeight="1" outlineLevel="1">
      <c r="F286" s="98"/>
      <c r="G286" s="99"/>
      <c r="H286" s="92"/>
      <c r="I286" s="72" t="s">
        <v>8</v>
      </c>
      <c r="J286" s="99"/>
      <c r="K286" s="91"/>
      <c r="L286" s="90"/>
      <c r="M286" s="91"/>
      <c r="N286" s="117"/>
      <c r="O286" s="8">
        <f>SUM(O287:O288)</f>
        <v>0</v>
      </c>
    </row>
    <row r="287" spans="6:15" s="70" customFormat="1" ht="12.75" customHeight="1" outlineLevel="1">
      <c r="F287" s="77">
        <v>255</v>
      </c>
      <c r="G287" s="78" t="s">
        <v>35</v>
      </c>
      <c r="H287" s="79" t="s">
        <v>559</v>
      </c>
      <c r="I287" s="80" t="s">
        <v>560</v>
      </c>
      <c r="J287" s="78" t="s">
        <v>110</v>
      </c>
      <c r="K287" s="83">
        <v>5</v>
      </c>
      <c r="L287" s="82">
        <v>0</v>
      </c>
      <c r="M287" s="83">
        <f>K287*(1+L287/100)</f>
        <v>5</v>
      </c>
      <c r="N287" s="84"/>
      <c r="O287" s="85">
        <f>M287*N287</f>
        <v>0</v>
      </c>
    </row>
    <row r="288" spans="6:15" s="70" customFormat="1" ht="12.75" customHeight="1" outlineLevel="1">
      <c r="F288" s="77">
        <v>256</v>
      </c>
      <c r="G288" s="78" t="s">
        <v>35</v>
      </c>
      <c r="H288" s="79" t="s">
        <v>561</v>
      </c>
      <c r="I288" s="80" t="s">
        <v>562</v>
      </c>
      <c r="J288" s="78" t="s">
        <v>59</v>
      </c>
      <c r="K288" s="83">
        <v>0.13</v>
      </c>
      <c r="L288" s="82">
        <v>0</v>
      </c>
      <c r="M288" s="83">
        <f>K288*(1+L288/100)</f>
        <v>0.13</v>
      </c>
      <c r="N288" s="84"/>
      <c r="O288" s="85">
        <f>M288*N288</f>
        <v>0</v>
      </c>
    </row>
    <row r="289" spans="6:15" s="70" customFormat="1" ht="12.75" customHeight="1" outlineLevel="1">
      <c r="F289" s="98"/>
      <c r="G289" s="99"/>
      <c r="H289" s="92"/>
      <c r="I289" s="113"/>
      <c r="J289" s="99"/>
      <c r="K289" s="91"/>
      <c r="L289" s="90"/>
      <c r="M289" s="91"/>
      <c r="N289" s="117"/>
      <c r="O289" s="115"/>
    </row>
    <row r="290" spans="6:15" s="70" customFormat="1" ht="15.75" customHeight="1" outlineLevel="1">
      <c r="F290" s="98"/>
      <c r="G290" s="99"/>
      <c r="H290" s="92"/>
      <c r="I290" s="72" t="s">
        <v>9</v>
      </c>
      <c r="J290" s="99"/>
      <c r="K290" s="91"/>
      <c r="L290" s="90"/>
      <c r="M290" s="91"/>
      <c r="N290" s="117"/>
      <c r="O290" s="8">
        <f>SUM(O291:O297)</f>
        <v>0</v>
      </c>
    </row>
    <row r="291" spans="6:15" s="70" customFormat="1" ht="12.75" customHeight="1" outlineLevel="1">
      <c r="F291" s="77">
        <v>257</v>
      </c>
      <c r="G291" s="78" t="s">
        <v>35</v>
      </c>
      <c r="H291" s="79" t="s">
        <v>1289</v>
      </c>
      <c r="I291" s="80" t="s">
        <v>1290</v>
      </c>
      <c r="J291" s="78" t="s">
        <v>69</v>
      </c>
      <c r="K291" s="83">
        <v>15</v>
      </c>
      <c r="L291" s="82">
        <v>0</v>
      </c>
      <c r="M291" s="83">
        <f aca="true" t="shared" si="18" ref="M291:M297">K291*(1+L291/100)</f>
        <v>15</v>
      </c>
      <c r="N291" s="84"/>
      <c r="O291" s="85">
        <f aca="true" t="shared" si="19" ref="O291:O296">M291*N291</f>
        <v>0</v>
      </c>
    </row>
    <row r="292" spans="6:15" s="70" customFormat="1" ht="12.75" customHeight="1" outlineLevel="1">
      <c r="F292" s="77">
        <v>258</v>
      </c>
      <c r="G292" s="78" t="s">
        <v>35</v>
      </c>
      <c r="H292" s="79" t="s">
        <v>572</v>
      </c>
      <c r="I292" s="80" t="s">
        <v>573</v>
      </c>
      <c r="J292" s="78" t="s">
        <v>69</v>
      </c>
      <c r="K292" s="83">
        <v>15</v>
      </c>
      <c r="L292" s="82">
        <v>0</v>
      </c>
      <c r="M292" s="83">
        <f t="shared" si="18"/>
        <v>15</v>
      </c>
      <c r="N292" s="84"/>
      <c r="O292" s="85">
        <f t="shared" si="19"/>
        <v>0</v>
      </c>
    </row>
    <row r="293" spans="6:15" s="70" customFormat="1" ht="12.75" customHeight="1" outlineLevel="1">
      <c r="F293" s="77">
        <v>259</v>
      </c>
      <c r="G293" s="78" t="s">
        <v>35</v>
      </c>
      <c r="H293" s="79" t="s">
        <v>1291</v>
      </c>
      <c r="I293" s="80" t="s">
        <v>1292</v>
      </c>
      <c r="J293" s="78" t="s">
        <v>43</v>
      </c>
      <c r="K293" s="83">
        <v>6</v>
      </c>
      <c r="L293" s="82">
        <v>0</v>
      </c>
      <c r="M293" s="83">
        <f t="shared" si="18"/>
        <v>6</v>
      </c>
      <c r="N293" s="84"/>
      <c r="O293" s="85">
        <f t="shared" si="19"/>
        <v>0</v>
      </c>
    </row>
    <row r="294" spans="6:15" s="70" customFormat="1" ht="12.75" customHeight="1" outlineLevel="1">
      <c r="F294" s="77">
        <v>260</v>
      </c>
      <c r="G294" s="78" t="s">
        <v>35</v>
      </c>
      <c r="H294" s="79" t="s">
        <v>1293</v>
      </c>
      <c r="I294" s="80" t="s">
        <v>1294</v>
      </c>
      <c r="J294" s="78" t="s">
        <v>43</v>
      </c>
      <c r="K294" s="83">
        <v>2</v>
      </c>
      <c r="L294" s="82">
        <v>0</v>
      </c>
      <c r="M294" s="83">
        <f t="shared" si="18"/>
        <v>2</v>
      </c>
      <c r="N294" s="84"/>
      <c r="O294" s="85">
        <f t="shared" si="19"/>
        <v>0</v>
      </c>
    </row>
    <row r="295" spans="6:15" s="70" customFormat="1" ht="12.75" customHeight="1" outlineLevel="1">
      <c r="F295" s="77">
        <v>261</v>
      </c>
      <c r="G295" s="78" t="s">
        <v>35</v>
      </c>
      <c r="H295" s="79" t="s">
        <v>580</v>
      </c>
      <c r="I295" s="80" t="s">
        <v>581</v>
      </c>
      <c r="J295" s="78" t="s">
        <v>59</v>
      </c>
      <c r="K295" s="83">
        <v>0.1149</v>
      </c>
      <c r="L295" s="82">
        <v>0</v>
      </c>
      <c r="M295" s="83">
        <f t="shared" si="18"/>
        <v>0.1149</v>
      </c>
      <c r="N295" s="84"/>
      <c r="O295" s="85">
        <f t="shared" si="19"/>
        <v>0</v>
      </c>
    </row>
    <row r="296" spans="6:15" s="70" customFormat="1" ht="12" outlineLevel="1">
      <c r="F296" s="77">
        <v>262</v>
      </c>
      <c r="G296" s="78" t="s">
        <v>35</v>
      </c>
      <c r="H296" s="79" t="s">
        <v>1295</v>
      </c>
      <c r="I296" s="80" t="s">
        <v>1296</v>
      </c>
      <c r="J296" s="78" t="s">
        <v>69</v>
      </c>
      <c r="K296" s="83">
        <v>15</v>
      </c>
      <c r="L296" s="82">
        <v>0</v>
      </c>
      <c r="M296" s="83">
        <f t="shared" si="18"/>
        <v>15</v>
      </c>
      <c r="N296" s="84"/>
      <c r="O296" s="85">
        <f t="shared" si="19"/>
        <v>0</v>
      </c>
    </row>
    <row r="297" spans="6:15" s="70" customFormat="1" ht="12" outlineLevel="1">
      <c r="F297" s="77">
        <v>263</v>
      </c>
      <c r="G297" s="78" t="s">
        <v>35</v>
      </c>
      <c r="H297" s="79" t="s">
        <v>419</v>
      </c>
      <c r="I297" s="124" t="s">
        <v>674</v>
      </c>
      <c r="J297" s="134" t="s">
        <v>313</v>
      </c>
      <c r="K297" s="81">
        <v>30</v>
      </c>
      <c r="L297" s="82">
        <v>0</v>
      </c>
      <c r="M297" s="83">
        <f t="shared" si="18"/>
        <v>30</v>
      </c>
      <c r="N297" s="84"/>
      <c r="O297" s="85">
        <f>K297*N297</f>
        <v>0</v>
      </c>
    </row>
    <row r="298" spans="6:15" s="70" customFormat="1" ht="12.75" customHeight="1" outlineLevel="1">
      <c r="F298" s="98"/>
      <c r="G298" s="99"/>
      <c r="H298" s="92"/>
      <c r="I298" s="113"/>
      <c r="J298" s="123"/>
      <c r="K298" s="91"/>
      <c r="L298" s="90"/>
      <c r="M298" s="91"/>
      <c r="N298" s="117"/>
      <c r="O298" s="115"/>
    </row>
    <row r="299" spans="6:15" s="70" customFormat="1" ht="16.5" customHeight="1" outlineLevel="1">
      <c r="F299" s="98"/>
      <c r="G299" s="99"/>
      <c r="H299" s="92"/>
      <c r="I299" s="72" t="s">
        <v>11</v>
      </c>
      <c r="J299" s="99"/>
      <c r="K299" s="235"/>
      <c r="L299" s="90"/>
      <c r="M299" s="91"/>
      <c r="N299" s="90"/>
      <c r="O299" s="8">
        <f>SUM(O300:O344)</f>
        <v>0</v>
      </c>
    </row>
    <row r="300" spans="6:15" s="70" customFormat="1" ht="12.75" customHeight="1" outlineLevel="1">
      <c r="F300" s="77">
        <v>264</v>
      </c>
      <c r="G300" s="78" t="s">
        <v>192</v>
      </c>
      <c r="H300" s="79"/>
      <c r="I300" s="80" t="s">
        <v>610</v>
      </c>
      <c r="J300" s="78" t="s">
        <v>69</v>
      </c>
      <c r="K300" s="81">
        <v>36</v>
      </c>
      <c r="L300" s="82">
        <v>0</v>
      </c>
      <c r="M300" s="83">
        <f aca="true" t="shared" si="20" ref="M300:M344">K300*(1+L300/100)</f>
        <v>36</v>
      </c>
      <c r="N300" s="84"/>
      <c r="O300" s="85">
        <f>K300*N300</f>
        <v>0</v>
      </c>
    </row>
    <row r="301" spans="6:15" s="70" customFormat="1" ht="12.75" customHeight="1" outlineLevel="1">
      <c r="F301" s="77">
        <v>265</v>
      </c>
      <c r="G301" s="78" t="s">
        <v>192</v>
      </c>
      <c r="H301" s="79"/>
      <c r="I301" s="80" t="s">
        <v>611</v>
      </c>
      <c r="J301" s="78" t="s">
        <v>69</v>
      </c>
      <c r="K301" s="81">
        <v>146</v>
      </c>
      <c r="L301" s="82">
        <v>0</v>
      </c>
      <c r="M301" s="83">
        <f t="shared" si="20"/>
        <v>146</v>
      </c>
      <c r="N301" s="84"/>
      <c r="O301" s="85">
        <f aca="true" t="shared" si="21" ref="O301:O344">K301*N301</f>
        <v>0</v>
      </c>
    </row>
    <row r="302" spans="6:15" s="70" customFormat="1" ht="12.75" customHeight="1" outlineLevel="1">
      <c r="F302" s="77">
        <v>266</v>
      </c>
      <c r="G302" s="78" t="s">
        <v>192</v>
      </c>
      <c r="H302" s="79"/>
      <c r="I302" s="80" t="s">
        <v>612</v>
      </c>
      <c r="J302" s="78" t="s">
        <v>69</v>
      </c>
      <c r="K302" s="81">
        <v>157</v>
      </c>
      <c r="L302" s="82">
        <v>0</v>
      </c>
      <c r="M302" s="83">
        <f t="shared" si="20"/>
        <v>157</v>
      </c>
      <c r="N302" s="84"/>
      <c r="O302" s="85">
        <f t="shared" si="21"/>
        <v>0</v>
      </c>
    </row>
    <row r="303" spans="6:15" s="70" customFormat="1" ht="12.75" customHeight="1" outlineLevel="1">
      <c r="F303" s="77">
        <v>267</v>
      </c>
      <c r="G303" s="78" t="s">
        <v>192</v>
      </c>
      <c r="H303" s="79"/>
      <c r="I303" s="80" t="s">
        <v>613</v>
      </c>
      <c r="J303" s="78" t="s">
        <v>69</v>
      </c>
      <c r="K303" s="81">
        <v>18</v>
      </c>
      <c r="L303" s="82">
        <v>0</v>
      </c>
      <c r="M303" s="83">
        <f t="shared" si="20"/>
        <v>18</v>
      </c>
      <c r="N303" s="84"/>
      <c r="O303" s="85">
        <f t="shared" si="21"/>
        <v>0</v>
      </c>
    </row>
    <row r="304" spans="6:15" s="70" customFormat="1" ht="12.75" customHeight="1" outlineLevel="1">
      <c r="F304" s="77">
        <v>268</v>
      </c>
      <c r="G304" s="78" t="s">
        <v>192</v>
      </c>
      <c r="H304" s="79"/>
      <c r="I304" s="80" t="s">
        <v>614</v>
      </c>
      <c r="J304" s="78" t="s">
        <v>43</v>
      </c>
      <c r="K304" s="81">
        <v>1</v>
      </c>
      <c r="L304" s="82">
        <v>0</v>
      </c>
      <c r="M304" s="83">
        <f t="shared" si="20"/>
        <v>1</v>
      </c>
      <c r="N304" s="84"/>
      <c r="O304" s="85">
        <f t="shared" si="21"/>
        <v>0</v>
      </c>
    </row>
    <row r="305" spans="6:15" s="70" customFormat="1" ht="12.75" customHeight="1" outlineLevel="1">
      <c r="F305" s="77">
        <v>269</v>
      </c>
      <c r="G305" s="78" t="s">
        <v>192</v>
      </c>
      <c r="H305" s="79"/>
      <c r="I305" s="80" t="s">
        <v>615</v>
      </c>
      <c r="J305" s="78" t="s">
        <v>616</v>
      </c>
      <c r="K305" s="81">
        <v>700</v>
      </c>
      <c r="L305" s="82">
        <v>0</v>
      </c>
      <c r="M305" s="83">
        <f t="shared" si="20"/>
        <v>700</v>
      </c>
      <c r="N305" s="84"/>
      <c r="O305" s="85">
        <f t="shared" si="21"/>
        <v>0</v>
      </c>
    </row>
    <row r="306" spans="6:15" s="70" customFormat="1" ht="12.75" customHeight="1" outlineLevel="1">
      <c r="F306" s="77">
        <v>270</v>
      </c>
      <c r="G306" s="78" t="s">
        <v>192</v>
      </c>
      <c r="H306" s="79"/>
      <c r="I306" s="80" t="s">
        <v>617</v>
      </c>
      <c r="J306" s="78" t="s">
        <v>43</v>
      </c>
      <c r="K306" s="81">
        <v>16</v>
      </c>
      <c r="L306" s="82">
        <v>0</v>
      </c>
      <c r="M306" s="83">
        <f t="shared" si="20"/>
        <v>16</v>
      </c>
      <c r="N306" s="84"/>
      <c r="O306" s="85">
        <f t="shared" si="21"/>
        <v>0</v>
      </c>
    </row>
    <row r="307" spans="6:15" s="70" customFormat="1" ht="12.75" customHeight="1" outlineLevel="1">
      <c r="F307" s="77">
        <v>271</v>
      </c>
      <c r="G307" s="78" t="s">
        <v>192</v>
      </c>
      <c r="H307" s="79"/>
      <c r="I307" s="80" t="s">
        <v>618</v>
      </c>
      <c r="J307" s="78" t="s">
        <v>43</v>
      </c>
      <c r="K307" s="81">
        <v>9</v>
      </c>
      <c r="L307" s="82">
        <v>0</v>
      </c>
      <c r="M307" s="83">
        <f t="shared" si="20"/>
        <v>9</v>
      </c>
      <c r="N307" s="84"/>
      <c r="O307" s="85">
        <f t="shared" si="21"/>
        <v>0</v>
      </c>
    </row>
    <row r="308" spans="6:15" s="70" customFormat="1" ht="12.75" customHeight="1" outlineLevel="1">
      <c r="F308" s="77">
        <v>272</v>
      </c>
      <c r="G308" s="78" t="s">
        <v>192</v>
      </c>
      <c r="H308" s="79"/>
      <c r="I308" s="80" t="s">
        <v>619</v>
      </c>
      <c r="J308" s="78" t="s">
        <v>43</v>
      </c>
      <c r="K308" s="81">
        <v>3</v>
      </c>
      <c r="L308" s="82">
        <v>0</v>
      </c>
      <c r="M308" s="83">
        <f t="shared" si="20"/>
        <v>3</v>
      </c>
      <c r="N308" s="84"/>
      <c r="O308" s="85">
        <f t="shared" si="21"/>
        <v>0</v>
      </c>
    </row>
    <row r="309" spans="6:15" s="70" customFormat="1" ht="12.75" customHeight="1" outlineLevel="1">
      <c r="F309" s="77">
        <v>273</v>
      </c>
      <c r="G309" s="78" t="s">
        <v>192</v>
      </c>
      <c r="H309" s="79"/>
      <c r="I309" s="80" t="s">
        <v>1297</v>
      </c>
      <c r="J309" s="78" t="s">
        <v>43</v>
      </c>
      <c r="K309" s="81">
        <v>170</v>
      </c>
      <c r="L309" s="82">
        <v>0</v>
      </c>
      <c r="M309" s="83">
        <f t="shared" si="20"/>
        <v>170</v>
      </c>
      <c r="N309" s="84"/>
      <c r="O309" s="85">
        <f t="shared" si="21"/>
        <v>0</v>
      </c>
    </row>
    <row r="310" spans="6:15" s="70" customFormat="1" ht="12.75" customHeight="1" outlineLevel="1">
      <c r="F310" s="77">
        <v>274</v>
      </c>
      <c r="G310" s="78" t="s">
        <v>192</v>
      </c>
      <c r="H310" s="79"/>
      <c r="I310" s="80" t="s">
        <v>1298</v>
      </c>
      <c r="J310" s="78" t="s">
        <v>43</v>
      </c>
      <c r="K310" s="81">
        <v>14</v>
      </c>
      <c r="L310" s="82">
        <v>0</v>
      </c>
      <c r="M310" s="83">
        <f t="shared" si="20"/>
        <v>14</v>
      </c>
      <c r="N310" s="84"/>
      <c r="O310" s="85">
        <f t="shared" si="21"/>
        <v>0</v>
      </c>
    </row>
    <row r="311" spans="6:15" s="70" customFormat="1" ht="12.75" customHeight="1" outlineLevel="1">
      <c r="F311" s="77">
        <v>275</v>
      </c>
      <c r="G311" s="78" t="s">
        <v>192</v>
      </c>
      <c r="H311" s="79"/>
      <c r="I311" s="80" t="s">
        <v>1299</v>
      </c>
      <c r="J311" s="78" t="s">
        <v>43</v>
      </c>
      <c r="K311" s="81">
        <v>85</v>
      </c>
      <c r="L311" s="82">
        <v>0</v>
      </c>
      <c r="M311" s="83">
        <f t="shared" si="20"/>
        <v>85</v>
      </c>
      <c r="N311" s="84"/>
      <c r="O311" s="85">
        <f t="shared" si="21"/>
        <v>0</v>
      </c>
    </row>
    <row r="312" spans="6:15" s="70" customFormat="1" ht="12.75" customHeight="1" outlineLevel="1">
      <c r="F312" s="77">
        <v>276</v>
      </c>
      <c r="G312" s="78" t="s">
        <v>192</v>
      </c>
      <c r="H312" s="79"/>
      <c r="I312" s="80" t="s">
        <v>624</v>
      </c>
      <c r="J312" s="78" t="s">
        <v>69</v>
      </c>
      <c r="K312" s="81">
        <f>K314</f>
        <v>357</v>
      </c>
      <c r="L312" s="82">
        <v>0</v>
      </c>
      <c r="M312" s="83">
        <f t="shared" si="20"/>
        <v>357</v>
      </c>
      <c r="N312" s="84"/>
      <c r="O312" s="85">
        <f t="shared" si="21"/>
        <v>0</v>
      </c>
    </row>
    <row r="313" spans="6:15" s="70" customFormat="1" ht="12.75" customHeight="1" outlineLevel="1">
      <c r="F313" s="77">
        <v>277</v>
      </c>
      <c r="G313" s="78" t="s">
        <v>192</v>
      </c>
      <c r="H313" s="79"/>
      <c r="I313" s="80" t="s">
        <v>625</v>
      </c>
      <c r="J313" s="78" t="s">
        <v>69</v>
      </c>
      <c r="K313" s="81">
        <f>K300+K301+K302+K303</f>
        <v>357</v>
      </c>
      <c r="L313" s="82">
        <v>0</v>
      </c>
      <c r="M313" s="83">
        <f t="shared" si="20"/>
        <v>357</v>
      </c>
      <c r="N313" s="84"/>
      <c r="O313" s="85">
        <f t="shared" si="21"/>
        <v>0</v>
      </c>
    </row>
    <row r="314" spans="6:15" s="70" customFormat="1" ht="12.75" customHeight="1" outlineLevel="1">
      <c r="F314" s="77">
        <v>278</v>
      </c>
      <c r="G314" s="78" t="s">
        <v>192</v>
      </c>
      <c r="H314" s="79"/>
      <c r="I314" s="80" t="s">
        <v>626</v>
      </c>
      <c r="J314" s="78" t="s">
        <v>69</v>
      </c>
      <c r="K314" s="81">
        <f>K313</f>
        <v>357</v>
      </c>
      <c r="L314" s="82">
        <v>0</v>
      </c>
      <c r="M314" s="83">
        <f t="shared" si="20"/>
        <v>357</v>
      </c>
      <c r="N314" s="84"/>
      <c r="O314" s="85">
        <f t="shared" si="21"/>
        <v>0</v>
      </c>
    </row>
    <row r="315" spans="6:15" s="70" customFormat="1" ht="12.75" customHeight="1" outlineLevel="1">
      <c r="F315" s="77">
        <v>279</v>
      </c>
      <c r="G315" s="78" t="s">
        <v>192</v>
      </c>
      <c r="H315" s="79"/>
      <c r="I315" s="80" t="s">
        <v>628</v>
      </c>
      <c r="J315" s="78" t="s">
        <v>43</v>
      </c>
      <c r="K315" s="81">
        <v>10</v>
      </c>
      <c r="L315" s="82">
        <v>0</v>
      </c>
      <c r="M315" s="83">
        <f t="shared" si="20"/>
        <v>10</v>
      </c>
      <c r="N315" s="84"/>
      <c r="O315" s="85">
        <f t="shared" si="21"/>
        <v>0</v>
      </c>
    </row>
    <row r="316" spans="6:15" s="70" customFormat="1" ht="12.75" customHeight="1" outlineLevel="1">
      <c r="F316" s="77">
        <v>280</v>
      </c>
      <c r="G316" s="78" t="s">
        <v>192</v>
      </c>
      <c r="H316" s="79"/>
      <c r="I316" s="80" t="s">
        <v>629</v>
      </c>
      <c r="J316" s="78" t="s">
        <v>43</v>
      </c>
      <c r="K316" s="81">
        <v>3</v>
      </c>
      <c r="L316" s="82">
        <v>0</v>
      </c>
      <c r="M316" s="83">
        <f t="shared" si="20"/>
        <v>3</v>
      </c>
      <c r="N316" s="84"/>
      <c r="O316" s="85">
        <f t="shared" si="21"/>
        <v>0</v>
      </c>
    </row>
    <row r="317" spans="6:15" s="70" customFormat="1" ht="12.75" customHeight="1" outlineLevel="1">
      <c r="F317" s="77">
        <v>281</v>
      </c>
      <c r="G317" s="78" t="s">
        <v>192</v>
      </c>
      <c r="H317" s="79"/>
      <c r="I317" s="80" t="s">
        <v>1300</v>
      </c>
      <c r="J317" s="78" t="s">
        <v>43</v>
      </c>
      <c r="K317" s="81">
        <v>4</v>
      </c>
      <c r="L317" s="82">
        <v>0</v>
      </c>
      <c r="M317" s="83">
        <f t="shared" si="20"/>
        <v>4</v>
      </c>
      <c r="N317" s="84"/>
      <c r="O317" s="85">
        <f t="shared" si="21"/>
        <v>0</v>
      </c>
    </row>
    <row r="318" spans="6:15" s="70" customFormat="1" ht="12.75" customHeight="1" outlineLevel="1">
      <c r="F318" s="77">
        <v>282</v>
      </c>
      <c r="G318" s="78" t="s">
        <v>192</v>
      </c>
      <c r="H318" s="79"/>
      <c r="I318" s="80" t="s">
        <v>1301</v>
      </c>
      <c r="J318" s="78" t="s">
        <v>43</v>
      </c>
      <c r="K318" s="81">
        <v>3</v>
      </c>
      <c r="L318" s="82">
        <v>0</v>
      </c>
      <c r="M318" s="83">
        <f t="shared" si="20"/>
        <v>3</v>
      </c>
      <c r="N318" s="84"/>
      <c r="O318" s="85">
        <f t="shared" si="21"/>
        <v>0</v>
      </c>
    </row>
    <row r="319" spans="6:15" s="70" customFormat="1" ht="12.75" customHeight="1" outlineLevel="1">
      <c r="F319" s="77">
        <v>283</v>
      </c>
      <c r="G319" s="78" t="s">
        <v>192</v>
      </c>
      <c r="H319" s="79"/>
      <c r="I319" s="80" t="s">
        <v>631</v>
      </c>
      <c r="J319" s="78" t="s">
        <v>43</v>
      </c>
      <c r="K319" s="81">
        <v>3</v>
      </c>
      <c r="L319" s="82">
        <v>0</v>
      </c>
      <c r="M319" s="83">
        <f t="shared" si="20"/>
        <v>3</v>
      </c>
      <c r="N319" s="84"/>
      <c r="O319" s="85">
        <f t="shared" si="21"/>
        <v>0</v>
      </c>
    </row>
    <row r="320" spans="6:15" s="70" customFormat="1" ht="12.75" customHeight="1" outlineLevel="1">
      <c r="F320" s="77">
        <v>284</v>
      </c>
      <c r="G320" s="78" t="s">
        <v>192</v>
      </c>
      <c r="H320" s="79"/>
      <c r="I320" s="80" t="s">
        <v>632</v>
      </c>
      <c r="J320" s="78" t="s">
        <v>43</v>
      </c>
      <c r="K320" s="81">
        <v>3</v>
      </c>
      <c r="L320" s="82">
        <v>0</v>
      </c>
      <c r="M320" s="83">
        <f t="shared" si="20"/>
        <v>3</v>
      </c>
      <c r="N320" s="84"/>
      <c r="O320" s="85">
        <f t="shared" si="21"/>
        <v>0</v>
      </c>
    </row>
    <row r="321" spans="6:15" s="70" customFormat="1" ht="12.75" customHeight="1" outlineLevel="1">
      <c r="F321" s="77">
        <v>285</v>
      </c>
      <c r="G321" s="78" t="s">
        <v>192</v>
      </c>
      <c r="H321" s="79"/>
      <c r="I321" s="80" t="s">
        <v>1302</v>
      </c>
      <c r="J321" s="78" t="s">
        <v>43</v>
      </c>
      <c r="K321" s="81">
        <v>2</v>
      </c>
      <c r="L321" s="82">
        <v>0</v>
      </c>
      <c r="M321" s="83">
        <f t="shared" si="20"/>
        <v>2</v>
      </c>
      <c r="N321" s="84"/>
      <c r="O321" s="85">
        <f t="shared" si="21"/>
        <v>0</v>
      </c>
    </row>
    <row r="322" spans="6:15" s="70" customFormat="1" ht="12.75" customHeight="1" outlineLevel="1">
      <c r="F322" s="77">
        <v>286</v>
      </c>
      <c r="G322" s="78" t="s">
        <v>192</v>
      </c>
      <c r="H322" s="79"/>
      <c r="I322" s="80" t="s">
        <v>634</v>
      </c>
      <c r="J322" s="78" t="s">
        <v>43</v>
      </c>
      <c r="K322" s="81">
        <v>1</v>
      </c>
      <c r="L322" s="82">
        <v>0</v>
      </c>
      <c r="M322" s="83">
        <f t="shared" si="20"/>
        <v>1</v>
      </c>
      <c r="N322" s="84"/>
      <c r="O322" s="85">
        <f t="shared" si="21"/>
        <v>0</v>
      </c>
    </row>
    <row r="323" spans="6:15" s="70" customFormat="1" ht="22.8" outlineLevel="1">
      <c r="F323" s="77">
        <v>287</v>
      </c>
      <c r="G323" s="78" t="s">
        <v>192</v>
      </c>
      <c r="H323" s="79"/>
      <c r="I323" s="80" t="s">
        <v>1303</v>
      </c>
      <c r="J323" s="78" t="s">
        <v>43</v>
      </c>
      <c r="K323" s="81">
        <v>1</v>
      </c>
      <c r="L323" s="82">
        <v>0</v>
      </c>
      <c r="M323" s="83">
        <f t="shared" si="20"/>
        <v>1</v>
      </c>
      <c r="N323" s="84"/>
      <c r="O323" s="85">
        <f t="shared" si="21"/>
        <v>0</v>
      </c>
    </row>
    <row r="324" spans="6:15" s="70" customFormat="1" ht="22.8" outlineLevel="1">
      <c r="F324" s="77">
        <v>288</v>
      </c>
      <c r="G324" s="78" t="s">
        <v>192</v>
      </c>
      <c r="H324" s="79"/>
      <c r="I324" s="80" t="s">
        <v>1304</v>
      </c>
      <c r="J324" s="78" t="s">
        <v>43</v>
      </c>
      <c r="K324" s="81">
        <v>1</v>
      </c>
      <c r="L324" s="82">
        <v>0</v>
      </c>
      <c r="M324" s="83">
        <f t="shared" si="20"/>
        <v>1</v>
      </c>
      <c r="N324" s="84"/>
      <c r="O324" s="85">
        <f t="shared" si="21"/>
        <v>0</v>
      </c>
    </row>
    <row r="325" spans="6:15" s="70" customFormat="1" ht="12" outlineLevel="1">
      <c r="F325" s="77">
        <v>289</v>
      </c>
      <c r="G325" s="78" t="s">
        <v>192</v>
      </c>
      <c r="H325" s="79"/>
      <c r="I325" s="80" t="s">
        <v>638</v>
      </c>
      <c r="J325" s="78" t="s">
        <v>43</v>
      </c>
      <c r="K325" s="81">
        <v>1</v>
      </c>
      <c r="L325" s="82">
        <v>0</v>
      </c>
      <c r="M325" s="83">
        <f t="shared" si="20"/>
        <v>1</v>
      </c>
      <c r="N325" s="84"/>
      <c r="O325" s="85">
        <f t="shared" si="21"/>
        <v>0</v>
      </c>
    </row>
    <row r="326" spans="6:15" s="70" customFormat="1" ht="12" outlineLevel="1">
      <c r="F326" s="77">
        <v>290</v>
      </c>
      <c r="G326" s="78" t="s">
        <v>192</v>
      </c>
      <c r="H326" s="79"/>
      <c r="I326" s="80" t="s">
        <v>639</v>
      </c>
      <c r="J326" s="78" t="s">
        <v>69</v>
      </c>
      <c r="K326" s="81">
        <v>120</v>
      </c>
      <c r="L326" s="82">
        <v>0</v>
      </c>
      <c r="M326" s="83">
        <f t="shared" si="20"/>
        <v>120</v>
      </c>
      <c r="N326" s="84"/>
      <c r="O326" s="85">
        <f t="shared" si="21"/>
        <v>0</v>
      </c>
    </row>
    <row r="327" spans="6:15" s="70" customFormat="1" ht="57" outlineLevel="1">
      <c r="F327" s="77">
        <v>291</v>
      </c>
      <c r="G327" s="78" t="s">
        <v>192</v>
      </c>
      <c r="H327" s="79"/>
      <c r="I327" s="80" t="s">
        <v>1305</v>
      </c>
      <c r="J327" s="78" t="s">
        <v>43</v>
      </c>
      <c r="K327" s="81">
        <v>4</v>
      </c>
      <c r="L327" s="82">
        <v>0</v>
      </c>
      <c r="M327" s="83">
        <f t="shared" si="20"/>
        <v>4</v>
      </c>
      <c r="N327" s="84"/>
      <c r="O327" s="85">
        <f t="shared" si="21"/>
        <v>0</v>
      </c>
    </row>
    <row r="328" spans="6:15" s="70" customFormat="1" ht="57" outlineLevel="1">
      <c r="F328" s="77">
        <v>292</v>
      </c>
      <c r="G328" s="78" t="s">
        <v>192</v>
      </c>
      <c r="H328" s="79"/>
      <c r="I328" s="80" t="s">
        <v>1306</v>
      </c>
      <c r="J328" s="78" t="s">
        <v>43</v>
      </c>
      <c r="K328" s="81">
        <v>3</v>
      </c>
      <c r="L328" s="82">
        <v>0</v>
      </c>
      <c r="M328" s="83">
        <f t="shared" si="20"/>
        <v>3</v>
      </c>
      <c r="N328" s="84"/>
      <c r="O328" s="85">
        <f t="shared" si="21"/>
        <v>0</v>
      </c>
    </row>
    <row r="329" spans="6:15" s="70" customFormat="1" ht="57" outlineLevel="1">
      <c r="F329" s="77">
        <v>293</v>
      </c>
      <c r="G329" s="78" t="s">
        <v>192</v>
      </c>
      <c r="H329" s="79"/>
      <c r="I329" s="80" t="s">
        <v>1307</v>
      </c>
      <c r="J329" s="78" t="s">
        <v>43</v>
      </c>
      <c r="K329" s="81">
        <v>1</v>
      </c>
      <c r="L329" s="82">
        <v>0</v>
      </c>
      <c r="M329" s="83">
        <f t="shared" si="20"/>
        <v>1</v>
      </c>
      <c r="N329" s="84"/>
      <c r="O329" s="85">
        <f t="shared" si="21"/>
        <v>0</v>
      </c>
    </row>
    <row r="330" spans="6:15" s="70" customFormat="1" ht="57" outlineLevel="1">
      <c r="F330" s="77">
        <v>294</v>
      </c>
      <c r="G330" s="78" t="s">
        <v>192</v>
      </c>
      <c r="H330" s="79"/>
      <c r="I330" s="80" t="s">
        <v>1308</v>
      </c>
      <c r="J330" s="78" t="s">
        <v>43</v>
      </c>
      <c r="K330" s="81">
        <v>1</v>
      </c>
      <c r="L330" s="82">
        <v>0</v>
      </c>
      <c r="M330" s="83">
        <f t="shared" si="20"/>
        <v>1</v>
      </c>
      <c r="N330" s="84"/>
      <c r="O330" s="85">
        <f t="shared" si="21"/>
        <v>0</v>
      </c>
    </row>
    <row r="331" spans="6:15" s="70" customFormat="1" ht="57" outlineLevel="1">
      <c r="F331" s="77">
        <v>295</v>
      </c>
      <c r="G331" s="78" t="s">
        <v>192</v>
      </c>
      <c r="H331" s="79"/>
      <c r="I331" s="80" t="s">
        <v>1309</v>
      </c>
      <c r="J331" s="78" t="s">
        <v>43</v>
      </c>
      <c r="K331" s="81">
        <v>1</v>
      </c>
      <c r="L331" s="82">
        <v>0</v>
      </c>
      <c r="M331" s="83">
        <f t="shared" si="20"/>
        <v>1</v>
      </c>
      <c r="N331" s="84"/>
      <c r="O331" s="85">
        <f t="shared" si="21"/>
        <v>0</v>
      </c>
    </row>
    <row r="332" spans="6:15" s="70" customFormat="1" ht="91.2" outlineLevel="1">
      <c r="F332" s="77">
        <v>296</v>
      </c>
      <c r="G332" s="78" t="s">
        <v>192</v>
      </c>
      <c r="H332" s="79"/>
      <c r="I332" s="80" t="s">
        <v>1310</v>
      </c>
      <c r="J332" s="78" t="s">
        <v>43</v>
      </c>
      <c r="K332" s="81">
        <v>2</v>
      </c>
      <c r="L332" s="82">
        <v>0</v>
      </c>
      <c r="M332" s="83">
        <f t="shared" si="20"/>
        <v>2</v>
      </c>
      <c r="N332" s="84"/>
      <c r="O332" s="85">
        <f t="shared" si="21"/>
        <v>0</v>
      </c>
    </row>
    <row r="333" spans="6:15" s="70" customFormat="1" ht="12.75" customHeight="1" outlineLevel="1">
      <c r="F333" s="77">
        <v>297</v>
      </c>
      <c r="G333" s="78" t="s">
        <v>192</v>
      </c>
      <c r="H333" s="79"/>
      <c r="I333" s="80" t="s">
        <v>1311</v>
      </c>
      <c r="J333" s="78" t="s">
        <v>69</v>
      </c>
      <c r="K333" s="81">
        <v>65</v>
      </c>
      <c r="L333" s="82">
        <v>0</v>
      </c>
      <c r="M333" s="83">
        <f t="shared" si="20"/>
        <v>65</v>
      </c>
      <c r="N333" s="84"/>
      <c r="O333" s="85">
        <f t="shared" si="21"/>
        <v>0</v>
      </c>
    </row>
    <row r="334" spans="6:15" s="70" customFormat="1" ht="12.75" customHeight="1" outlineLevel="1">
      <c r="F334" s="77">
        <v>298</v>
      </c>
      <c r="G334" s="78" t="s">
        <v>192</v>
      </c>
      <c r="H334" s="79"/>
      <c r="I334" s="80" t="s">
        <v>1312</v>
      </c>
      <c r="J334" s="78" t="s">
        <v>69</v>
      </c>
      <c r="K334" s="81">
        <v>90</v>
      </c>
      <c r="L334" s="82">
        <v>0</v>
      </c>
      <c r="M334" s="83">
        <f t="shared" si="20"/>
        <v>90</v>
      </c>
      <c r="N334" s="84"/>
      <c r="O334" s="85">
        <f t="shared" si="21"/>
        <v>0</v>
      </c>
    </row>
    <row r="335" spans="6:15" s="70" customFormat="1" ht="12.75" customHeight="1" outlineLevel="1">
      <c r="F335" s="77">
        <v>299</v>
      </c>
      <c r="G335" s="78" t="s">
        <v>192</v>
      </c>
      <c r="H335" s="79"/>
      <c r="I335" s="80" t="s">
        <v>1313</v>
      </c>
      <c r="J335" s="78" t="s">
        <v>69</v>
      </c>
      <c r="K335" s="81">
        <v>75</v>
      </c>
      <c r="L335" s="82">
        <v>0</v>
      </c>
      <c r="M335" s="83">
        <f t="shared" si="20"/>
        <v>75</v>
      </c>
      <c r="N335" s="84"/>
      <c r="O335" s="85">
        <f t="shared" si="21"/>
        <v>0</v>
      </c>
    </row>
    <row r="336" spans="6:15" s="70" customFormat="1" ht="12.75" customHeight="1" outlineLevel="1">
      <c r="F336" s="77">
        <v>300</v>
      </c>
      <c r="G336" s="78" t="s">
        <v>192</v>
      </c>
      <c r="H336" s="79"/>
      <c r="I336" s="80" t="s">
        <v>1314</v>
      </c>
      <c r="J336" s="78" t="s">
        <v>43</v>
      </c>
      <c r="K336" s="81">
        <v>10</v>
      </c>
      <c r="L336" s="82">
        <v>0</v>
      </c>
      <c r="M336" s="83">
        <f t="shared" si="20"/>
        <v>10</v>
      </c>
      <c r="N336" s="84"/>
      <c r="O336" s="85">
        <f t="shared" si="21"/>
        <v>0</v>
      </c>
    </row>
    <row r="337" spans="6:15" s="70" customFormat="1" ht="12.75" customHeight="1" outlineLevel="1">
      <c r="F337" s="77">
        <v>301</v>
      </c>
      <c r="G337" s="78" t="s">
        <v>192</v>
      </c>
      <c r="H337" s="79"/>
      <c r="I337" s="80" t="s">
        <v>1315</v>
      </c>
      <c r="J337" s="78" t="s">
        <v>43</v>
      </c>
      <c r="K337" s="81">
        <v>3</v>
      </c>
      <c r="L337" s="82">
        <v>0</v>
      </c>
      <c r="M337" s="83">
        <f t="shared" si="20"/>
        <v>3</v>
      </c>
      <c r="N337" s="84"/>
      <c r="O337" s="85">
        <f t="shared" si="21"/>
        <v>0</v>
      </c>
    </row>
    <row r="338" spans="6:15" s="70" customFormat="1" ht="12.75" customHeight="1" outlineLevel="1">
      <c r="F338" s="77">
        <v>302</v>
      </c>
      <c r="G338" s="78" t="s">
        <v>192</v>
      </c>
      <c r="H338" s="79"/>
      <c r="I338" s="80" t="s">
        <v>1316</v>
      </c>
      <c r="J338" s="78" t="s">
        <v>43</v>
      </c>
      <c r="K338" s="81">
        <v>8</v>
      </c>
      <c r="L338" s="82">
        <v>0</v>
      </c>
      <c r="M338" s="83">
        <f t="shared" si="20"/>
        <v>8</v>
      </c>
      <c r="N338" s="84"/>
      <c r="O338" s="85">
        <f t="shared" si="21"/>
        <v>0</v>
      </c>
    </row>
    <row r="339" spans="6:15" s="70" customFormat="1" ht="12.75" customHeight="1" outlineLevel="1">
      <c r="F339" s="77">
        <v>303</v>
      </c>
      <c r="G339" s="78" t="s">
        <v>192</v>
      </c>
      <c r="H339" s="79"/>
      <c r="I339" s="80" t="s">
        <v>646</v>
      </c>
      <c r="J339" s="78" t="s">
        <v>43</v>
      </c>
      <c r="K339" s="81">
        <v>1</v>
      </c>
      <c r="L339" s="82">
        <v>0</v>
      </c>
      <c r="M339" s="83">
        <f t="shared" si="20"/>
        <v>1</v>
      </c>
      <c r="N339" s="84"/>
      <c r="O339" s="85">
        <f t="shared" si="21"/>
        <v>0</v>
      </c>
    </row>
    <row r="340" spans="6:15" s="70" customFormat="1" ht="12.75" customHeight="1" outlineLevel="1">
      <c r="F340" s="77">
        <v>304</v>
      </c>
      <c r="G340" s="78" t="s">
        <v>192</v>
      </c>
      <c r="H340" s="79"/>
      <c r="I340" s="80" t="s">
        <v>648</v>
      </c>
      <c r="J340" s="78" t="s">
        <v>43</v>
      </c>
      <c r="K340" s="81">
        <v>1</v>
      </c>
      <c r="L340" s="82">
        <v>0</v>
      </c>
      <c r="M340" s="83">
        <f t="shared" si="20"/>
        <v>1</v>
      </c>
      <c r="N340" s="84"/>
      <c r="O340" s="85">
        <f t="shared" si="21"/>
        <v>0</v>
      </c>
    </row>
    <row r="341" spans="6:15" s="70" customFormat="1" ht="12.75" customHeight="1" outlineLevel="1">
      <c r="F341" s="77">
        <v>305</v>
      </c>
      <c r="G341" s="78" t="s">
        <v>192</v>
      </c>
      <c r="H341" s="79"/>
      <c r="I341" s="80" t="s">
        <v>649</v>
      </c>
      <c r="J341" s="78" t="s">
        <v>43</v>
      </c>
      <c r="K341" s="81">
        <v>1</v>
      </c>
      <c r="L341" s="82">
        <v>0</v>
      </c>
      <c r="M341" s="83">
        <f t="shared" si="20"/>
        <v>1</v>
      </c>
      <c r="N341" s="84"/>
      <c r="O341" s="85">
        <f t="shared" si="21"/>
        <v>0</v>
      </c>
    </row>
    <row r="342" spans="6:15" s="70" customFormat="1" ht="12.75" customHeight="1" outlineLevel="1">
      <c r="F342" s="77">
        <v>306</v>
      </c>
      <c r="G342" s="78" t="s">
        <v>192</v>
      </c>
      <c r="H342" s="79"/>
      <c r="I342" s="80" t="s">
        <v>647</v>
      </c>
      <c r="J342" s="78" t="s">
        <v>43</v>
      </c>
      <c r="K342" s="81">
        <v>1</v>
      </c>
      <c r="L342" s="82">
        <v>0</v>
      </c>
      <c r="M342" s="83">
        <f t="shared" si="20"/>
        <v>1</v>
      </c>
      <c r="N342" s="84"/>
      <c r="O342" s="85">
        <f t="shared" si="21"/>
        <v>0</v>
      </c>
    </row>
    <row r="343" spans="6:15" s="70" customFormat="1" ht="12.75" customHeight="1" outlineLevel="1">
      <c r="F343" s="77">
        <v>307</v>
      </c>
      <c r="G343" s="78" t="s">
        <v>35</v>
      </c>
      <c r="H343" s="79"/>
      <c r="I343" s="124" t="s">
        <v>674</v>
      </c>
      <c r="J343" s="134" t="s">
        <v>313</v>
      </c>
      <c r="K343" s="81">
        <v>30</v>
      </c>
      <c r="L343" s="82">
        <v>0</v>
      </c>
      <c r="M343" s="83">
        <f t="shared" si="20"/>
        <v>30</v>
      </c>
      <c r="N343" s="84"/>
      <c r="O343" s="85">
        <f t="shared" si="21"/>
        <v>0</v>
      </c>
    </row>
    <row r="344" spans="6:15" s="70" customFormat="1" ht="12.75" customHeight="1" outlineLevel="1">
      <c r="F344" s="77">
        <v>308</v>
      </c>
      <c r="G344" s="78" t="s">
        <v>192</v>
      </c>
      <c r="H344" s="79"/>
      <c r="I344" s="80" t="s">
        <v>650</v>
      </c>
      <c r="J344" s="78" t="s">
        <v>43</v>
      </c>
      <c r="K344" s="81">
        <v>1</v>
      </c>
      <c r="L344" s="82">
        <v>0</v>
      </c>
      <c r="M344" s="83">
        <f t="shared" si="20"/>
        <v>1</v>
      </c>
      <c r="N344" s="84"/>
      <c r="O344" s="85">
        <f t="shared" si="21"/>
        <v>0</v>
      </c>
    </row>
    <row r="345" spans="6:15" s="70" customFormat="1" ht="12.75" customHeight="1" outlineLevel="1">
      <c r="F345" s="98"/>
      <c r="G345" s="99"/>
      <c r="H345" s="92"/>
      <c r="I345" s="113"/>
      <c r="J345" s="99"/>
      <c r="K345" s="235"/>
      <c r="L345" s="90"/>
      <c r="M345" s="91"/>
      <c r="N345" s="90"/>
      <c r="O345" s="91"/>
    </row>
    <row r="346" spans="6:15" s="70" customFormat="1" ht="16.5" customHeight="1" outlineLevel="1">
      <c r="F346" s="98"/>
      <c r="G346" s="99"/>
      <c r="H346" s="92"/>
      <c r="I346" s="72" t="s">
        <v>12</v>
      </c>
      <c r="J346" s="99"/>
      <c r="K346" s="235"/>
      <c r="L346" s="90"/>
      <c r="M346" s="91"/>
      <c r="N346" s="90"/>
      <c r="O346" s="8">
        <f>SUM(O347:O360)</f>
        <v>0</v>
      </c>
    </row>
    <row r="347" spans="6:15" s="70" customFormat="1" ht="12.75" customHeight="1" outlineLevel="1">
      <c r="F347" s="77">
        <v>309</v>
      </c>
      <c r="G347" s="78" t="s">
        <v>192</v>
      </c>
      <c r="H347" s="79"/>
      <c r="I347" s="80" t="s">
        <v>1317</v>
      </c>
      <c r="J347" s="78" t="s">
        <v>217</v>
      </c>
      <c r="K347" s="81">
        <v>1</v>
      </c>
      <c r="L347" s="82">
        <v>0</v>
      </c>
      <c r="M347" s="83">
        <f aca="true" t="shared" si="22" ref="M347:M360">K347*(1+L347/100)</f>
        <v>1</v>
      </c>
      <c r="N347" s="84"/>
      <c r="O347" s="85">
        <f>K347*N347</f>
        <v>0</v>
      </c>
    </row>
    <row r="348" spans="6:15" s="70" customFormat="1" ht="12.75" customHeight="1" outlineLevel="1">
      <c r="F348" s="77">
        <v>310</v>
      </c>
      <c r="G348" s="78" t="s">
        <v>192</v>
      </c>
      <c r="H348" s="79"/>
      <c r="I348" s="80" t="s">
        <v>1318</v>
      </c>
      <c r="J348" s="78" t="s">
        <v>217</v>
      </c>
      <c r="K348" s="81">
        <v>1</v>
      </c>
      <c r="L348" s="82">
        <v>0</v>
      </c>
      <c r="M348" s="83">
        <f t="shared" si="22"/>
        <v>1</v>
      </c>
      <c r="N348" s="84"/>
      <c r="O348" s="85">
        <f aca="true" t="shared" si="23" ref="O348:O360">K348*N348</f>
        <v>0</v>
      </c>
    </row>
    <row r="349" spans="6:15" s="70" customFormat="1" ht="12.75" customHeight="1" outlineLevel="1">
      <c r="F349" s="77">
        <v>311</v>
      </c>
      <c r="G349" s="78" t="s">
        <v>192</v>
      </c>
      <c r="H349" s="79"/>
      <c r="I349" s="80" t="s">
        <v>1319</v>
      </c>
      <c r="J349" s="78" t="s">
        <v>217</v>
      </c>
      <c r="K349" s="81">
        <v>1</v>
      </c>
      <c r="L349" s="82">
        <v>0</v>
      </c>
      <c r="M349" s="83">
        <f t="shared" si="22"/>
        <v>1</v>
      </c>
      <c r="N349" s="84"/>
      <c r="O349" s="85">
        <f t="shared" si="23"/>
        <v>0</v>
      </c>
    </row>
    <row r="350" spans="6:15" s="70" customFormat="1" ht="12.75" customHeight="1" outlineLevel="1">
      <c r="F350" s="77">
        <v>312</v>
      </c>
      <c r="G350" s="78" t="s">
        <v>192</v>
      </c>
      <c r="H350" s="79"/>
      <c r="I350" s="80" t="s">
        <v>659</v>
      </c>
      <c r="J350" s="78" t="s">
        <v>113</v>
      </c>
      <c r="K350" s="81">
        <v>1</v>
      </c>
      <c r="L350" s="82">
        <v>0</v>
      </c>
      <c r="M350" s="83">
        <f t="shared" si="22"/>
        <v>1</v>
      </c>
      <c r="N350" s="84"/>
      <c r="O350" s="85">
        <f t="shared" si="23"/>
        <v>0</v>
      </c>
    </row>
    <row r="351" spans="6:15" s="70" customFormat="1" ht="12.75" customHeight="1" outlineLevel="1">
      <c r="F351" s="77">
        <v>313</v>
      </c>
      <c r="G351" s="78" t="s">
        <v>192</v>
      </c>
      <c r="H351" s="79"/>
      <c r="I351" s="80" t="s">
        <v>660</v>
      </c>
      <c r="J351" s="78" t="s">
        <v>69</v>
      </c>
      <c r="K351" s="81">
        <v>40</v>
      </c>
      <c r="L351" s="82">
        <v>0</v>
      </c>
      <c r="M351" s="83">
        <f t="shared" si="22"/>
        <v>40</v>
      </c>
      <c r="N351" s="84"/>
      <c r="O351" s="85">
        <f t="shared" si="23"/>
        <v>0</v>
      </c>
    </row>
    <row r="352" spans="6:15" s="70" customFormat="1" ht="12.75" customHeight="1" outlineLevel="1">
      <c r="F352" s="77">
        <v>314</v>
      </c>
      <c r="G352" s="78" t="s">
        <v>192</v>
      </c>
      <c r="H352" s="79"/>
      <c r="I352" s="80" t="s">
        <v>662</v>
      </c>
      <c r="J352" s="78" t="s">
        <v>69</v>
      </c>
      <c r="K352" s="81">
        <v>20</v>
      </c>
      <c r="L352" s="82">
        <v>0</v>
      </c>
      <c r="M352" s="83">
        <f t="shared" si="22"/>
        <v>20</v>
      </c>
      <c r="N352" s="84"/>
      <c r="O352" s="85">
        <f t="shared" si="23"/>
        <v>0</v>
      </c>
    </row>
    <row r="353" spans="6:15" s="70" customFormat="1" ht="12.75" customHeight="1" outlineLevel="1">
      <c r="F353" s="77">
        <v>315</v>
      </c>
      <c r="G353" s="78" t="s">
        <v>192</v>
      </c>
      <c r="H353" s="79"/>
      <c r="I353" s="80" t="s">
        <v>663</v>
      </c>
      <c r="J353" s="78" t="s">
        <v>69</v>
      </c>
      <c r="K353" s="81">
        <v>4</v>
      </c>
      <c r="L353" s="82">
        <v>0</v>
      </c>
      <c r="M353" s="83">
        <f t="shared" si="22"/>
        <v>4</v>
      </c>
      <c r="N353" s="84"/>
      <c r="O353" s="85">
        <f t="shared" si="23"/>
        <v>0</v>
      </c>
    </row>
    <row r="354" spans="6:15" s="70" customFormat="1" ht="12.75" customHeight="1" outlineLevel="1">
      <c r="F354" s="77">
        <v>316</v>
      </c>
      <c r="G354" s="78" t="s">
        <v>192</v>
      </c>
      <c r="H354" s="79"/>
      <c r="I354" s="80" t="s">
        <v>666</v>
      </c>
      <c r="J354" s="78" t="s">
        <v>113</v>
      </c>
      <c r="K354" s="81">
        <v>1</v>
      </c>
      <c r="L354" s="82">
        <v>0</v>
      </c>
      <c r="M354" s="83">
        <f t="shared" si="22"/>
        <v>1</v>
      </c>
      <c r="N354" s="84"/>
      <c r="O354" s="85">
        <f t="shared" si="23"/>
        <v>0</v>
      </c>
    </row>
    <row r="355" spans="6:15" s="70" customFormat="1" ht="12.75" customHeight="1" outlineLevel="1">
      <c r="F355" s="77">
        <v>317</v>
      </c>
      <c r="G355" s="78" t="s">
        <v>192</v>
      </c>
      <c r="H355" s="79"/>
      <c r="I355" s="80" t="s">
        <v>667</v>
      </c>
      <c r="J355" s="78" t="s">
        <v>113</v>
      </c>
      <c r="K355" s="81">
        <v>1</v>
      </c>
      <c r="L355" s="82">
        <v>0</v>
      </c>
      <c r="M355" s="83">
        <f t="shared" si="22"/>
        <v>1</v>
      </c>
      <c r="N355" s="84"/>
      <c r="O355" s="85">
        <f t="shared" si="23"/>
        <v>0</v>
      </c>
    </row>
    <row r="356" spans="6:15" s="70" customFormat="1" ht="12.75" customHeight="1" outlineLevel="1">
      <c r="F356" s="77">
        <v>318</v>
      </c>
      <c r="G356" s="78" t="s">
        <v>192</v>
      </c>
      <c r="H356" s="79"/>
      <c r="I356" s="80" t="s">
        <v>668</v>
      </c>
      <c r="J356" s="78" t="s">
        <v>113</v>
      </c>
      <c r="K356" s="81">
        <v>1</v>
      </c>
      <c r="L356" s="82">
        <v>0</v>
      </c>
      <c r="M356" s="83">
        <f t="shared" si="22"/>
        <v>1</v>
      </c>
      <c r="N356" s="84"/>
      <c r="O356" s="85">
        <f t="shared" si="23"/>
        <v>0</v>
      </c>
    </row>
    <row r="357" spans="6:15" s="70" customFormat="1" ht="12.75" customHeight="1" outlineLevel="1">
      <c r="F357" s="77">
        <v>319</v>
      </c>
      <c r="G357" s="78" t="s">
        <v>192</v>
      </c>
      <c r="H357" s="79"/>
      <c r="I357" s="80" t="s">
        <v>671</v>
      </c>
      <c r="J357" s="78" t="s">
        <v>113</v>
      </c>
      <c r="K357" s="81">
        <v>1</v>
      </c>
      <c r="L357" s="82">
        <v>0</v>
      </c>
      <c r="M357" s="83">
        <f t="shared" si="22"/>
        <v>1</v>
      </c>
      <c r="N357" s="84"/>
      <c r="O357" s="85">
        <f t="shared" si="23"/>
        <v>0</v>
      </c>
    </row>
    <row r="358" spans="6:15" s="70" customFormat="1" ht="12.75" customHeight="1" outlineLevel="1">
      <c r="F358" s="77">
        <v>320</v>
      </c>
      <c r="G358" s="78" t="s">
        <v>192</v>
      </c>
      <c r="H358" s="79"/>
      <c r="I358" s="80" t="s">
        <v>672</v>
      </c>
      <c r="J358" s="78" t="s">
        <v>113</v>
      </c>
      <c r="K358" s="81">
        <v>1</v>
      </c>
      <c r="L358" s="82">
        <v>0</v>
      </c>
      <c r="M358" s="83">
        <f t="shared" si="22"/>
        <v>1</v>
      </c>
      <c r="N358" s="84"/>
      <c r="O358" s="85">
        <f t="shared" si="23"/>
        <v>0</v>
      </c>
    </row>
    <row r="359" spans="6:15" s="70" customFormat="1" ht="12.75" customHeight="1" outlineLevel="1">
      <c r="F359" s="77">
        <v>321</v>
      </c>
      <c r="G359" s="78" t="s">
        <v>35</v>
      </c>
      <c r="H359" s="79"/>
      <c r="I359" s="124" t="s">
        <v>674</v>
      </c>
      <c r="J359" s="134" t="s">
        <v>723</v>
      </c>
      <c r="K359" s="81">
        <v>10</v>
      </c>
      <c r="L359" s="82">
        <v>0</v>
      </c>
      <c r="M359" s="83">
        <f t="shared" si="22"/>
        <v>10</v>
      </c>
      <c r="N359" s="84"/>
      <c r="O359" s="85">
        <f t="shared" si="23"/>
        <v>0</v>
      </c>
    </row>
    <row r="360" spans="6:15" s="70" customFormat="1" ht="12.75" customHeight="1" outlineLevel="1">
      <c r="F360" s="77">
        <v>322</v>
      </c>
      <c r="G360" s="78" t="s">
        <v>192</v>
      </c>
      <c r="H360" s="79"/>
      <c r="I360" s="80" t="s">
        <v>673</v>
      </c>
      <c r="J360" s="78" t="s">
        <v>113</v>
      </c>
      <c r="K360" s="81">
        <v>1</v>
      </c>
      <c r="L360" s="82">
        <v>0</v>
      </c>
      <c r="M360" s="83">
        <f t="shared" si="22"/>
        <v>1</v>
      </c>
      <c r="N360" s="84"/>
      <c r="O360" s="85">
        <f t="shared" si="23"/>
        <v>0</v>
      </c>
    </row>
    <row r="361" spans="6:15" s="70" customFormat="1" ht="12.75" customHeight="1" outlineLevel="1">
      <c r="F361" s="98"/>
      <c r="G361" s="99"/>
      <c r="H361" s="92"/>
      <c r="I361" s="113"/>
      <c r="J361" s="99"/>
      <c r="K361" s="91"/>
      <c r="L361" s="90"/>
      <c r="M361" s="91"/>
      <c r="N361" s="117"/>
      <c r="O361" s="115"/>
    </row>
    <row r="362" spans="6:15" s="70" customFormat="1" ht="12.75" customHeight="1" outlineLevel="1">
      <c r="F362" s="98"/>
      <c r="G362" s="99"/>
      <c r="H362" s="92"/>
      <c r="I362" s="72" t="s">
        <v>13</v>
      </c>
      <c r="J362" s="99"/>
      <c r="K362" s="235"/>
      <c r="L362" s="90"/>
      <c r="M362" s="91"/>
      <c r="N362" s="90"/>
      <c r="O362" s="8">
        <f>SUM(O363:O399)</f>
        <v>0</v>
      </c>
    </row>
    <row r="363" spans="6:15" s="70" customFormat="1" ht="22.8" outlineLevel="1">
      <c r="F363" s="77">
        <v>323</v>
      </c>
      <c r="G363" s="78" t="s">
        <v>192</v>
      </c>
      <c r="H363" s="79"/>
      <c r="I363" s="133" t="s">
        <v>1320</v>
      </c>
      <c r="J363" s="134" t="s">
        <v>217</v>
      </c>
      <c r="K363" s="162">
        <v>1</v>
      </c>
      <c r="L363" s="82">
        <v>0</v>
      </c>
      <c r="M363" s="83">
        <f aca="true" t="shared" si="24" ref="M363:M399">K363*(1+L363/100)</f>
        <v>1</v>
      </c>
      <c r="N363" s="84"/>
      <c r="O363" s="85">
        <f aca="true" t="shared" si="25" ref="O363:O399">K363*N363</f>
        <v>0</v>
      </c>
    </row>
    <row r="364" spans="6:15" s="70" customFormat="1" ht="12.75" customHeight="1" outlineLevel="1">
      <c r="F364" s="77">
        <v>324</v>
      </c>
      <c r="G364" s="78" t="s">
        <v>192</v>
      </c>
      <c r="H364" s="79"/>
      <c r="I364" s="133" t="s">
        <v>679</v>
      </c>
      <c r="J364" s="134" t="s">
        <v>217</v>
      </c>
      <c r="K364" s="162">
        <v>2</v>
      </c>
      <c r="L364" s="82">
        <v>0</v>
      </c>
      <c r="M364" s="83">
        <f t="shared" si="24"/>
        <v>2</v>
      </c>
      <c r="N364" s="84"/>
      <c r="O364" s="85">
        <f t="shared" si="25"/>
        <v>0</v>
      </c>
    </row>
    <row r="365" spans="6:15" s="70" customFormat="1" ht="12.75" customHeight="1" outlineLevel="1">
      <c r="F365" s="77">
        <v>325</v>
      </c>
      <c r="G365" s="78" t="s">
        <v>192</v>
      </c>
      <c r="H365" s="79"/>
      <c r="I365" s="133" t="s">
        <v>1321</v>
      </c>
      <c r="J365" s="134" t="s">
        <v>217</v>
      </c>
      <c r="K365" s="162">
        <v>1</v>
      </c>
      <c r="L365" s="82">
        <v>0</v>
      </c>
      <c r="M365" s="83">
        <f t="shared" si="24"/>
        <v>1</v>
      </c>
      <c r="N365" s="84"/>
      <c r="O365" s="85">
        <f t="shared" si="25"/>
        <v>0</v>
      </c>
    </row>
    <row r="366" spans="6:15" s="70" customFormat="1" ht="12.75" customHeight="1" outlineLevel="1">
      <c r="F366" s="77">
        <v>326</v>
      </c>
      <c r="G366" s="78" t="s">
        <v>192</v>
      </c>
      <c r="H366" s="79"/>
      <c r="I366" s="133" t="s">
        <v>681</v>
      </c>
      <c r="J366" s="134" t="s">
        <v>217</v>
      </c>
      <c r="K366" s="162">
        <v>1</v>
      </c>
      <c r="L366" s="82">
        <v>0</v>
      </c>
      <c r="M366" s="83">
        <f t="shared" si="24"/>
        <v>1</v>
      </c>
      <c r="N366" s="84"/>
      <c r="O366" s="85">
        <f t="shared" si="25"/>
        <v>0</v>
      </c>
    </row>
    <row r="367" spans="6:15" s="70" customFormat="1" ht="12.75" customHeight="1" outlineLevel="1">
      <c r="F367" s="77">
        <v>327</v>
      </c>
      <c r="G367" s="78" t="s">
        <v>192</v>
      </c>
      <c r="H367" s="79"/>
      <c r="I367" s="133" t="s">
        <v>1322</v>
      </c>
      <c r="J367" s="134" t="s">
        <v>217</v>
      </c>
      <c r="K367" s="162">
        <v>1</v>
      </c>
      <c r="L367" s="82">
        <v>0</v>
      </c>
      <c r="M367" s="83">
        <f t="shared" si="24"/>
        <v>1</v>
      </c>
      <c r="N367" s="84"/>
      <c r="O367" s="85">
        <f t="shared" si="25"/>
        <v>0</v>
      </c>
    </row>
    <row r="368" spans="6:15" s="70" customFormat="1" ht="12.75" customHeight="1" outlineLevel="1">
      <c r="F368" s="77">
        <v>328</v>
      </c>
      <c r="G368" s="78" t="s">
        <v>192</v>
      </c>
      <c r="H368" s="79"/>
      <c r="I368" s="133" t="s">
        <v>683</v>
      </c>
      <c r="J368" s="134" t="s">
        <v>217</v>
      </c>
      <c r="K368" s="162">
        <v>1</v>
      </c>
      <c r="L368" s="82">
        <v>0</v>
      </c>
      <c r="M368" s="83">
        <f t="shared" si="24"/>
        <v>1</v>
      </c>
      <c r="N368" s="84"/>
      <c r="O368" s="85">
        <f t="shared" si="25"/>
        <v>0</v>
      </c>
    </row>
    <row r="369" spans="6:15" s="70" customFormat="1" ht="12.75" customHeight="1" outlineLevel="1">
      <c r="F369" s="77">
        <v>329</v>
      </c>
      <c r="G369" s="78" t="s">
        <v>192</v>
      </c>
      <c r="H369" s="79"/>
      <c r="I369" s="133" t="s">
        <v>684</v>
      </c>
      <c r="J369" s="134" t="s">
        <v>217</v>
      </c>
      <c r="K369" s="162">
        <v>1</v>
      </c>
      <c r="L369" s="82">
        <v>0</v>
      </c>
      <c r="M369" s="83">
        <f t="shared" si="24"/>
        <v>1</v>
      </c>
      <c r="N369" s="84"/>
      <c r="O369" s="85">
        <f t="shared" si="25"/>
        <v>0</v>
      </c>
    </row>
    <row r="370" spans="6:15" s="70" customFormat="1" ht="12.75" customHeight="1" outlineLevel="1">
      <c r="F370" s="77">
        <v>330</v>
      </c>
      <c r="G370" s="78" t="s">
        <v>192</v>
      </c>
      <c r="H370" s="79"/>
      <c r="I370" s="133" t="s">
        <v>685</v>
      </c>
      <c r="J370" s="134" t="s">
        <v>217</v>
      </c>
      <c r="K370" s="162">
        <v>2</v>
      </c>
      <c r="L370" s="82">
        <v>0</v>
      </c>
      <c r="M370" s="83">
        <f t="shared" si="24"/>
        <v>2</v>
      </c>
      <c r="N370" s="84"/>
      <c r="O370" s="85">
        <f t="shared" si="25"/>
        <v>0</v>
      </c>
    </row>
    <row r="371" spans="6:15" s="70" customFormat="1" ht="12.75" customHeight="1" outlineLevel="1">
      <c r="F371" s="77">
        <v>331</v>
      </c>
      <c r="G371" s="78" t="s">
        <v>192</v>
      </c>
      <c r="H371" s="79"/>
      <c r="I371" s="133" t="s">
        <v>686</v>
      </c>
      <c r="J371" s="134" t="s">
        <v>217</v>
      </c>
      <c r="K371" s="162">
        <v>1</v>
      </c>
      <c r="L371" s="82">
        <v>0</v>
      </c>
      <c r="M371" s="83">
        <f t="shared" si="24"/>
        <v>1</v>
      </c>
      <c r="N371" s="84"/>
      <c r="O371" s="85">
        <f t="shared" si="25"/>
        <v>0</v>
      </c>
    </row>
    <row r="372" spans="6:15" s="70" customFormat="1" ht="12.75" customHeight="1" outlineLevel="1">
      <c r="F372" s="77">
        <v>332</v>
      </c>
      <c r="G372" s="78" t="s">
        <v>192</v>
      </c>
      <c r="H372" s="79"/>
      <c r="I372" s="133" t="s">
        <v>688</v>
      </c>
      <c r="J372" s="134" t="s">
        <v>217</v>
      </c>
      <c r="K372" s="162">
        <v>1</v>
      </c>
      <c r="L372" s="82">
        <v>0</v>
      </c>
      <c r="M372" s="83">
        <f t="shared" si="24"/>
        <v>1</v>
      </c>
      <c r="N372" s="84"/>
      <c r="O372" s="85">
        <f t="shared" si="25"/>
        <v>0</v>
      </c>
    </row>
    <row r="373" spans="6:15" s="70" customFormat="1" ht="12.75" customHeight="1" outlineLevel="1">
      <c r="F373" s="77">
        <v>333</v>
      </c>
      <c r="G373" s="78" t="s">
        <v>192</v>
      </c>
      <c r="H373" s="79"/>
      <c r="I373" s="141" t="s">
        <v>692</v>
      </c>
      <c r="J373" s="134" t="s">
        <v>217</v>
      </c>
      <c r="K373" s="162">
        <v>1</v>
      </c>
      <c r="L373" s="82">
        <v>0</v>
      </c>
      <c r="M373" s="83">
        <f t="shared" si="24"/>
        <v>1</v>
      </c>
      <c r="N373" s="84"/>
      <c r="O373" s="85">
        <f t="shared" si="25"/>
        <v>0</v>
      </c>
    </row>
    <row r="374" spans="6:15" s="70" customFormat="1" ht="12.75" customHeight="1" outlineLevel="1">
      <c r="F374" s="77">
        <v>334</v>
      </c>
      <c r="G374" s="78" t="s">
        <v>192</v>
      </c>
      <c r="H374" s="79"/>
      <c r="I374" s="141" t="s">
        <v>693</v>
      </c>
      <c r="J374" s="134" t="s">
        <v>217</v>
      </c>
      <c r="K374" s="162">
        <v>1</v>
      </c>
      <c r="L374" s="82">
        <v>0</v>
      </c>
      <c r="M374" s="83">
        <f t="shared" si="24"/>
        <v>1</v>
      </c>
      <c r="N374" s="84"/>
      <c r="O374" s="85">
        <f t="shared" si="25"/>
        <v>0</v>
      </c>
    </row>
    <row r="375" spans="6:15" s="70" customFormat="1" ht="12.75" customHeight="1" outlineLevel="1">
      <c r="F375" s="77">
        <v>335</v>
      </c>
      <c r="G375" s="78" t="s">
        <v>192</v>
      </c>
      <c r="H375" s="79"/>
      <c r="I375" s="141" t="s">
        <v>694</v>
      </c>
      <c r="J375" s="134" t="s">
        <v>217</v>
      </c>
      <c r="K375" s="162">
        <v>3</v>
      </c>
      <c r="L375" s="82">
        <v>0</v>
      </c>
      <c r="M375" s="83">
        <f t="shared" si="24"/>
        <v>3</v>
      </c>
      <c r="N375" s="84"/>
      <c r="O375" s="85">
        <f t="shared" si="25"/>
        <v>0</v>
      </c>
    </row>
    <row r="376" spans="6:15" s="70" customFormat="1" ht="12.75" customHeight="1" outlineLevel="1">
      <c r="F376" s="77">
        <v>336</v>
      </c>
      <c r="G376" s="78" t="s">
        <v>192</v>
      </c>
      <c r="H376" s="79"/>
      <c r="I376" s="141" t="s">
        <v>696</v>
      </c>
      <c r="J376" s="134" t="s">
        <v>217</v>
      </c>
      <c r="K376" s="162">
        <v>1</v>
      </c>
      <c r="L376" s="82">
        <v>0</v>
      </c>
      <c r="M376" s="83">
        <f t="shared" si="24"/>
        <v>1</v>
      </c>
      <c r="N376" s="84"/>
      <c r="O376" s="85">
        <f t="shared" si="25"/>
        <v>0</v>
      </c>
    </row>
    <row r="377" spans="6:15" s="70" customFormat="1" ht="12.75" customHeight="1" outlineLevel="1">
      <c r="F377" s="77">
        <v>337</v>
      </c>
      <c r="G377" s="78" t="s">
        <v>192</v>
      </c>
      <c r="H377" s="79"/>
      <c r="I377" s="141" t="s">
        <v>1323</v>
      </c>
      <c r="J377" s="134" t="s">
        <v>217</v>
      </c>
      <c r="K377" s="162">
        <v>1</v>
      </c>
      <c r="L377" s="82">
        <v>0</v>
      </c>
      <c r="M377" s="83">
        <f t="shared" si="24"/>
        <v>1</v>
      </c>
      <c r="N377" s="84"/>
      <c r="O377" s="85">
        <f t="shared" si="25"/>
        <v>0</v>
      </c>
    </row>
    <row r="378" spans="6:15" s="70" customFormat="1" ht="12.75" customHeight="1" outlineLevel="1">
      <c r="F378" s="77">
        <v>338</v>
      </c>
      <c r="G378" s="78" t="s">
        <v>192</v>
      </c>
      <c r="H378" s="79"/>
      <c r="I378" s="141" t="s">
        <v>1324</v>
      </c>
      <c r="J378" s="134" t="s">
        <v>217</v>
      </c>
      <c r="K378" s="162">
        <v>1</v>
      </c>
      <c r="L378" s="82">
        <v>0</v>
      </c>
      <c r="M378" s="83">
        <f t="shared" si="24"/>
        <v>1</v>
      </c>
      <c r="N378" s="84"/>
      <c r="O378" s="85">
        <f t="shared" si="25"/>
        <v>0</v>
      </c>
    </row>
    <row r="379" spans="6:15" s="70" customFormat="1" ht="12.75" customHeight="1" outlineLevel="1">
      <c r="F379" s="77">
        <v>339</v>
      </c>
      <c r="G379" s="78" t="s">
        <v>192</v>
      </c>
      <c r="H379" s="79"/>
      <c r="I379" s="141" t="s">
        <v>1325</v>
      </c>
      <c r="J379" s="134" t="s">
        <v>217</v>
      </c>
      <c r="K379" s="162">
        <v>2</v>
      </c>
      <c r="L379" s="82">
        <v>0</v>
      </c>
      <c r="M379" s="83">
        <f t="shared" si="24"/>
        <v>2</v>
      </c>
      <c r="N379" s="84"/>
      <c r="O379" s="85">
        <f t="shared" si="25"/>
        <v>0</v>
      </c>
    </row>
    <row r="380" spans="6:15" s="70" customFormat="1" ht="12.75" customHeight="1" outlineLevel="1">
      <c r="F380" s="77">
        <v>340</v>
      </c>
      <c r="G380" s="78" t="s">
        <v>192</v>
      </c>
      <c r="H380" s="79"/>
      <c r="I380" s="141" t="s">
        <v>701</v>
      </c>
      <c r="J380" s="134" t="s">
        <v>217</v>
      </c>
      <c r="K380" s="162">
        <v>2</v>
      </c>
      <c r="L380" s="82">
        <v>0</v>
      </c>
      <c r="M380" s="83">
        <f t="shared" si="24"/>
        <v>2</v>
      </c>
      <c r="N380" s="84"/>
      <c r="O380" s="85">
        <f t="shared" si="25"/>
        <v>0</v>
      </c>
    </row>
    <row r="381" spans="6:15" s="70" customFormat="1" ht="12.75" customHeight="1" outlineLevel="1">
      <c r="F381" s="77">
        <v>341</v>
      </c>
      <c r="G381" s="78" t="s">
        <v>192</v>
      </c>
      <c r="H381" s="79"/>
      <c r="I381" s="141" t="s">
        <v>1326</v>
      </c>
      <c r="J381" s="134" t="s">
        <v>217</v>
      </c>
      <c r="K381" s="162">
        <v>2</v>
      </c>
      <c r="L381" s="82">
        <v>0</v>
      </c>
      <c r="M381" s="83">
        <f t="shared" si="24"/>
        <v>2</v>
      </c>
      <c r="N381" s="84"/>
      <c r="O381" s="85">
        <f t="shared" si="25"/>
        <v>0</v>
      </c>
    </row>
    <row r="382" spans="6:15" s="70" customFormat="1" ht="12.75" customHeight="1" outlineLevel="1">
      <c r="F382" s="77">
        <v>342</v>
      </c>
      <c r="G382" s="78" t="s">
        <v>192</v>
      </c>
      <c r="H382" s="79"/>
      <c r="I382" s="146" t="s">
        <v>1327</v>
      </c>
      <c r="J382" s="134" t="s">
        <v>69</v>
      </c>
      <c r="K382" s="162">
        <v>10</v>
      </c>
      <c r="L382" s="82">
        <v>0</v>
      </c>
      <c r="M382" s="83">
        <f t="shared" si="24"/>
        <v>10</v>
      </c>
      <c r="N382" s="84"/>
      <c r="O382" s="85">
        <f t="shared" si="25"/>
        <v>0</v>
      </c>
    </row>
    <row r="383" spans="6:15" s="70" customFormat="1" ht="12.75" customHeight="1" outlineLevel="1">
      <c r="F383" s="77">
        <v>343</v>
      </c>
      <c r="G383" s="78" t="s">
        <v>192</v>
      </c>
      <c r="H383" s="79"/>
      <c r="I383" s="146" t="s">
        <v>712</v>
      </c>
      <c r="J383" s="134" t="s">
        <v>110</v>
      </c>
      <c r="K383" s="162">
        <v>1</v>
      </c>
      <c r="L383" s="82">
        <v>0</v>
      </c>
      <c r="M383" s="83">
        <f t="shared" si="24"/>
        <v>1</v>
      </c>
      <c r="N383" s="84"/>
      <c r="O383" s="85">
        <f t="shared" si="25"/>
        <v>0</v>
      </c>
    </row>
    <row r="384" spans="6:15" s="70" customFormat="1" ht="12.75" customHeight="1" outlineLevel="1">
      <c r="F384" s="77">
        <v>344</v>
      </c>
      <c r="G384" s="78" t="s">
        <v>192</v>
      </c>
      <c r="H384" s="79"/>
      <c r="I384" s="151" t="s">
        <v>715</v>
      </c>
      <c r="J384" s="134" t="s">
        <v>69</v>
      </c>
      <c r="K384" s="162">
        <v>25</v>
      </c>
      <c r="L384" s="82">
        <v>0</v>
      </c>
      <c r="M384" s="83">
        <f t="shared" si="24"/>
        <v>25</v>
      </c>
      <c r="N384" s="84"/>
      <c r="O384" s="85">
        <f t="shared" si="25"/>
        <v>0</v>
      </c>
    </row>
    <row r="385" spans="6:15" s="70" customFormat="1" ht="12.75" customHeight="1" outlineLevel="1">
      <c r="F385" s="77">
        <v>345</v>
      </c>
      <c r="G385" s="78" t="s">
        <v>192</v>
      </c>
      <c r="H385" s="79"/>
      <c r="I385" s="151" t="s">
        <v>717</v>
      </c>
      <c r="J385" s="134" t="s">
        <v>69</v>
      </c>
      <c r="K385" s="162">
        <v>50</v>
      </c>
      <c r="L385" s="82">
        <v>0</v>
      </c>
      <c r="M385" s="83">
        <f t="shared" si="24"/>
        <v>50</v>
      </c>
      <c r="N385" s="84"/>
      <c r="O385" s="85">
        <f t="shared" si="25"/>
        <v>0</v>
      </c>
    </row>
    <row r="386" spans="6:15" s="70" customFormat="1" ht="12.75" customHeight="1" outlineLevel="1">
      <c r="F386" s="77">
        <v>346</v>
      </c>
      <c r="G386" s="78" t="s">
        <v>192</v>
      </c>
      <c r="H386" s="79"/>
      <c r="I386" s="151" t="s">
        <v>1328</v>
      </c>
      <c r="J386" s="134" t="s">
        <v>69</v>
      </c>
      <c r="K386" s="162">
        <v>120</v>
      </c>
      <c r="L386" s="82">
        <v>0</v>
      </c>
      <c r="M386" s="83">
        <f t="shared" si="24"/>
        <v>120</v>
      </c>
      <c r="N386" s="84"/>
      <c r="O386" s="85">
        <f t="shared" si="25"/>
        <v>0</v>
      </c>
    </row>
    <row r="387" spans="6:15" s="70" customFormat="1" ht="12.75" customHeight="1" outlineLevel="1">
      <c r="F387" s="77">
        <v>347</v>
      </c>
      <c r="G387" s="78" t="s">
        <v>192</v>
      </c>
      <c r="H387" s="79"/>
      <c r="I387" s="151" t="s">
        <v>1328</v>
      </c>
      <c r="J387" s="134" t="s">
        <v>69</v>
      </c>
      <c r="K387" s="162">
        <v>30</v>
      </c>
      <c r="L387" s="82">
        <v>0</v>
      </c>
      <c r="M387" s="83">
        <f t="shared" si="24"/>
        <v>30</v>
      </c>
      <c r="N387" s="84"/>
      <c r="O387" s="85">
        <f t="shared" si="25"/>
        <v>0</v>
      </c>
    </row>
    <row r="388" spans="6:15" s="70" customFormat="1" ht="12.75" customHeight="1" outlineLevel="1">
      <c r="F388" s="77">
        <v>348</v>
      </c>
      <c r="G388" s="78" t="s">
        <v>192</v>
      </c>
      <c r="H388" s="79"/>
      <c r="I388" s="146" t="s">
        <v>722</v>
      </c>
      <c r="J388" s="134" t="s">
        <v>723</v>
      </c>
      <c r="K388" s="162">
        <v>30</v>
      </c>
      <c r="L388" s="82">
        <v>0</v>
      </c>
      <c r="M388" s="83">
        <f t="shared" si="24"/>
        <v>30</v>
      </c>
      <c r="N388" s="84"/>
      <c r="O388" s="85">
        <f t="shared" si="25"/>
        <v>0</v>
      </c>
    </row>
    <row r="389" spans="6:15" s="70" customFormat="1" ht="12.75" customHeight="1" outlineLevel="1">
      <c r="F389" s="77">
        <v>349</v>
      </c>
      <c r="G389" s="78" t="s">
        <v>192</v>
      </c>
      <c r="H389" s="79"/>
      <c r="I389" s="146" t="s">
        <v>724</v>
      </c>
      <c r="J389" s="134" t="s">
        <v>723</v>
      </c>
      <c r="K389" s="162">
        <v>3</v>
      </c>
      <c r="L389" s="82">
        <v>0</v>
      </c>
      <c r="M389" s="83">
        <f t="shared" si="24"/>
        <v>3</v>
      </c>
      <c r="N389" s="84"/>
      <c r="O389" s="85">
        <f t="shared" si="25"/>
        <v>0</v>
      </c>
    </row>
    <row r="390" spans="6:15" s="70" customFormat="1" ht="12.75" customHeight="1" outlineLevel="1">
      <c r="F390" s="77">
        <v>350</v>
      </c>
      <c r="G390" s="78" t="s">
        <v>192</v>
      </c>
      <c r="H390" s="79"/>
      <c r="I390" s="124" t="s">
        <v>725</v>
      </c>
      <c r="J390" s="134" t="s">
        <v>723</v>
      </c>
      <c r="K390" s="162">
        <v>5</v>
      </c>
      <c r="L390" s="82">
        <v>0</v>
      </c>
      <c r="M390" s="83">
        <f t="shared" si="24"/>
        <v>5</v>
      </c>
      <c r="N390" s="84"/>
      <c r="O390" s="85">
        <f t="shared" si="25"/>
        <v>0</v>
      </c>
    </row>
    <row r="391" spans="6:15" s="70" customFormat="1" ht="12.75" customHeight="1" outlineLevel="1">
      <c r="F391" s="77">
        <v>351</v>
      </c>
      <c r="G391" s="78" t="s">
        <v>192</v>
      </c>
      <c r="H391" s="79"/>
      <c r="I391" s="146" t="s">
        <v>726</v>
      </c>
      <c r="J391" s="134" t="s">
        <v>723</v>
      </c>
      <c r="K391" s="162">
        <v>16</v>
      </c>
      <c r="L391" s="82">
        <v>0</v>
      </c>
      <c r="M391" s="83">
        <f t="shared" si="24"/>
        <v>16</v>
      </c>
      <c r="N391" s="84"/>
      <c r="O391" s="85">
        <f t="shared" si="25"/>
        <v>0</v>
      </c>
    </row>
    <row r="392" spans="6:15" s="70" customFormat="1" ht="12.75" customHeight="1" outlineLevel="1">
      <c r="F392" s="77">
        <v>352</v>
      </c>
      <c r="G392" s="78" t="s">
        <v>192</v>
      </c>
      <c r="H392" s="79"/>
      <c r="I392" s="146" t="s">
        <v>727</v>
      </c>
      <c r="J392" s="134" t="s">
        <v>723</v>
      </c>
      <c r="K392" s="162">
        <v>8</v>
      </c>
      <c r="L392" s="82">
        <v>0</v>
      </c>
      <c r="M392" s="83">
        <f t="shared" si="24"/>
        <v>8</v>
      </c>
      <c r="N392" s="84"/>
      <c r="O392" s="85">
        <f t="shared" si="25"/>
        <v>0</v>
      </c>
    </row>
    <row r="393" spans="6:15" s="70" customFormat="1" ht="12.75" customHeight="1" outlineLevel="1">
      <c r="F393" s="77">
        <v>353</v>
      </c>
      <c r="G393" s="78" t="s">
        <v>192</v>
      </c>
      <c r="H393" s="79"/>
      <c r="I393" s="146" t="s">
        <v>728</v>
      </c>
      <c r="J393" s="134" t="s">
        <v>723</v>
      </c>
      <c r="K393" s="162">
        <v>1</v>
      </c>
      <c r="L393" s="82">
        <v>0</v>
      </c>
      <c r="M393" s="83">
        <f t="shared" si="24"/>
        <v>1</v>
      </c>
      <c r="N393" s="84"/>
      <c r="O393" s="85">
        <f t="shared" si="25"/>
        <v>0</v>
      </c>
    </row>
    <row r="394" spans="6:15" s="70" customFormat="1" ht="12.75" customHeight="1" outlineLevel="1">
      <c r="F394" s="77">
        <v>354</v>
      </c>
      <c r="G394" s="78" t="s">
        <v>192</v>
      </c>
      <c r="H394" s="79"/>
      <c r="I394" s="124" t="s">
        <v>729</v>
      </c>
      <c r="J394" s="134" t="s">
        <v>113</v>
      </c>
      <c r="K394" s="162">
        <v>1</v>
      </c>
      <c r="L394" s="82">
        <v>0</v>
      </c>
      <c r="M394" s="83">
        <f t="shared" si="24"/>
        <v>1</v>
      </c>
      <c r="N394" s="84"/>
      <c r="O394" s="85">
        <f t="shared" si="25"/>
        <v>0</v>
      </c>
    </row>
    <row r="395" spans="6:15" s="70" customFormat="1" ht="12.75" customHeight="1" outlineLevel="1">
      <c r="F395" s="77">
        <v>355</v>
      </c>
      <c r="G395" s="78" t="s">
        <v>192</v>
      </c>
      <c r="H395" s="79"/>
      <c r="I395" s="124" t="s">
        <v>730</v>
      </c>
      <c r="J395" s="134" t="s">
        <v>113</v>
      </c>
      <c r="K395" s="162">
        <v>1</v>
      </c>
      <c r="L395" s="82">
        <v>0</v>
      </c>
      <c r="M395" s="83">
        <f t="shared" si="24"/>
        <v>1</v>
      </c>
      <c r="N395" s="84"/>
      <c r="O395" s="85">
        <f t="shared" si="25"/>
        <v>0</v>
      </c>
    </row>
    <row r="396" spans="6:15" s="70" customFormat="1" ht="12.75" customHeight="1" outlineLevel="1">
      <c r="F396" s="77">
        <v>356</v>
      </c>
      <c r="G396" s="78" t="s">
        <v>192</v>
      </c>
      <c r="H396" s="79"/>
      <c r="I396" s="124" t="s">
        <v>731</v>
      </c>
      <c r="J396" s="134" t="s">
        <v>113</v>
      </c>
      <c r="K396" s="162">
        <v>1</v>
      </c>
      <c r="L396" s="82">
        <v>0</v>
      </c>
      <c r="M396" s="83">
        <f t="shared" si="24"/>
        <v>1</v>
      </c>
      <c r="N396" s="84"/>
      <c r="O396" s="85">
        <f t="shared" si="25"/>
        <v>0</v>
      </c>
    </row>
    <row r="397" spans="6:15" s="70" customFormat="1" ht="12.75" customHeight="1" outlineLevel="1">
      <c r="F397" s="77">
        <v>357</v>
      </c>
      <c r="G397" s="78" t="s">
        <v>192</v>
      </c>
      <c r="H397" s="79"/>
      <c r="I397" s="124" t="s">
        <v>732</v>
      </c>
      <c r="J397" s="134" t="s">
        <v>723</v>
      </c>
      <c r="K397" s="162">
        <v>4</v>
      </c>
      <c r="L397" s="82">
        <v>0</v>
      </c>
      <c r="M397" s="83">
        <f t="shared" si="24"/>
        <v>4</v>
      </c>
      <c r="N397" s="84"/>
      <c r="O397" s="85">
        <f t="shared" si="25"/>
        <v>0</v>
      </c>
    </row>
    <row r="398" spans="6:15" s="70" customFormat="1" ht="12.75" customHeight="1" outlineLevel="1">
      <c r="F398" s="77">
        <v>358</v>
      </c>
      <c r="G398" s="78" t="s">
        <v>35</v>
      </c>
      <c r="H398" s="79"/>
      <c r="I398" s="124" t="s">
        <v>674</v>
      </c>
      <c r="J398" s="134" t="s">
        <v>723</v>
      </c>
      <c r="K398" s="162">
        <v>20</v>
      </c>
      <c r="L398" s="82">
        <v>0</v>
      </c>
      <c r="M398" s="83">
        <f t="shared" si="24"/>
        <v>20</v>
      </c>
      <c r="N398" s="84"/>
      <c r="O398" s="85">
        <f t="shared" si="25"/>
        <v>0</v>
      </c>
    </row>
    <row r="399" spans="6:15" s="70" customFormat="1" ht="12.75" customHeight="1" outlineLevel="1">
      <c r="F399" s="77">
        <v>359</v>
      </c>
      <c r="G399" s="78" t="s">
        <v>192</v>
      </c>
      <c r="H399" s="79"/>
      <c r="I399" s="146" t="s">
        <v>1329</v>
      </c>
      <c r="J399" s="134" t="s">
        <v>113</v>
      </c>
      <c r="K399" s="162">
        <v>1</v>
      </c>
      <c r="L399" s="82">
        <v>0</v>
      </c>
      <c r="M399" s="83">
        <f t="shared" si="24"/>
        <v>1</v>
      </c>
      <c r="N399" s="84"/>
      <c r="O399" s="85">
        <f t="shared" si="25"/>
        <v>0</v>
      </c>
    </row>
    <row r="400" spans="6:15" s="70" customFormat="1" ht="12.75" customHeight="1" outlineLevel="1">
      <c r="F400" s="98"/>
      <c r="G400" s="99"/>
      <c r="H400" s="92"/>
      <c r="I400" s="113"/>
      <c r="J400" s="99"/>
      <c r="K400" s="91"/>
      <c r="L400" s="90"/>
      <c r="M400" s="91"/>
      <c r="N400" s="117"/>
      <c r="O400" s="115"/>
    </row>
    <row r="401" spans="6:15" s="70" customFormat="1" ht="16.5" customHeight="1" outlineLevel="1">
      <c r="F401" s="71"/>
      <c r="G401" s="50"/>
      <c r="H401" s="72"/>
      <c r="I401" s="72" t="s">
        <v>14</v>
      </c>
      <c r="J401" s="50"/>
      <c r="K401" s="75"/>
      <c r="L401" s="74"/>
      <c r="M401" s="75"/>
      <c r="N401" s="74"/>
      <c r="O401" s="8">
        <f>SUBTOTAL(9,O402:O410)</f>
        <v>0</v>
      </c>
    </row>
    <row r="402" spans="6:15" s="70" customFormat="1" ht="12" customHeight="1" outlineLevel="1">
      <c r="F402" s="77">
        <v>360</v>
      </c>
      <c r="G402" s="78" t="s">
        <v>35</v>
      </c>
      <c r="H402" s="79" t="s">
        <v>1330</v>
      </c>
      <c r="I402" s="80" t="s">
        <v>1331</v>
      </c>
      <c r="J402" s="78" t="s">
        <v>38</v>
      </c>
      <c r="K402" s="83">
        <v>45</v>
      </c>
      <c r="L402" s="82">
        <v>0</v>
      </c>
      <c r="M402" s="83">
        <f aca="true" t="shared" si="26" ref="M402:M410">K402*(1+L402/100)</f>
        <v>45</v>
      </c>
      <c r="N402" s="84"/>
      <c r="O402" s="85">
        <f>M402*N402</f>
        <v>0</v>
      </c>
    </row>
    <row r="403" spans="6:15" s="70" customFormat="1" ht="12" outlineLevel="1">
      <c r="F403" s="77">
        <v>361</v>
      </c>
      <c r="G403" s="78" t="s">
        <v>35</v>
      </c>
      <c r="H403" s="79" t="s">
        <v>1332</v>
      </c>
      <c r="I403" s="80" t="s">
        <v>1333</v>
      </c>
      <c r="J403" s="78" t="s">
        <v>38</v>
      </c>
      <c r="K403" s="83">
        <v>45</v>
      </c>
      <c r="L403" s="82"/>
      <c r="M403" s="83">
        <f t="shared" si="26"/>
        <v>45</v>
      </c>
      <c r="N403" s="84"/>
      <c r="O403" s="85">
        <f>M403*N403</f>
        <v>0</v>
      </c>
    </row>
    <row r="404" spans="6:15" s="70" customFormat="1" ht="12" outlineLevel="1">
      <c r="F404" s="77">
        <v>362</v>
      </c>
      <c r="G404" s="78" t="s">
        <v>35</v>
      </c>
      <c r="H404" s="79" t="s">
        <v>734</v>
      </c>
      <c r="I404" s="80" t="s">
        <v>1334</v>
      </c>
      <c r="J404" s="78" t="s">
        <v>38</v>
      </c>
      <c r="K404" s="83">
        <f>45.3+8.1+17.7</f>
        <v>71.1</v>
      </c>
      <c r="L404" s="82">
        <v>0</v>
      </c>
      <c r="M404" s="83">
        <f t="shared" si="26"/>
        <v>71.1</v>
      </c>
      <c r="N404" s="84"/>
      <c r="O404" s="85">
        <f aca="true" t="shared" si="27" ref="O404:O410">M404*N404</f>
        <v>0</v>
      </c>
    </row>
    <row r="405" spans="6:15" s="70" customFormat="1" ht="22.8" outlineLevel="1">
      <c r="F405" s="77">
        <v>363</v>
      </c>
      <c r="G405" s="78" t="s">
        <v>35</v>
      </c>
      <c r="H405" s="79" t="s">
        <v>736</v>
      </c>
      <c r="I405" s="80" t="s">
        <v>737</v>
      </c>
      <c r="J405" s="78" t="s">
        <v>38</v>
      </c>
      <c r="K405" s="83">
        <f>8+8.8+7.3</f>
        <v>24.1</v>
      </c>
      <c r="L405" s="82">
        <v>0</v>
      </c>
      <c r="M405" s="83">
        <f t="shared" si="26"/>
        <v>24.1</v>
      </c>
      <c r="N405" s="84"/>
      <c r="O405" s="85">
        <f t="shared" si="27"/>
        <v>0</v>
      </c>
    </row>
    <row r="406" spans="6:15" s="70" customFormat="1" ht="12" outlineLevel="1">
      <c r="F406" s="77">
        <v>364</v>
      </c>
      <c r="G406" s="78" t="s">
        <v>35</v>
      </c>
      <c r="H406" s="79" t="s">
        <v>738</v>
      </c>
      <c r="I406" s="80" t="s">
        <v>1335</v>
      </c>
      <c r="J406" s="78" t="s">
        <v>69</v>
      </c>
      <c r="K406" s="83">
        <f>3.45+2.25+3.6+0.5</f>
        <v>9.8</v>
      </c>
      <c r="L406" s="82">
        <v>0</v>
      </c>
      <c r="M406" s="83">
        <f t="shared" si="26"/>
        <v>9.8</v>
      </c>
      <c r="N406" s="84"/>
      <c r="O406" s="85">
        <f t="shared" si="27"/>
        <v>0</v>
      </c>
    </row>
    <row r="407" spans="6:15" s="70" customFormat="1" ht="12" outlineLevel="1">
      <c r="F407" s="77">
        <v>365</v>
      </c>
      <c r="G407" s="78" t="s">
        <v>35</v>
      </c>
      <c r="H407" s="79" t="s">
        <v>741</v>
      </c>
      <c r="I407" s="80" t="s">
        <v>742</v>
      </c>
      <c r="J407" s="78" t="s">
        <v>38</v>
      </c>
      <c r="K407" s="83">
        <f>277+7.3</f>
        <v>284.3</v>
      </c>
      <c r="L407" s="82">
        <v>0</v>
      </c>
      <c r="M407" s="83">
        <f t="shared" si="26"/>
        <v>284.3</v>
      </c>
      <c r="N407" s="84"/>
      <c r="O407" s="85">
        <f t="shared" si="27"/>
        <v>0</v>
      </c>
    </row>
    <row r="408" spans="6:15" s="70" customFormat="1" ht="195" customHeight="1" outlineLevel="1">
      <c r="F408" s="77">
        <v>366</v>
      </c>
      <c r="G408" s="78" t="s">
        <v>60</v>
      </c>
      <c r="H408" s="79" t="s">
        <v>743</v>
      </c>
      <c r="I408" s="80" t="s">
        <v>744</v>
      </c>
      <c r="J408" s="78" t="s">
        <v>38</v>
      </c>
      <c r="K408" s="83">
        <f>10.5+8+13.2+1.1+1.4+16.4+46+35.5+(3.45+2.25)*0.45+5+7.3</f>
        <v>146.965</v>
      </c>
      <c r="L408" s="82">
        <v>10</v>
      </c>
      <c r="M408" s="83">
        <f t="shared" si="26"/>
        <v>161.66150000000002</v>
      </c>
      <c r="N408" s="84"/>
      <c r="O408" s="85">
        <f t="shared" si="27"/>
        <v>0</v>
      </c>
    </row>
    <row r="409" spans="6:15" s="70" customFormat="1" ht="234" customHeight="1" outlineLevel="1">
      <c r="F409" s="77">
        <v>367</v>
      </c>
      <c r="G409" s="78" t="s">
        <v>60</v>
      </c>
      <c r="H409" s="79" t="s">
        <v>745</v>
      </c>
      <c r="I409" s="80" t="s">
        <v>746</v>
      </c>
      <c r="J409" s="78" t="s">
        <v>38</v>
      </c>
      <c r="K409" s="83">
        <f>23+19+3.5+19.1+13+13.5+13.5+18+8.1+3.6*0.45+5</f>
        <v>137.32</v>
      </c>
      <c r="L409" s="82">
        <v>10</v>
      </c>
      <c r="M409" s="83">
        <f t="shared" si="26"/>
        <v>151.052</v>
      </c>
      <c r="N409" s="84"/>
      <c r="O409" s="85">
        <f>M409*N409</f>
        <v>0</v>
      </c>
    </row>
    <row r="410" spans="6:15" s="70" customFormat="1" ht="12.75" customHeight="1" outlineLevel="1">
      <c r="F410" s="77">
        <v>368</v>
      </c>
      <c r="G410" s="78" t="s">
        <v>35</v>
      </c>
      <c r="H410" s="79" t="s">
        <v>749</v>
      </c>
      <c r="I410" s="80" t="s">
        <v>750</v>
      </c>
      <c r="J410" s="78" t="s">
        <v>367</v>
      </c>
      <c r="K410" s="83">
        <v>1.62</v>
      </c>
      <c r="L410" s="82">
        <v>0</v>
      </c>
      <c r="M410" s="83">
        <f t="shared" si="26"/>
        <v>1.62</v>
      </c>
      <c r="N410" s="84"/>
      <c r="O410" s="85">
        <f t="shared" si="27"/>
        <v>0</v>
      </c>
    </row>
    <row r="411" spans="6:15" s="70" customFormat="1" ht="12.75" customHeight="1" outlineLevel="1">
      <c r="F411" s="98"/>
      <c r="G411" s="99"/>
      <c r="H411" s="92"/>
      <c r="I411" s="113"/>
      <c r="J411" s="99"/>
      <c r="K411" s="235"/>
      <c r="L411" s="90"/>
      <c r="M411" s="91"/>
      <c r="N411" s="90"/>
      <c r="O411" s="91"/>
    </row>
    <row r="412" spans="6:15" s="70" customFormat="1" ht="16.5" customHeight="1" outlineLevel="1">
      <c r="F412" s="71"/>
      <c r="G412" s="50"/>
      <c r="H412" s="72"/>
      <c r="I412" s="72" t="s">
        <v>755</v>
      </c>
      <c r="J412" s="50"/>
      <c r="K412" s="73"/>
      <c r="L412" s="74"/>
      <c r="M412" s="75"/>
      <c r="N412" s="74"/>
      <c r="O412" s="8">
        <f>SUM(O413:O445)</f>
        <v>0</v>
      </c>
    </row>
    <row r="413" spans="6:15" s="70" customFormat="1" ht="12" outlineLevel="1">
      <c r="F413" s="77">
        <v>369</v>
      </c>
      <c r="G413" s="78" t="s">
        <v>35</v>
      </c>
      <c r="H413" s="79" t="s">
        <v>756</v>
      </c>
      <c r="I413" s="80" t="s">
        <v>1336</v>
      </c>
      <c r="J413" s="78" t="s">
        <v>38</v>
      </c>
      <c r="K413" s="81">
        <v>10.5</v>
      </c>
      <c r="L413" s="82">
        <v>0</v>
      </c>
      <c r="M413" s="83">
        <f aca="true" t="shared" si="28" ref="M413:M445">K413*(1+L413/100)</f>
        <v>10.5</v>
      </c>
      <c r="N413" s="84"/>
      <c r="O413" s="85">
        <f aca="true" t="shared" si="29" ref="O413:O432">M413*N413</f>
        <v>0</v>
      </c>
    </row>
    <row r="414" spans="6:15" s="70" customFormat="1" ht="12" outlineLevel="1">
      <c r="F414" s="77">
        <v>370</v>
      </c>
      <c r="G414" s="78" t="s">
        <v>35</v>
      </c>
      <c r="H414" s="79" t="s">
        <v>758</v>
      </c>
      <c r="I414" s="80" t="s">
        <v>1337</v>
      </c>
      <c r="J414" s="78" t="s">
        <v>38</v>
      </c>
      <c r="K414" s="83">
        <f>2.3*3.3</f>
        <v>7.589999999999999</v>
      </c>
      <c r="L414" s="82">
        <v>0</v>
      </c>
      <c r="M414" s="83">
        <f t="shared" si="28"/>
        <v>7.589999999999999</v>
      </c>
      <c r="N414" s="84"/>
      <c r="O414" s="85">
        <f t="shared" si="29"/>
        <v>0</v>
      </c>
    </row>
    <row r="415" spans="6:15" s="70" customFormat="1" ht="16.5" customHeight="1" outlineLevel="1">
      <c r="F415" s="77">
        <v>371</v>
      </c>
      <c r="G415" s="78" t="s">
        <v>35</v>
      </c>
      <c r="H415" s="79" t="s">
        <v>760</v>
      </c>
      <c r="I415" s="80" t="s">
        <v>1338</v>
      </c>
      <c r="J415" s="78" t="s">
        <v>43</v>
      </c>
      <c r="K415" s="83">
        <v>13</v>
      </c>
      <c r="L415" s="82">
        <v>0</v>
      </c>
      <c r="M415" s="83">
        <f t="shared" si="28"/>
        <v>13</v>
      </c>
      <c r="N415" s="84"/>
      <c r="O415" s="85">
        <f t="shared" si="29"/>
        <v>0</v>
      </c>
    </row>
    <row r="416" spans="6:15" s="70" customFormat="1" ht="22.8" outlineLevel="1">
      <c r="F416" s="77">
        <v>372</v>
      </c>
      <c r="G416" s="78" t="s">
        <v>35</v>
      </c>
      <c r="H416" s="79" t="s">
        <v>762</v>
      </c>
      <c r="I416" s="80" t="s">
        <v>763</v>
      </c>
      <c r="J416" s="78" t="s">
        <v>43</v>
      </c>
      <c r="K416" s="83">
        <v>6</v>
      </c>
      <c r="L416" s="82">
        <v>0</v>
      </c>
      <c r="M416" s="83">
        <f t="shared" si="28"/>
        <v>6</v>
      </c>
      <c r="N416" s="84"/>
      <c r="O416" s="85">
        <f t="shared" si="29"/>
        <v>0</v>
      </c>
    </row>
    <row r="417" spans="6:15" s="70" customFormat="1" ht="12" outlineLevel="1">
      <c r="F417" s="77">
        <v>373</v>
      </c>
      <c r="G417" s="78" t="s">
        <v>35</v>
      </c>
      <c r="H417" s="79" t="s">
        <v>764</v>
      </c>
      <c r="I417" s="80" t="s">
        <v>765</v>
      </c>
      <c r="J417" s="78" t="s">
        <v>69</v>
      </c>
      <c r="K417" s="83">
        <f>2.8*2</f>
        <v>5.6</v>
      </c>
      <c r="L417" s="82">
        <v>0</v>
      </c>
      <c r="M417" s="83">
        <f t="shared" si="28"/>
        <v>5.6</v>
      </c>
      <c r="N417" s="84"/>
      <c r="O417" s="85">
        <f t="shared" si="29"/>
        <v>0</v>
      </c>
    </row>
    <row r="418" spans="6:15" s="76" customFormat="1" ht="22.8" outlineLevel="2">
      <c r="F418" s="77">
        <v>374</v>
      </c>
      <c r="G418" s="78" t="s">
        <v>35</v>
      </c>
      <c r="H418" s="79" t="s">
        <v>768</v>
      </c>
      <c r="I418" s="80" t="s">
        <v>1339</v>
      </c>
      <c r="J418" s="78" t="s">
        <v>43</v>
      </c>
      <c r="K418" s="81">
        <v>1</v>
      </c>
      <c r="L418" s="82">
        <v>0</v>
      </c>
      <c r="M418" s="83">
        <f t="shared" si="28"/>
        <v>1</v>
      </c>
      <c r="N418" s="84"/>
      <c r="O418" s="85">
        <f t="shared" si="29"/>
        <v>0</v>
      </c>
    </row>
    <row r="419" spans="6:15" s="76" customFormat="1" ht="22.8" outlineLevel="2">
      <c r="F419" s="77">
        <v>375</v>
      </c>
      <c r="G419" s="78" t="s">
        <v>35</v>
      </c>
      <c r="H419" s="79" t="s">
        <v>770</v>
      </c>
      <c r="I419" s="80" t="s">
        <v>771</v>
      </c>
      <c r="J419" s="78" t="s">
        <v>43</v>
      </c>
      <c r="K419" s="81">
        <v>1</v>
      </c>
      <c r="L419" s="82">
        <v>0</v>
      </c>
      <c r="M419" s="83">
        <f t="shared" si="28"/>
        <v>1</v>
      </c>
      <c r="N419" s="84"/>
      <c r="O419" s="85">
        <f t="shared" si="29"/>
        <v>0</v>
      </c>
    </row>
    <row r="420" spans="6:15" s="76" customFormat="1" ht="22.8" outlineLevel="2">
      <c r="F420" s="77">
        <v>376</v>
      </c>
      <c r="G420" s="78" t="s">
        <v>35</v>
      </c>
      <c r="H420" s="79" t="s">
        <v>772</v>
      </c>
      <c r="I420" s="80" t="s">
        <v>1340</v>
      </c>
      <c r="J420" s="78" t="s">
        <v>43</v>
      </c>
      <c r="K420" s="81">
        <v>3</v>
      </c>
      <c r="L420" s="82">
        <v>0</v>
      </c>
      <c r="M420" s="83">
        <f t="shared" si="28"/>
        <v>3</v>
      </c>
      <c r="N420" s="84"/>
      <c r="O420" s="85">
        <f t="shared" si="29"/>
        <v>0</v>
      </c>
    </row>
    <row r="421" spans="6:15" s="76" customFormat="1" ht="22.8" outlineLevel="2">
      <c r="F421" s="77">
        <v>377</v>
      </c>
      <c r="G421" s="78" t="s">
        <v>35</v>
      </c>
      <c r="H421" s="79" t="s">
        <v>774</v>
      </c>
      <c r="I421" s="80" t="s">
        <v>1341</v>
      </c>
      <c r="J421" s="78" t="s">
        <v>43</v>
      </c>
      <c r="K421" s="81">
        <v>1</v>
      </c>
      <c r="L421" s="82">
        <v>0</v>
      </c>
      <c r="M421" s="83">
        <f t="shared" si="28"/>
        <v>1</v>
      </c>
      <c r="N421" s="84"/>
      <c r="O421" s="85">
        <f t="shared" si="29"/>
        <v>0</v>
      </c>
    </row>
    <row r="422" spans="6:15" s="76" customFormat="1" ht="34.2" outlineLevel="2">
      <c r="F422" s="77">
        <v>378</v>
      </c>
      <c r="G422" s="78" t="s">
        <v>35</v>
      </c>
      <c r="H422" s="79" t="s">
        <v>1342</v>
      </c>
      <c r="I422" s="80" t="s">
        <v>1343</v>
      </c>
      <c r="J422" s="78" t="s">
        <v>43</v>
      </c>
      <c r="K422" s="81">
        <v>4</v>
      </c>
      <c r="L422" s="82">
        <v>0</v>
      </c>
      <c r="M422" s="83">
        <f t="shared" si="28"/>
        <v>4</v>
      </c>
      <c r="N422" s="84"/>
      <c r="O422" s="85">
        <f t="shared" si="29"/>
        <v>0</v>
      </c>
    </row>
    <row r="423" spans="6:15" s="76" customFormat="1" ht="22.8" outlineLevel="2">
      <c r="F423" s="77">
        <v>379</v>
      </c>
      <c r="G423" s="78" t="s">
        <v>35</v>
      </c>
      <c r="H423" s="79" t="s">
        <v>776</v>
      </c>
      <c r="I423" s="80" t="s">
        <v>1344</v>
      </c>
      <c r="J423" s="78" t="s">
        <v>43</v>
      </c>
      <c r="K423" s="81">
        <v>1</v>
      </c>
      <c r="L423" s="82">
        <v>0</v>
      </c>
      <c r="M423" s="83">
        <f t="shared" si="28"/>
        <v>1</v>
      </c>
      <c r="N423" s="84"/>
      <c r="O423" s="85">
        <f t="shared" si="29"/>
        <v>0</v>
      </c>
    </row>
    <row r="424" spans="6:15" s="76" customFormat="1" ht="22.8" outlineLevel="2">
      <c r="F424" s="77">
        <v>380</v>
      </c>
      <c r="G424" s="78" t="s">
        <v>35</v>
      </c>
      <c r="H424" s="79" t="s">
        <v>1345</v>
      </c>
      <c r="I424" s="80" t="s">
        <v>1346</v>
      </c>
      <c r="J424" s="78" t="s">
        <v>43</v>
      </c>
      <c r="K424" s="81">
        <v>1</v>
      </c>
      <c r="L424" s="82">
        <v>0</v>
      </c>
      <c r="M424" s="83">
        <f t="shared" si="28"/>
        <v>1</v>
      </c>
      <c r="N424" s="84"/>
      <c r="O424" s="85">
        <f t="shared" si="29"/>
        <v>0</v>
      </c>
    </row>
    <row r="425" spans="6:15" s="76" customFormat="1" ht="22.8" outlineLevel="2">
      <c r="F425" s="77">
        <v>381</v>
      </c>
      <c r="G425" s="78" t="s">
        <v>35</v>
      </c>
      <c r="H425" s="79" t="s">
        <v>1347</v>
      </c>
      <c r="I425" s="80" t="s">
        <v>1348</v>
      </c>
      <c r="J425" s="78" t="s">
        <v>43</v>
      </c>
      <c r="K425" s="81">
        <v>1</v>
      </c>
      <c r="L425" s="82">
        <v>0</v>
      </c>
      <c r="M425" s="83">
        <f t="shared" si="28"/>
        <v>1</v>
      </c>
      <c r="N425" s="84"/>
      <c r="O425" s="85">
        <f t="shared" si="29"/>
        <v>0</v>
      </c>
    </row>
    <row r="426" spans="6:15" s="76" customFormat="1" ht="22.8" outlineLevel="2">
      <c r="F426" s="77">
        <v>382</v>
      </c>
      <c r="G426" s="78" t="s">
        <v>35</v>
      </c>
      <c r="H426" s="79" t="s">
        <v>780</v>
      </c>
      <c r="I426" s="80" t="s">
        <v>1349</v>
      </c>
      <c r="J426" s="78" t="s">
        <v>43</v>
      </c>
      <c r="K426" s="81">
        <v>1</v>
      </c>
      <c r="L426" s="82">
        <v>0</v>
      </c>
      <c r="M426" s="83">
        <f t="shared" si="28"/>
        <v>1</v>
      </c>
      <c r="N426" s="84"/>
      <c r="O426" s="85">
        <f t="shared" si="29"/>
        <v>0</v>
      </c>
    </row>
    <row r="427" spans="6:15" s="76" customFormat="1" ht="22.8" outlineLevel="2">
      <c r="F427" s="77">
        <v>383</v>
      </c>
      <c r="G427" s="78" t="s">
        <v>35</v>
      </c>
      <c r="H427" s="79" t="s">
        <v>783</v>
      </c>
      <c r="I427" s="80" t="s">
        <v>1350</v>
      </c>
      <c r="J427" s="78" t="s">
        <v>43</v>
      </c>
      <c r="K427" s="81">
        <v>1</v>
      </c>
      <c r="L427" s="82">
        <v>0</v>
      </c>
      <c r="M427" s="83">
        <f t="shared" si="28"/>
        <v>1</v>
      </c>
      <c r="N427" s="84"/>
      <c r="O427" s="85">
        <f t="shared" si="29"/>
        <v>0</v>
      </c>
    </row>
    <row r="428" spans="6:15" s="76" customFormat="1" ht="22.8" outlineLevel="2">
      <c r="F428" s="77">
        <v>384</v>
      </c>
      <c r="G428" s="78" t="s">
        <v>35</v>
      </c>
      <c r="H428" s="79" t="s">
        <v>1351</v>
      </c>
      <c r="I428" s="80" t="s">
        <v>1352</v>
      </c>
      <c r="J428" s="78" t="s">
        <v>43</v>
      </c>
      <c r="K428" s="81">
        <v>1</v>
      </c>
      <c r="L428" s="82">
        <v>0</v>
      </c>
      <c r="M428" s="83">
        <f t="shared" si="28"/>
        <v>1</v>
      </c>
      <c r="N428" s="84"/>
      <c r="O428" s="85">
        <f t="shared" si="29"/>
        <v>0</v>
      </c>
    </row>
    <row r="429" spans="6:15" s="76" customFormat="1" ht="22.8" outlineLevel="2">
      <c r="F429" s="77">
        <v>385</v>
      </c>
      <c r="G429" s="78" t="s">
        <v>35</v>
      </c>
      <c r="H429" s="79" t="s">
        <v>785</v>
      </c>
      <c r="I429" s="80" t="s">
        <v>1353</v>
      </c>
      <c r="J429" s="78" t="s">
        <v>43</v>
      </c>
      <c r="K429" s="81">
        <v>3</v>
      </c>
      <c r="L429" s="82">
        <v>0</v>
      </c>
      <c r="M429" s="83">
        <f t="shared" si="28"/>
        <v>3</v>
      </c>
      <c r="N429" s="84"/>
      <c r="O429" s="85">
        <f t="shared" si="29"/>
        <v>0</v>
      </c>
    </row>
    <row r="430" spans="6:15" s="76" customFormat="1" ht="22.8" outlineLevel="2">
      <c r="F430" s="77">
        <v>386</v>
      </c>
      <c r="G430" s="78" t="s">
        <v>35</v>
      </c>
      <c r="H430" s="79" t="s">
        <v>790</v>
      </c>
      <c r="I430" s="80" t="s">
        <v>791</v>
      </c>
      <c r="J430" s="78" t="s">
        <v>69</v>
      </c>
      <c r="K430" s="81">
        <v>44</v>
      </c>
      <c r="L430" s="82">
        <v>0</v>
      </c>
      <c r="M430" s="83">
        <f t="shared" si="28"/>
        <v>44</v>
      </c>
      <c r="N430" s="84"/>
      <c r="O430" s="85">
        <f t="shared" si="29"/>
        <v>0</v>
      </c>
    </row>
    <row r="431" spans="6:15" s="76" customFormat="1" ht="22.8" outlineLevel="2">
      <c r="F431" s="77">
        <v>387</v>
      </c>
      <c r="G431" s="78" t="s">
        <v>35</v>
      </c>
      <c r="H431" s="79" t="s">
        <v>1354</v>
      </c>
      <c r="I431" s="80" t="s">
        <v>1355</v>
      </c>
      <c r="J431" s="78" t="s">
        <v>69</v>
      </c>
      <c r="K431" s="81">
        <v>24</v>
      </c>
      <c r="L431" s="82">
        <v>0</v>
      </c>
      <c r="M431" s="83">
        <f t="shared" si="28"/>
        <v>24</v>
      </c>
      <c r="N431" s="84"/>
      <c r="O431" s="85">
        <f t="shared" si="29"/>
        <v>0</v>
      </c>
    </row>
    <row r="432" spans="6:15" s="76" customFormat="1" ht="22.8" outlineLevel="2">
      <c r="F432" s="77">
        <v>388</v>
      </c>
      <c r="G432" s="78" t="s">
        <v>35</v>
      </c>
      <c r="H432" s="79" t="s">
        <v>1356</v>
      </c>
      <c r="I432" s="80" t="s">
        <v>1357</v>
      </c>
      <c r="J432" s="78" t="s">
        <v>69</v>
      </c>
      <c r="K432" s="81">
        <v>32</v>
      </c>
      <c r="L432" s="82">
        <v>0</v>
      </c>
      <c r="M432" s="83">
        <f t="shared" si="28"/>
        <v>32</v>
      </c>
      <c r="N432" s="84"/>
      <c r="O432" s="85">
        <f t="shared" si="29"/>
        <v>0</v>
      </c>
    </row>
    <row r="433" spans="6:15" s="76" customFormat="1" ht="11.4" outlineLevel="2">
      <c r="F433" s="77">
        <v>389</v>
      </c>
      <c r="G433" s="78" t="s">
        <v>35</v>
      </c>
      <c r="H433" s="174" t="s">
        <v>1358</v>
      </c>
      <c r="I433" s="80" t="s">
        <v>1359</v>
      </c>
      <c r="J433" s="78" t="s">
        <v>69</v>
      </c>
      <c r="K433" s="81">
        <v>7.25</v>
      </c>
      <c r="L433" s="82">
        <v>0</v>
      </c>
      <c r="M433" s="83">
        <f t="shared" si="28"/>
        <v>7.25</v>
      </c>
      <c r="N433" s="84"/>
      <c r="O433" s="85">
        <f>M433*N433</f>
        <v>0</v>
      </c>
    </row>
    <row r="434" spans="6:15" s="76" customFormat="1" ht="22.8" outlineLevel="2">
      <c r="F434" s="77">
        <v>390</v>
      </c>
      <c r="G434" s="78" t="s">
        <v>35</v>
      </c>
      <c r="H434" s="174" t="s">
        <v>799</v>
      </c>
      <c r="I434" s="80" t="s">
        <v>1360</v>
      </c>
      <c r="J434" s="78" t="s">
        <v>217</v>
      </c>
      <c r="K434" s="81">
        <v>3</v>
      </c>
      <c r="L434" s="82">
        <v>0</v>
      </c>
      <c r="M434" s="83">
        <f t="shared" si="28"/>
        <v>3</v>
      </c>
      <c r="N434" s="84"/>
      <c r="O434" s="85">
        <f aca="true" t="shared" si="30" ref="O434:O443">M434*N434</f>
        <v>0</v>
      </c>
    </row>
    <row r="435" spans="6:15" s="76" customFormat="1" ht="22.8" outlineLevel="2">
      <c r="F435" s="77">
        <v>391</v>
      </c>
      <c r="G435" s="78" t="s">
        <v>35</v>
      </c>
      <c r="H435" s="174" t="s">
        <v>887</v>
      </c>
      <c r="I435" s="80" t="s">
        <v>1361</v>
      </c>
      <c r="J435" s="78" t="s">
        <v>217</v>
      </c>
      <c r="K435" s="81">
        <v>4</v>
      </c>
      <c r="L435" s="82">
        <v>0</v>
      </c>
      <c r="M435" s="83">
        <f t="shared" si="28"/>
        <v>4</v>
      </c>
      <c r="N435" s="84"/>
      <c r="O435" s="85">
        <f t="shared" si="30"/>
        <v>0</v>
      </c>
    </row>
    <row r="436" spans="6:15" s="76" customFormat="1" ht="22.8" outlineLevel="2">
      <c r="F436" s="77">
        <v>392</v>
      </c>
      <c r="G436" s="78" t="s">
        <v>35</v>
      </c>
      <c r="H436" s="174" t="s">
        <v>798</v>
      </c>
      <c r="I436" s="80" t="s">
        <v>1362</v>
      </c>
      <c r="J436" s="78" t="s">
        <v>217</v>
      </c>
      <c r="K436" s="81">
        <v>1</v>
      </c>
      <c r="L436" s="82">
        <v>0</v>
      </c>
      <c r="M436" s="83">
        <f t="shared" si="28"/>
        <v>1</v>
      </c>
      <c r="N436" s="84"/>
      <c r="O436" s="85">
        <f t="shared" si="30"/>
        <v>0</v>
      </c>
    </row>
    <row r="437" spans="6:15" s="76" customFormat="1" ht="34.2" outlineLevel="2">
      <c r="F437" s="77">
        <v>393</v>
      </c>
      <c r="G437" s="78" t="s">
        <v>35</v>
      </c>
      <c r="H437" s="174" t="s">
        <v>807</v>
      </c>
      <c r="I437" s="80" t="s">
        <v>1363</v>
      </c>
      <c r="J437" s="78" t="s">
        <v>217</v>
      </c>
      <c r="K437" s="81">
        <v>5</v>
      </c>
      <c r="L437" s="82">
        <v>0</v>
      </c>
      <c r="M437" s="83">
        <f t="shared" si="28"/>
        <v>5</v>
      </c>
      <c r="N437" s="84"/>
      <c r="O437" s="85">
        <f t="shared" si="30"/>
        <v>0</v>
      </c>
    </row>
    <row r="438" spans="6:15" s="76" customFormat="1" ht="22.8" outlineLevel="2">
      <c r="F438" s="77">
        <v>394</v>
      </c>
      <c r="G438" s="78" t="s">
        <v>35</v>
      </c>
      <c r="H438" s="174" t="s">
        <v>811</v>
      </c>
      <c r="I438" s="80" t="s">
        <v>1364</v>
      </c>
      <c r="J438" s="78" t="s">
        <v>217</v>
      </c>
      <c r="K438" s="81">
        <v>1</v>
      </c>
      <c r="L438" s="82">
        <v>0</v>
      </c>
      <c r="M438" s="83">
        <f t="shared" si="28"/>
        <v>1</v>
      </c>
      <c r="N438" s="84"/>
      <c r="O438" s="85">
        <f t="shared" si="30"/>
        <v>0</v>
      </c>
    </row>
    <row r="439" spans="6:15" s="76" customFormat="1" ht="22.8" outlineLevel="2">
      <c r="F439" s="77">
        <v>395</v>
      </c>
      <c r="G439" s="78" t="s">
        <v>35</v>
      </c>
      <c r="H439" s="174" t="s">
        <v>804</v>
      </c>
      <c r="I439" s="80" t="s">
        <v>1365</v>
      </c>
      <c r="J439" s="78" t="s">
        <v>217</v>
      </c>
      <c r="K439" s="81">
        <v>1</v>
      </c>
      <c r="L439" s="82">
        <v>0</v>
      </c>
      <c r="M439" s="83">
        <f t="shared" si="28"/>
        <v>1</v>
      </c>
      <c r="N439" s="84"/>
      <c r="O439" s="85">
        <f t="shared" si="30"/>
        <v>0</v>
      </c>
    </row>
    <row r="440" spans="6:15" s="76" customFormat="1" ht="22.8" outlineLevel="2">
      <c r="F440" s="77">
        <v>396</v>
      </c>
      <c r="G440" s="78" t="s">
        <v>35</v>
      </c>
      <c r="H440" s="174" t="s">
        <v>890</v>
      </c>
      <c r="I440" s="80" t="s">
        <v>1366</v>
      </c>
      <c r="J440" s="78" t="s">
        <v>217</v>
      </c>
      <c r="K440" s="81">
        <v>1</v>
      </c>
      <c r="L440" s="82">
        <v>0</v>
      </c>
      <c r="M440" s="83">
        <f t="shared" si="28"/>
        <v>1</v>
      </c>
      <c r="N440" s="84"/>
      <c r="O440" s="85">
        <f t="shared" si="30"/>
        <v>0</v>
      </c>
    </row>
    <row r="441" spans="6:15" s="76" customFormat="1" ht="22.8" outlineLevel="2">
      <c r="F441" s="77">
        <v>397</v>
      </c>
      <c r="G441" s="78" t="s">
        <v>35</v>
      </c>
      <c r="H441" s="174" t="s">
        <v>889</v>
      </c>
      <c r="I441" s="80" t="s">
        <v>1367</v>
      </c>
      <c r="J441" s="78" t="s">
        <v>217</v>
      </c>
      <c r="K441" s="81">
        <v>2</v>
      </c>
      <c r="L441" s="82">
        <v>0</v>
      </c>
      <c r="M441" s="83">
        <f t="shared" si="28"/>
        <v>2</v>
      </c>
      <c r="N441" s="84"/>
      <c r="O441" s="85">
        <f t="shared" si="30"/>
        <v>0</v>
      </c>
    </row>
    <row r="442" spans="6:15" s="76" customFormat="1" ht="22.8" outlineLevel="2">
      <c r="F442" s="77">
        <v>398</v>
      </c>
      <c r="G442" s="78" t="s">
        <v>35</v>
      </c>
      <c r="H442" s="174" t="s">
        <v>891</v>
      </c>
      <c r="I442" s="80" t="s">
        <v>1368</v>
      </c>
      <c r="J442" s="78" t="s">
        <v>217</v>
      </c>
      <c r="K442" s="81">
        <v>1</v>
      </c>
      <c r="L442" s="82">
        <v>0</v>
      </c>
      <c r="M442" s="83">
        <f t="shared" si="28"/>
        <v>1</v>
      </c>
      <c r="N442" s="84"/>
      <c r="O442" s="85">
        <f t="shared" si="30"/>
        <v>0</v>
      </c>
    </row>
    <row r="443" spans="6:15" s="76" customFormat="1" ht="22.8" outlineLevel="2">
      <c r="F443" s="77">
        <v>399</v>
      </c>
      <c r="G443" s="78" t="s">
        <v>35</v>
      </c>
      <c r="H443" s="174" t="s">
        <v>888</v>
      </c>
      <c r="I443" s="80" t="s">
        <v>1369</v>
      </c>
      <c r="J443" s="78" t="s">
        <v>217</v>
      </c>
      <c r="K443" s="81">
        <v>1</v>
      </c>
      <c r="L443" s="82">
        <v>0</v>
      </c>
      <c r="M443" s="83">
        <f t="shared" si="28"/>
        <v>1</v>
      </c>
      <c r="N443" s="84"/>
      <c r="O443" s="85">
        <f t="shared" si="30"/>
        <v>0</v>
      </c>
    </row>
    <row r="444" spans="6:15" s="76" customFormat="1" ht="22.8" outlineLevel="2">
      <c r="F444" s="77">
        <v>400</v>
      </c>
      <c r="G444" s="78" t="s">
        <v>35</v>
      </c>
      <c r="H444" s="174" t="s">
        <v>1370</v>
      </c>
      <c r="I444" s="80" t="s">
        <v>1371</v>
      </c>
      <c r="J444" s="78" t="s">
        <v>217</v>
      </c>
      <c r="K444" s="81">
        <v>1</v>
      </c>
      <c r="L444" s="82">
        <v>0</v>
      </c>
      <c r="M444" s="83">
        <f>K444*(1+L444/100)</f>
        <v>1</v>
      </c>
      <c r="N444" s="84"/>
      <c r="O444" s="85">
        <f>M444*N444</f>
        <v>0</v>
      </c>
    </row>
    <row r="445" spans="6:15" s="76" customFormat="1" ht="11.4" outlineLevel="2">
      <c r="F445" s="77">
        <v>401</v>
      </c>
      <c r="G445" s="78" t="s">
        <v>35</v>
      </c>
      <c r="H445" s="79" t="s">
        <v>813</v>
      </c>
      <c r="I445" s="80" t="s">
        <v>814</v>
      </c>
      <c r="J445" s="78" t="s">
        <v>367</v>
      </c>
      <c r="K445" s="83">
        <v>1.1</v>
      </c>
      <c r="L445" s="82">
        <v>0</v>
      </c>
      <c r="M445" s="83">
        <f t="shared" si="28"/>
        <v>1.1</v>
      </c>
      <c r="N445" s="84"/>
      <c r="O445" s="85">
        <f>M445*N445</f>
        <v>0</v>
      </c>
    </row>
    <row r="446" spans="6:15" s="62" customFormat="1" ht="12.75" customHeight="1" outlineLevel="2">
      <c r="F446" s="63"/>
      <c r="G446" s="64"/>
      <c r="H446" s="64"/>
      <c r="I446" s="65"/>
      <c r="J446" s="64"/>
      <c r="K446" s="66"/>
      <c r="L446" s="67"/>
      <c r="M446" s="68"/>
      <c r="N446" s="67"/>
      <c r="O446" s="69"/>
    </row>
    <row r="447" spans="6:15" s="70" customFormat="1" ht="16.5" customHeight="1" outlineLevel="1">
      <c r="F447" s="71"/>
      <c r="G447" s="50"/>
      <c r="H447" s="72"/>
      <c r="I447" s="72" t="s">
        <v>815</v>
      </c>
      <c r="J447" s="50"/>
      <c r="K447" s="73"/>
      <c r="L447" s="74"/>
      <c r="M447" s="75"/>
      <c r="N447" s="74"/>
      <c r="O447" s="8">
        <f>SUBTOTAL(9,O448:O452)</f>
        <v>0</v>
      </c>
    </row>
    <row r="448" spans="6:15" s="70" customFormat="1" ht="12" outlineLevel="1">
      <c r="F448" s="77">
        <v>402</v>
      </c>
      <c r="G448" s="78" t="s">
        <v>35</v>
      </c>
      <c r="H448" s="79" t="s">
        <v>824</v>
      </c>
      <c r="I448" s="80" t="s">
        <v>825</v>
      </c>
      <c r="J448" s="78" t="s">
        <v>43</v>
      </c>
      <c r="K448" s="81">
        <v>1</v>
      </c>
      <c r="L448" s="82">
        <v>0</v>
      </c>
      <c r="M448" s="83">
        <f>K448*(1+L448/100)</f>
        <v>1</v>
      </c>
      <c r="N448" s="84"/>
      <c r="O448" s="85">
        <f>M448*N448</f>
        <v>0</v>
      </c>
    </row>
    <row r="449" spans="6:15" s="70" customFormat="1" ht="12" outlineLevel="1">
      <c r="F449" s="77">
        <v>403</v>
      </c>
      <c r="G449" s="78" t="s">
        <v>35</v>
      </c>
      <c r="H449" s="79" t="s">
        <v>824</v>
      </c>
      <c r="I449" s="80" t="s">
        <v>1372</v>
      </c>
      <c r="J449" s="78" t="s">
        <v>43</v>
      </c>
      <c r="K449" s="81">
        <v>1</v>
      </c>
      <c r="L449" s="82">
        <v>0</v>
      </c>
      <c r="M449" s="83">
        <f>K449*(1+L449/100)</f>
        <v>1</v>
      </c>
      <c r="N449" s="84"/>
      <c r="O449" s="85">
        <f>M449*N449</f>
        <v>0</v>
      </c>
    </row>
    <row r="450" spans="6:15" s="70" customFormat="1" ht="12" outlineLevel="1">
      <c r="F450" s="77">
        <v>404</v>
      </c>
      <c r="G450" s="78" t="s">
        <v>35</v>
      </c>
      <c r="H450" s="79" t="s">
        <v>824</v>
      </c>
      <c r="I450" s="80" t="s">
        <v>821</v>
      </c>
      <c r="J450" s="78" t="s">
        <v>43</v>
      </c>
      <c r="K450" s="81">
        <v>3</v>
      </c>
      <c r="L450" s="82">
        <v>0</v>
      </c>
      <c r="M450" s="83">
        <f>K450*(1+L450/100)</f>
        <v>3</v>
      </c>
      <c r="N450" s="84"/>
      <c r="O450" s="85">
        <f>M450*N450</f>
        <v>0</v>
      </c>
    </row>
    <row r="451" spans="6:15" s="70" customFormat="1" ht="12" outlineLevel="1">
      <c r="F451" s="77">
        <v>405</v>
      </c>
      <c r="G451" s="78" t="s">
        <v>35</v>
      </c>
      <c r="H451" s="79" t="s">
        <v>824</v>
      </c>
      <c r="I451" s="80" t="s">
        <v>817</v>
      </c>
      <c r="J451" s="78" t="s">
        <v>43</v>
      </c>
      <c r="K451" s="81">
        <v>2</v>
      </c>
      <c r="L451" s="82">
        <v>0</v>
      </c>
      <c r="M451" s="83">
        <f>K451*(1+L451/100)</f>
        <v>2</v>
      </c>
      <c r="N451" s="84"/>
      <c r="O451" s="85">
        <f>M451*N451</f>
        <v>0</v>
      </c>
    </row>
    <row r="452" spans="6:15" s="76" customFormat="1" ht="11.4" outlineLevel="2">
      <c r="F452" s="77">
        <v>406</v>
      </c>
      <c r="G452" s="78" t="s">
        <v>35</v>
      </c>
      <c r="H452" s="79" t="s">
        <v>830</v>
      </c>
      <c r="I452" s="80" t="s">
        <v>831</v>
      </c>
      <c r="J452" s="78" t="s">
        <v>367</v>
      </c>
      <c r="K452" s="83">
        <v>1.81</v>
      </c>
      <c r="L452" s="82">
        <v>0</v>
      </c>
      <c r="M452" s="83">
        <f>K452*(1+L452/100)</f>
        <v>1.81</v>
      </c>
      <c r="N452" s="84"/>
      <c r="O452" s="85">
        <f>M452*N452</f>
        <v>0</v>
      </c>
    </row>
    <row r="453" spans="6:15" s="62" customFormat="1" ht="12.75" customHeight="1" outlineLevel="2">
      <c r="F453" s="63"/>
      <c r="G453" s="64"/>
      <c r="H453" s="64"/>
      <c r="I453" s="65"/>
      <c r="J453" s="64"/>
      <c r="K453" s="66"/>
      <c r="L453" s="67"/>
      <c r="M453" s="68"/>
      <c r="N453" s="67"/>
      <c r="O453" s="69"/>
    </row>
    <row r="454" spans="6:15" s="62" customFormat="1" ht="16.5" customHeight="1" outlineLevel="2">
      <c r="F454" s="71"/>
      <c r="G454" s="50"/>
      <c r="H454" s="72"/>
      <c r="I454" s="72" t="s">
        <v>16</v>
      </c>
      <c r="J454" s="50"/>
      <c r="K454" s="75"/>
      <c r="L454" s="74"/>
      <c r="M454" s="75"/>
      <c r="N454" s="74"/>
      <c r="O454" s="8">
        <f>SUBTOTAL(9,O455:O460)</f>
        <v>0</v>
      </c>
    </row>
    <row r="455" spans="6:15" s="62" customFormat="1" ht="12.75" customHeight="1" outlineLevel="2">
      <c r="F455" s="77">
        <v>407</v>
      </c>
      <c r="G455" s="78" t="s">
        <v>35</v>
      </c>
      <c r="H455" s="79" t="s">
        <v>832</v>
      </c>
      <c r="I455" s="80" t="s">
        <v>833</v>
      </c>
      <c r="J455" s="78" t="s">
        <v>38</v>
      </c>
      <c r="K455" s="83">
        <f>7.3*2.5+1.44+1.44+2.04+4.83+4.26+4.26+2.07</f>
        <v>38.589999999999996</v>
      </c>
      <c r="L455" s="82">
        <v>0</v>
      </c>
      <c r="M455" s="83">
        <f aca="true" t="shared" si="31" ref="M455:M460">K455*(1+L455/100)</f>
        <v>38.589999999999996</v>
      </c>
      <c r="N455" s="84"/>
      <c r="O455" s="85">
        <f aca="true" t="shared" si="32" ref="O455:O460">M455*N455</f>
        <v>0</v>
      </c>
    </row>
    <row r="456" spans="6:15" s="62" customFormat="1" ht="12.75" customHeight="1" outlineLevel="2">
      <c r="F456" s="77">
        <v>408</v>
      </c>
      <c r="G456" s="78" t="s">
        <v>35</v>
      </c>
      <c r="H456" s="79" t="s">
        <v>834</v>
      </c>
      <c r="I456" s="80" t="s">
        <v>835</v>
      </c>
      <c r="J456" s="78" t="s">
        <v>69</v>
      </c>
      <c r="K456" s="83">
        <f>0.6+4+2.4</f>
        <v>7</v>
      </c>
      <c r="L456" s="82">
        <v>0</v>
      </c>
      <c r="M456" s="83">
        <f t="shared" si="31"/>
        <v>7</v>
      </c>
      <c r="N456" s="84"/>
      <c r="O456" s="85">
        <f t="shared" si="32"/>
        <v>0</v>
      </c>
    </row>
    <row r="457" spans="6:15" s="62" customFormat="1" ht="12.75" customHeight="1" outlineLevel="2">
      <c r="F457" s="77">
        <v>409</v>
      </c>
      <c r="G457" s="78" t="s">
        <v>35</v>
      </c>
      <c r="H457" s="79" t="s">
        <v>1373</v>
      </c>
      <c r="I457" s="80" t="s">
        <v>1374</v>
      </c>
      <c r="J457" s="78" t="s">
        <v>38</v>
      </c>
      <c r="K457" s="83">
        <f>1.38+1.12</f>
        <v>2.5</v>
      </c>
      <c r="L457" s="82">
        <v>0</v>
      </c>
      <c r="M457" s="83">
        <f t="shared" si="31"/>
        <v>2.5</v>
      </c>
      <c r="N457" s="84"/>
      <c r="O457" s="85">
        <f t="shared" si="32"/>
        <v>0</v>
      </c>
    </row>
    <row r="458" spans="6:15" s="62" customFormat="1" ht="12.75" customHeight="1" outlineLevel="2">
      <c r="F458" s="77">
        <v>410</v>
      </c>
      <c r="G458" s="78" t="s">
        <v>35</v>
      </c>
      <c r="H458" s="79" t="s">
        <v>1375</v>
      </c>
      <c r="I458" s="80" t="s">
        <v>1376</v>
      </c>
      <c r="J458" s="78" t="s">
        <v>38</v>
      </c>
      <c r="K458" s="83">
        <v>2.5</v>
      </c>
      <c r="L458" s="82">
        <v>0</v>
      </c>
      <c r="M458" s="83">
        <f t="shared" si="31"/>
        <v>2.5</v>
      </c>
      <c r="N458" s="84"/>
      <c r="O458" s="85">
        <f t="shared" si="32"/>
        <v>0</v>
      </c>
    </row>
    <row r="459" spans="6:15" s="62" customFormat="1" ht="22.8" outlineLevel="2">
      <c r="F459" s="77">
        <v>411</v>
      </c>
      <c r="G459" s="78" t="s">
        <v>60</v>
      </c>
      <c r="H459" s="79" t="s">
        <v>1377</v>
      </c>
      <c r="I459" s="80" t="s">
        <v>1378</v>
      </c>
      <c r="J459" s="78" t="s">
        <v>38</v>
      </c>
      <c r="K459" s="83">
        <v>2.5</v>
      </c>
      <c r="L459" s="82">
        <v>10</v>
      </c>
      <c r="M459" s="83">
        <f t="shared" si="31"/>
        <v>2.75</v>
      </c>
      <c r="N459" s="84"/>
      <c r="O459" s="85">
        <f t="shared" si="32"/>
        <v>0</v>
      </c>
    </row>
    <row r="460" spans="6:15" s="62" customFormat="1" ht="12.75" customHeight="1" outlineLevel="2">
      <c r="F460" s="77">
        <v>412</v>
      </c>
      <c r="G460" s="78" t="s">
        <v>35</v>
      </c>
      <c r="H460" s="79" t="s">
        <v>836</v>
      </c>
      <c r="I460" s="80" t="s">
        <v>837</v>
      </c>
      <c r="J460" s="78" t="s">
        <v>367</v>
      </c>
      <c r="K460" s="83">
        <v>6.92</v>
      </c>
      <c r="L460" s="82">
        <v>0</v>
      </c>
      <c r="M460" s="83">
        <f t="shared" si="31"/>
        <v>6.92</v>
      </c>
      <c r="N460" s="84"/>
      <c r="O460" s="85">
        <f t="shared" si="32"/>
        <v>0</v>
      </c>
    </row>
    <row r="461" spans="6:15" s="62" customFormat="1" ht="12.75" customHeight="1" outlineLevel="2">
      <c r="F461" s="63"/>
      <c r="G461" s="64"/>
      <c r="H461" s="64"/>
      <c r="I461" s="65"/>
      <c r="J461" s="64"/>
      <c r="K461" s="66"/>
      <c r="L461" s="67"/>
      <c r="M461" s="68"/>
      <c r="N461" s="67"/>
      <c r="O461" s="69"/>
    </row>
    <row r="462" spans="6:15" s="62" customFormat="1" ht="16.5" customHeight="1" outlineLevel="2">
      <c r="F462" s="63"/>
      <c r="G462" s="64"/>
      <c r="H462" s="64"/>
      <c r="I462" s="72" t="s">
        <v>17</v>
      </c>
      <c r="J462" s="64"/>
      <c r="K462" s="66"/>
      <c r="L462" s="67"/>
      <c r="M462" s="68"/>
      <c r="N462" s="67"/>
      <c r="O462" s="8">
        <f>SUM(O463:O471)</f>
        <v>0</v>
      </c>
    </row>
    <row r="463" spans="6:15" s="62" customFormat="1" ht="11.4" outlineLevel="2">
      <c r="F463" s="77">
        <v>413</v>
      </c>
      <c r="G463" s="78" t="s">
        <v>35</v>
      </c>
      <c r="H463" s="79" t="s">
        <v>838</v>
      </c>
      <c r="I463" s="80" t="s">
        <v>839</v>
      </c>
      <c r="J463" s="78" t="s">
        <v>38</v>
      </c>
      <c r="K463" s="83">
        <f>10.35+7.97+50.72+22.92+22.92+19+22.6+16.8+16.8+4.83+31.4+3*2.8+6.31+4.31</f>
        <v>245.33000000000004</v>
      </c>
      <c r="L463" s="82">
        <v>0</v>
      </c>
      <c r="M463" s="83">
        <f aca="true" t="shared" si="33" ref="M463:M471">K463*(1+L463/100)</f>
        <v>245.33000000000004</v>
      </c>
      <c r="N463" s="84"/>
      <c r="O463" s="85">
        <f>M463*N463</f>
        <v>0</v>
      </c>
    </row>
    <row r="464" spans="6:15" s="62" customFormat="1" ht="11.4" outlineLevel="2">
      <c r="F464" s="77">
        <v>414</v>
      </c>
      <c r="G464" s="78" t="s">
        <v>35</v>
      </c>
      <c r="H464" s="79" t="s">
        <v>842</v>
      </c>
      <c r="I464" s="80" t="s">
        <v>1379</v>
      </c>
      <c r="J464" s="78" t="s">
        <v>38</v>
      </c>
      <c r="K464" s="83">
        <f>245.33+38.59+2.5</f>
        <v>286.42</v>
      </c>
      <c r="L464" s="82">
        <v>0</v>
      </c>
      <c r="M464" s="83">
        <f t="shared" si="33"/>
        <v>286.42</v>
      </c>
      <c r="N464" s="84"/>
      <c r="O464" s="85">
        <f>M464*N464</f>
        <v>0</v>
      </c>
    </row>
    <row r="465" spans="6:15" s="62" customFormat="1" ht="12.75" customHeight="1" outlineLevel="2">
      <c r="F465" s="77">
        <v>415</v>
      </c>
      <c r="G465" s="78" t="s">
        <v>35</v>
      </c>
      <c r="H465" s="79" t="s">
        <v>846</v>
      </c>
      <c r="I465" s="80" t="s">
        <v>847</v>
      </c>
      <c r="J465" s="78" t="s">
        <v>38</v>
      </c>
      <c r="K465" s="83">
        <f>10.35+45.9+13.18+16.38+6.74+6.27+32.63+2.7+30.72+(150.25*0.1)+5</f>
        <v>184.89499999999998</v>
      </c>
      <c r="L465" s="82">
        <v>0</v>
      </c>
      <c r="M465" s="83">
        <f t="shared" si="33"/>
        <v>184.89499999999998</v>
      </c>
      <c r="N465" s="84"/>
      <c r="O465" s="85">
        <f aca="true" t="shared" si="34" ref="O465:O471">M465*N465</f>
        <v>0</v>
      </c>
    </row>
    <row r="466" spans="6:15" s="62" customFormat="1" ht="12.75" customHeight="1" outlineLevel="2">
      <c r="F466" s="77">
        <v>416</v>
      </c>
      <c r="G466" s="78" t="s">
        <v>35</v>
      </c>
      <c r="H466" s="79" t="s">
        <v>848</v>
      </c>
      <c r="I466" s="80" t="s">
        <v>849</v>
      </c>
      <c r="J466" s="78" t="s">
        <v>38</v>
      </c>
      <c r="K466" s="83">
        <f>22.9+19.12+3.48+19+13.01+13.21+13.21+17.87+(95.2*0.1)+5</f>
        <v>136.32000000000002</v>
      </c>
      <c r="L466" s="82">
        <v>0</v>
      </c>
      <c r="M466" s="83">
        <f t="shared" si="33"/>
        <v>136.32000000000002</v>
      </c>
      <c r="N466" s="84"/>
      <c r="O466" s="85">
        <f t="shared" si="34"/>
        <v>0</v>
      </c>
    </row>
    <row r="467" spans="6:15" s="62" customFormat="1" ht="11.4" outlineLevel="2">
      <c r="F467" s="77">
        <v>417</v>
      </c>
      <c r="G467" s="78" t="s">
        <v>35</v>
      </c>
      <c r="H467" s="79" t="s">
        <v>852</v>
      </c>
      <c r="I467" s="80" t="s">
        <v>853</v>
      </c>
      <c r="J467" s="78" t="s">
        <v>38</v>
      </c>
      <c r="K467" s="83">
        <v>321.215</v>
      </c>
      <c r="L467" s="82">
        <v>0</v>
      </c>
      <c r="M467" s="83">
        <f t="shared" si="33"/>
        <v>321.215</v>
      </c>
      <c r="N467" s="84"/>
      <c r="O467" s="85">
        <f t="shared" si="34"/>
        <v>0</v>
      </c>
    </row>
    <row r="468" spans="6:15" s="62" customFormat="1" ht="240.75" customHeight="1" outlineLevel="2">
      <c r="F468" s="77">
        <v>418</v>
      </c>
      <c r="G468" s="78" t="s">
        <v>60</v>
      </c>
      <c r="H468" s="79" t="s">
        <v>854</v>
      </c>
      <c r="I468" s="80" t="s">
        <v>1380</v>
      </c>
      <c r="J468" s="78" t="s">
        <v>38</v>
      </c>
      <c r="K468" s="83">
        <f>121.8+(95.2*0.1)+5</f>
        <v>136.32</v>
      </c>
      <c r="L468" s="82">
        <v>10</v>
      </c>
      <c r="M468" s="83">
        <f t="shared" si="33"/>
        <v>149.952</v>
      </c>
      <c r="N468" s="84"/>
      <c r="O468" s="85">
        <f t="shared" si="34"/>
        <v>0</v>
      </c>
    </row>
    <row r="469" spans="6:15" s="62" customFormat="1" ht="208.5" customHeight="1" outlineLevel="2">
      <c r="F469" s="77">
        <v>419</v>
      </c>
      <c r="G469" s="78" t="s">
        <v>60</v>
      </c>
      <c r="H469" s="79" t="s">
        <v>1381</v>
      </c>
      <c r="I469" s="80" t="s">
        <v>1382</v>
      </c>
      <c r="J469" s="78" t="s">
        <v>38</v>
      </c>
      <c r="K469" s="83">
        <f>164.87+(150.25*0.1)+5</f>
        <v>184.895</v>
      </c>
      <c r="L469" s="82">
        <v>10</v>
      </c>
      <c r="M469" s="83">
        <f t="shared" si="33"/>
        <v>203.38450000000003</v>
      </c>
      <c r="N469" s="84"/>
      <c r="O469" s="85">
        <f t="shared" si="34"/>
        <v>0</v>
      </c>
    </row>
    <row r="470" spans="6:17" s="62" customFormat="1" ht="22.8" outlineLevel="2">
      <c r="F470" s="77">
        <v>420</v>
      </c>
      <c r="G470" s="78" t="s">
        <v>35</v>
      </c>
      <c r="H470" s="79" t="s">
        <v>867</v>
      </c>
      <c r="I470" s="80" t="s">
        <v>1383</v>
      </c>
      <c r="J470" s="78" t="s">
        <v>69</v>
      </c>
      <c r="K470" s="83">
        <f>26.7+5.3+20.6+9.5+8+4+5.85+24.7+15.9+7.4+5.4+5+11.9+17+42.5+7.6+13.9+14.2</f>
        <v>245.45</v>
      </c>
      <c r="L470" s="82">
        <v>0</v>
      </c>
      <c r="M470" s="83">
        <f t="shared" si="33"/>
        <v>245.45</v>
      </c>
      <c r="N470" s="84"/>
      <c r="O470" s="85">
        <f t="shared" si="34"/>
        <v>0</v>
      </c>
      <c r="Q470" s="62">
        <f>17+42.5+7.6+13.9+14.2</f>
        <v>95.2</v>
      </c>
    </row>
    <row r="471" spans="6:15" s="62" customFormat="1" ht="12.75" customHeight="1" outlineLevel="2">
      <c r="F471" s="77">
        <v>421</v>
      </c>
      <c r="G471" s="78" t="s">
        <v>35</v>
      </c>
      <c r="H471" s="79" t="s">
        <v>869</v>
      </c>
      <c r="I471" s="80" t="s">
        <v>870</v>
      </c>
      <c r="J471" s="78" t="s">
        <v>367</v>
      </c>
      <c r="K471" s="83">
        <v>2.4</v>
      </c>
      <c r="L471" s="82">
        <v>0</v>
      </c>
      <c r="M471" s="83">
        <f t="shared" si="33"/>
        <v>2.4</v>
      </c>
      <c r="N471" s="84"/>
      <c r="O471" s="85">
        <f t="shared" si="34"/>
        <v>0</v>
      </c>
    </row>
    <row r="472" spans="6:15" s="62" customFormat="1" ht="12.75" customHeight="1" outlineLevel="2">
      <c r="F472" s="63"/>
      <c r="G472" s="64"/>
      <c r="H472" s="64"/>
      <c r="I472" s="65"/>
      <c r="J472" s="64"/>
      <c r="K472" s="66"/>
      <c r="L472" s="67"/>
      <c r="M472" s="68"/>
      <c r="N472" s="67"/>
      <c r="O472" s="69"/>
    </row>
    <row r="473" spans="6:15" s="62" customFormat="1" ht="16.5" customHeight="1" outlineLevel="2">
      <c r="F473" s="71"/>
      <c r="G473" s="50"/>
      <c r="H473" s="72"/>
      <c r="I473" s="72" t="s">
        <v>18</v>
      </c>
      <c r="J473" s="50"/>
      <c r="K473" s="75"/>
      <c r="L473" s="74"/>
      <c r="M473" s="75"/>
      <c r="N473" s="74"/>
      <c r="O473" s="8">
        <f>SUBTOTAL(9,O474:O481)</f>
        <v>0</v>
      </c>
    </row>
    <row r="474" spans="6:15" s="62" customFormat="1" ht="12.75" customHeight="1" outlineLevel="2">
      <c r="F474" s="77">
        <v>422</v>
      </c>
      <c r="G474" s="78" t="s">
        <v>35</v>
      </c>
      <c r="H474" s="79" t="s">
        <v>871</v>
      </c>
      <c r="I474" s="80" t="s">
        <v>872</v>
      </c>
      <c r="J474" s="78" t="s">
        <v>38</v>
      </c>
      <c r="K474" s="83">
        <f>(4.5+5.35+0.85)*3.3+20*2.1+20*2.1+6*2.1+19.5*2.1+(4.7+4.7)*2.1+(5+2.1+0.4)*2.1-3*1*2+3.7*2.1+6*2.1</f>
        <v>222.72000000000003</v>
      </c>
      <c r="L474" s="82">
        <v>0</v>
      </c>
      <c r="M474" s="83">
        <f aca="true" t="shared" si="35" ref="M474:M480">K474*(1+L474/100)</f>
        <v>222.72000000000003</v>
      </c>
      <c r="N474" s="84"/>
      <c r="O474" s="85">
        <f aca="true" t="shared" si="36" ref="O474:O480">M474*N474</f>
        <v>0</v>
      </c>
    </row>
    <row r="475" spans="6:15" s="62" customFormat="1" ht="12.75" customHeight="1" outlineLevel="2">
      <c r="F475" s="77">
        <v>423</v>
      </c>
      <c r="G475" s="78" t="s">
        <v>35</v>
      </c>
      <c r="H475" s="79" t="s">
        <v>1384</v>
      </c>
      <c r="I475" s="80" t="s">
        <v>1385</v>
      </c>
      <c r="J475" s="78" t="s">
        <v>38</v>
      </c>
      <c r="K475" s="83">
        <f>(2.5+0.8)*0.9+(4.5+5.35+0.85)*2.1+(1.6+1.1)*2.1+3*0.9+3.8*2.1+(0.85+0.4)*2.1+1.9*2.1+2</f>
        <v>50.405</v>
      </c>
      <c r="L475" s="82"/>
      <c r="M475" s="83">
        <f t="shared" si="35"/>
        <v>50.405</v>
      </c>
      <c r="N475" s="84"/>
      <c r="O475" s="85">
        <f t="shared" si="36"/>
        <v>0</v>
      </c>
    </row>
    <row r="476" spans="6:15" s="62" customFormat="1" ht="12.75" customHeight="1" outlineLevel="2">
      <c r="F476" s="77">
        <v>424</v>
      </c>
      <c r="G476" s="78" t="s">
        <v>35</v>
      </c>
      <c r="H476" s="79" t="s">
        <v>1386</v>
      </c>
      <c r="I476" s="80" t="s">
        <v>1387</v>
      </c>
      <c r="J476" s="78" t="s">
        <v>43</v>
      </c>
      <c r="K476" s="83">
        <v>40</v>
      </c>
      <c r="L476" s="82">
        <v>0</v>
      </c>
      <c r="M476" s="83">
        <f t="shared" si="35"/>
        <v>40</v>
      </c>
      <c r="N476" s="84"/>
      <c r="O476" s="85">
        <f t="shared" si="36"/>
        <v>0</v>
      </c>
    </row>
    <row r="477" spans="6:15" s="62" customFormat="1" ht="12.75" customHeight="1" outlineLevel="2">
      <c r="F477" s="77">
        <v>425</v>
      </c>
      <c r="G477" s="78" t="s">
        <v>35</v>
      </c>
      <c r="H477" s="79" t="s">
        <v>1388</v>
      </c>
      <c r="I477" s="80" t="s">
        <v>1389</v>
      </c>
      <c r="J477" s="78" t="s">
        <v>38</v>
      </c>
      <c r="K477" s="83">
        <v>50.405</v>
      </c>
      <c r="L477" s="82">
        <v>0</v>
      </c>
      <c r="M477" s="83">
        <f t="shared" si="35"/>
        <v>50.405</v>
      </c>
      <c r="N477" s="84"/>
      <c r="O477" s="85">
        <f t="shared" si="36"/>
        <v>0</v>
      </c>
    </row>
    <row r="478" spans="6:15" s="62" customFormat="1" ht="12.75" customHeight="1" outlineLevel="2">
      <c r="F478" s="77">
        <v>426</v>
      </c>
      <c r="G478" s="78" t="s">
        <v>60</v>
      </c>
      <c r="H478" s="79" t="s">
        <v>1390</v>
      </c>
      <c r="I478" s="80" t="s">
        <v>1391</v>
      </c>
      <c r="J478" s="78" t="s">
        <v>38</v>
      </c>
      <c r="K478" s="83">
        <v>52</v>
      </c>
      <c r="L478" s="82">
        <v>10</v>
      </c>
      <c r="M478" s="83">
        <f t="shared" si="35"/>
        <v>57.2</v>
      </c>
      <c r="N478" s="84"/>
      <c r="O478" s="85">
        <f t="shared" si="36"/>
        <v>0</v>
      </c>
    </row>
    <row r="479" spans="6:15" s="62" customFormat="1" ht="12.75" customHeight="1" outlineLevel="2">
      <c r="F479" s="77">
        <v>427</v>
      </c>
      <c r="G479" s="78" t="s">
        <v>35</v>
      </c>
      <c r="H479" s="79" t="s">
        <v>1392</v>
      </c>
      <c r="I479" s="80" t="s">
        <v>1393</v>
      </c>
      <c r="J479" s="78" t="s">
        <v>69</v>
      </c>
      <c r="K479" s="83">
        <f>6.1+4.6+5.4+1.6+1.1+3.8+1.8</f>
        <v>24.400000000000006</v>
      </c>
      <c r="L479" s="82">
        <v>10</v>
      </c>
      <c r="M479" s="83">
        <f t="shared" si="35"/>
        <v>26.840000000000007</v>
      </c>
      <c r="N479" s="84"/>
      <c r="O479" s="85">
        <f t="shared" si="36"/>
        <v>0</v>
      </c>
    </row>
    <row r="480" spans="6:15" s="62" customFormat="1" ht="12.75" customHeight="1" outlineLevel="2">
      <c r="F480" s="77">
        <v>428</v>
      </c>
      <c r="G480" s="78" t="s">
        <v>35</v>
      </c>
      <c r="H480" s="79" t="s">
        <v>1394</v>
      </c>
      <c r="I480" s="80" t="s">
        <v>1395</v>
      </c>
      <c r="J480" s="78" t="s">
        <v>69</v>
      </c>
      <c r="K480" s="83">
        <f>4*2.1</f>
        <v>8.4</v>
      </c>
      <c r="L480" s="82">
        <v>10</v>
      </c>
      <c r="M480" s="83">
        <f t="shared" si="35"/>
        <v>9.240000000000002</v>
      </c>
      <c r="N480" s="84"/>
      <c r="O480" s="85">
        <f t="shared" si="36"/>
        <v>0</v>
      </c>
    </row>
    <row r="481" spans="6:15" s="62" customFormat="1" ht="12.75" customHeight="1" outlineLevel="2">
      <c r="F481" s="77">
        <v>429</v>
      </c>
      <c r="G481" s="78" t="s">
        <v>35</v>
      </c>
      <c r="H481" s="79" t="s">
        <v>873</v>
      </c>
      <c r="I481" s="80" t="s">
        <v>874</v>
      </c>
      <c r="J481" s="78" t="s">
        <v>367</v>
      </c>
      <c r="K481" s="83">
        <v>3.54</v>
      </c>
      <c r="L481" s="82">
        <v>0</v>
      </c>
      <c r="M481" s="83">
        <f>K481*(1+L481/100)</f>
        <v>3.54</v>
      </c>
      <c r="N481" s="84"/>
      <c r="O481" s="85">
        <f>M481*N481</f>
        <v>0</v>
      </c>
    </row>
    <row r="482" spans="6:15" s="62" customFormat="1" ht="12.75" customHeight="1" outlineLevel="2">
      <c r="F482" s="63"/>
      <c r="G482" s="64"/>
      <c r="H482" s="64"/>
      <c r="I482" s="65"/>
      <c r="J482" s="64"/>
      <c r="K482" s="66"/>
      <c r="L482" s="67"/>
      <c r="M482" s="68"/>
      <c r="N482" s="67"/>
      <c r="O482" s="69"/>
    </row>
    <row r="483" spans="6:15" s="70" customFormat="1" ht="16.5" customHeight="1" outlineLevel="1">
      <c r="F483" s="71"/>
      <c r="G483" s="50"/>
      <c r="H483" s="72"/>
      <c r="I483" s="72" t="s">
        <v>875</v>
      </c>
      <c r="J483" s="50"/>
      <c r="K483" s="73"/>
      <c r="L483" s="74"/>
      <c r="M483" s="75"/>
      <c r="N483" s="74"/>
      <c r="O483" s="8">
        <f>SUBTOTAL(9,O484:O485)</f>
        <v>0</v>
      </c>
    </row>
    <row r="484" spans="6:15" s="76" customFormat="1" ht="22.8" outlineLevel="2">
      <c r="F484" s="77">
        <v>430</v>
      </c>
      <c r="G484" s="78" t="s">
        <v>35</v>
      </c>
      <c r="H484" s="79" t="s">
        <v>876</v>
      </c>
      <c r="I484" s="80" t="s">
        <v>877</v>
      </c>
      <c r="J484" s="78" t="s">
        <v>38</v>
      </c>
      <c r="K484" s="83">
        <f>7*0.3*5+3</f>
        <v>13.5</v>
      </c>
      <c r="L484" s="82">
        <v>0</v>
      </c>
      <c r="M484" s="83">
        <f>K484*(1+L484/100)</f>
        <v>13.5</v>
      </c>
      <c r="N484" s="84"/>
      <c r="O484" s="85">
        <f>M484*N484</f>
        <v>0</v>
      </c>
    </row>
    <row r="485" spans="6:15" s="76" customFormat="1" ht="22.8" outlineLevel="2">
      <c r="F485" s="77">
        <v>431</v>
      </c>
      <c r="G485" s="78" t="s">
        <v>35</v>
      </c>
      <c r="H485" s="79" t="s">
        <v>878</v>
      </c>
      <c r="I485" s="80" t="s">
        <v>879</v>
      </c>
      <c r="J485" s="78" t="s">
        <v>38</v>
      </c>
      <c r="K485" s="83">
        <f>95.2*3+150.25*2.1</f>
        <v>601.125</v>
      </c>
      <c r="L485" s="82">
        <v>5</v>
      </c>
      <c r="M485" s="83">
        <f>K485*(1+L485/100)</f>
        <v>631.18125</v>
      </c>
      <c r="N485" s="84"/>
      <c r="O485" s="85">
        <f>M485*N485</f>
        <v>0</v>
      </c>
    </row>
    <row r="486" spans="6:15" s="62" customFormat="1" ht="12.75" customHeight="1" outlineLevel="2">
      <c r="F486" s="63"/>
      <c r="G486" s="64"/>
      <c r="H486" s="64"/>
      <c r="I486" s="65"/>
      <c r="J486" s="64"/>
      <c r="K486" s="66"/>
      <c r="L486" s="67"/>
      <c r="M486" s="68"/>
      <c r="N486" s="67"/>
      <c r="O486" s="69"/>
    </row>
    <row r="487" spans="6:15" s="70" customFormat="1" ht="16.5" customHeight="1" outlineLevel="1">
      <c r="F487" s="71"/>
      <c r="G487" s="50"/>
      <c r="H487" s="72"/>
      <c r="I487" s="72" t="s">
        <v>880</v>
      </c>
      <c r="J487" s="50"/>
      <c r="K487" s="73"/>
      <c r="L487" s="74"/>
      <c r="M487" s="75"/>
      <c r="N487" s="74"/>
      <c r="O487" s="8">
        <f>SUBTOTAL(9,O488:O490)</f>
        <v>0</v>
      </c>
    </row>
    <row r="488" spans="6:15" s="76" customFormat="1" ht="11.4" outlineLevel="2">
      <c r="F488" s="77">
        <v>432</v>
      </c>
      <c r="G488" s="78" t="s">
        <v>35</v>
      </c>
      <c r="H488" s="79" t="s">
        <v>881</v>
      </c>
      <c r="I488" s="80" t="s">
        <v>882</v>
      </c>
      <c r="J488" s="78" t="s">
        <v>38</v>
      </c>
      <c r="K488" s="83">
        <v>514.2</v>
      </c>
      <c r="L488" s="82">
        <v>0</v>
      </c>
      <c r="M488" s="83">
        <f>K488*(1+L488/100)</f>
        <v>514.2</v>
      </c>
      <c r="N488" s="84"/>
      <c r="O488" s="85">
        <f>M488*N488</f>
        <v>0</v>
      </c>
    </row>
    <row r="489" spans="6:15" s="76" customFormat="1" ht="22.8" outlineLevel="2">
      <c r="F489" s="77">
        <v>433</v>
      </c>
      <c r="G489" s="78" t="s">
        <v>35</v>
      </c>
      <c r="H489" s="79" t="s">
        <v>883</v>
      </c>
      <c r="I489" s="80" t="s">
        <v>884</v>
      </c>
      <c r="J489" s="78" t="s">
        <v>38</v>
      </c>
      <c r="K489" s="83">
        <f>601.125+262.955</f>
        <v>864.0799999999999</v>
      </c>
      <c r="L489" s="82">
        <v>0</v>
      </c>
      <c r="M489" s="83">
        <f>K489*(1+L489/100)</f>
        <v>864.0799999999999</v>
      </c>
      <c r="N489" s="84"/>
      <c r="O489" s="85">
        <f>M489*N489</f>
        <v>0</v>
      </c>
    </row>
    <row r="490" spans="6:15" s="76" customFormat="1" ht="22.8" outlineLevel="2">
      <c r="F490" s="77">
        <v>434</v>
      </c>
      <c r="G490" s="78" t="s">
        <v>35</v>
      </c>
      <c r="H490" s="79" t="s">
        <v>885</v>
      </c>
      <c r="I490" s="80" t="s">
        <v>886</v>
      </c>
      <c r="J490" s="78" t="s">
        <v>38</v>
      </c>
      <c r="K490" s="83">
        <f>3.06+1.62+1.8+4.9+6.25+1.2+1.7+1.7+1.6+6.3+7.6+150.25*0.9+90</f>
        <v>262.955</v>
      </c>
      <c r="L490" s="82">
        <v>5</v>
      </c>
      <c r="M490" s="83">
        <f>K490*(1+L490/100)</f>
        <v>276.10275</v>
      </c>
      <c r="N490" s="84"/>
      <c r="O490" s="85">
        <f>M490*N490</f>
        <v>0</v>
      </c>
    </row>
    <row r="491" spans="6:15" s="62" customFormat="1" ht="12.75" customHeight="1" outlineLevel="2">
      <c r="F491" s="63"/>
      <c r="G491" s="64"/>
      <c r="H491" s="64"/>
      <c r="I491" s="65"/>
      <c r="J491" s="64"/>
      <c r="K491" s="66"/>
      <c r="L491" s="67"/>
      <c r="M491" s="68"/>
      <c r="N491" s="67"/>
      <c r="O491" s="69"/>
    </row>
    <row r="492" ht="18" customHeight="1">
      <c r="I492" s="58"/>
    </row>
    <row r="493" ht="15">
      <c r="I493" s="58"/>
    </row>
    <row r="494" spans="6:15" ht="16.5" customHeight="1">
      <c r="F494" s="71"/>
      <c r="G494" s="50"/>
      <c r="H494" s="72"/>
      <c r="I494" s="72"/>
      <c r="J494" s="50"/>
      <c r="K494" s="73"/>
      <c r="L494" s="74"/>
      <c r="M494" s="75"/>
      <c r="N494" s="74"/>
      <c r="O494" s="8"/>
    </row>
    <row r="495" spans="6:15" ht="15">
      <c r="F495" s="77"/>
      <c r="G495" s="78"/>
      <c r="H495" s="174"/>
      <c r="I495" s="80"/>
      <c r="J495" s="78"/>
      <c r="K495" s="81"/>
      <c r="L495" s="82"/>
      <c r="M495" s="83"/>
      <c r="N495" s="84"/>
      <c r="O495" s="85"/>
    </row>
    <row r="496" spans="6:15" ht="15">
      <c r="F496" s="77"/>
      <c r="G496" s="78"/>
      <c r="H496" s="174"/>
      <c r="I496" s="80"/>
      <c r="J496" s="78"/>
      <c r="K496" s="81"/>
      <c r="L496" s="82"/>
      <c r="M496" s="83"/>
      <c r="N496" s="84"/>
      <c r="O496" s="85"/>
    </row>
    <row r="497" spans="6:15" ht="15">
      <c r="F497" s="77"/>
      <c r="G497" s="78"/>
      <c r="H497" s="174"/>
      <c r="I497" s="80"/>
      <c r="J497" s="78"/>
      <c r="K497" s="81"/>
      <c r="L497" s="82"/>
      <c r="M497" s="83"/>
      <c r="N497" s="84"/>
      <c r="O497" s="85"/>
    </row>
    <row r="498" spans="6:15" ht="15">
      <c r="F498" s="77"/>
      <c r="G498" s="78"/>
      <c r="H498" s="174"/>
      <c r="I498" s="80"/>
      <c r="J498" s="78"/>
      <c r="K498" s="81"/>
      <c r="L498" s="82"/>
      <c r="M498" s="83"/>
      <c r="N498" s="84"/>
      <c r="O498" s="85"/>
    </row>
    <row r="499" spans="6:15" ht="15">
      <c r="F499" s="77"/>
      <c r="G499" s="78"/>
      <c r="H499" s="174"/>
      <c r="I499" s="80"/>
      <c r="J499" s="78"/>
      <c r="K499" s="81"/>
      <c r="L499" s="82"/>
      <c r="M499" s="83"/>
      <c r="N499" s="84"/>
      <c r="O499" s="85"/>
    </row>
    <row r="500" spans="6:15" ht="15">
      <c r="F500" s="77"/>
      <c r="G500" s="78"/>
      <c r="H500" s="174"/>
      <c r="I500" s="80"/>
      <c r="J500" s="78"/>
      <c r="K500" s="81"/>
      <c r="L500" s="82"/>
      <c r="M500" s="83"/>
      <c r="N500" s="84"/>
      <c r="O500" s="85"/>
    </row>
    <row r="501" spans="6:15" ht="15">
      <c r="F501" s="77"/>
      <c r="G501" s="78"/>
      <c r="H501" s="174"/>
      <c r="I501" s="80"/>
      <c r="J501" s="78"/>
      <c r="K501" s="81"/>
      <c r="L501" s="82"/>
      <c r="M501" s="83"/>
      <c r="N501" s="84"/>
      <c r="O501" s="85"/>
    </row>
    <row r="502" spans="6:15" ht="15">
      <c r="F502" s="77"/>
      <c r="G502" s="78"/>
      <c r="H502" s="174"/>
      <c r="I502" s="80"/>
      <c r="J502" s="78"/>
      <c r="K502" s="81"/>
      <c r="L502" s="82"/>
      <c r="M502" s="83"/>
      <c r="N502" s="84"/>
      <c r="O502" s="85"/>
    </row>
    <row r="503" spans="6:15" ht="15">
      <c r="F503" s="77"/>
      <c r="G503" s="78"/>
      <c r="H503" s="174"/>
      <c r="I503" s="80"/>
      <c r="J503" s="78"/>
      <c r="K503" s="81"/>
      <c r="L503" s="82"/>
      <c r="M503" s="83"/>
      <c r="N503" s="84"/>
      <c r="O503" s="85"/>
    </row>
    <row r="504" spans="6:15" ht="15">
      <c r="F504" s="77"/>
      <c r="G504" s="78"/>
      <c r="H504" s="174"/>
      <c r="I504" s="80"/>
      <c r="J504" s="78"/>
      <c r="K504" s="81"/>
      <c r="L504" s="82"/>
      <c r="M504" s="83"/>
      <c r="N504" s="84"/>
      <c r="O504" s="85"/>
    </row>
    <row r="505" spans="6:15" ht="15">
      <c r="F505" s="77"/>
      <c r="G505" s="78"/>
      <c r="H505" s="174"/>
      <c r="I505" s="80"/>
      <c r="J505" s="78"/>
      <c r="K505" s="81"/>
      <c r="L505" s="82"/>
      <c r="M505" s="83"/>
      <c r="N505" s="84"/>
      <c r="O505" s="85"/>
    </row>
    <row r="506" spans="6:15" ht="15">
      <c r="F506" s="77"/>
      <c r="G506" s="78"/>
      <c r="H506" s="174"/>
      <c r="I506" s="80"/>
      <c r="J506" s="78"/>
      <c r="K506" s="81"/>
      <c r="L506" s="82"/>
      <c r="M506" s="83"/>
      <c r="N506" s="84"/>
      <c r="O506" s="85"/>
    </row>
    <row r="507" spans="6:15" ht="15">
      <c r="F507" s="77"/>
      <c r="G507" s="78"/>
      <c r="H507" s="174"/>
      <c r="I507" s="80"/>
      <c r="J507" s="78"/>
      <c r="K507" s="81"/>
      <c r="L507" s="82"/>
      <c r="M507" s="83"/>
      <c r="N507" s="84"/>
      <c r="O507" s="85"/>
    </row>
    <row r="508" spans="6:15" ht="15">
      <c r="F508" s="77"/>
      <c r="G508" s="78"/>
      <c r="H508" s="174"/>
      <c r="I508" s="80"/>
      <c r="J508" s="78"/>
      <c r="K508" s="81"/>
      <c r="L508" s="82"/>
      <c r="M508" s="83"/>
      <c r="N508" s="84"/>
      <c r="O508" s="85"/>
    </row>
    <row r="509" spans="6:15" ht="15">
      <c r="F509" s="77"/>
      <c r="G509" s="78"/>
      <c r="H509" s="174"/>
      <c r="I509" s="80"/>
      <c r="J509" s="78"/>
      <c r="K509" s="81"/>
      <c r="L509" s="82"/>
      <c r="M509" s="83"/>
      <c r="N509" s="84"/>
      <c r="O509" s="85"/>
    </row>
    <row r="510" spans="6:15" ht="15">
      <c r="F510" s="77"/>
      <c r="G510" s="78"/>
      <c r="H510" s="174"/>
      <c r="I510" s="80"/>
      <c r="J510" s="78"/>
      <c r="K510" s="81"/>
      <c r="L510" s="82"/>
      <c r="M510" s="83"/>
      <c r="N510" s="84"/>
      <c r="O510" s="85"/>
    </row>
    <row r="511" spans="6:15" ht="15">
      <c r="F511" s="77"/>
      <c r="G511" s="78"/>
      <c r="H511" s="174"/>
      <c r="I511" s="80"/>
      <c r="J511" s="78"/>
      <c r="K511" s="81"/>
      <c r="L511" s="82"/>
      <c r="M511" s="83"/>
      <c r="N511" s="84"/>
      <c r="O511" s="85"/>
    </row>
    <row r="512" spans="6:15" ht="15">
      <c r="F512" s="77"/>
      <c r="G512" s="78"/>
      <c r="H512" s="174"/>
      <c r="I512" s="80"/>
      <c r="J512" s="78"/>
      <c r="K512" s="81"/>
      <c r="L512" s="82"/>
      <c r="M512" s="83"/>
      <c r="N512" s="84"/>
      <c r="O512" s="85"/>
    </row>
    <row r="513" spans="6:15" ht="15">
      <c r="F513" s="77"/>
      <c r="G513" s="78"/>
      <c r="H513" s="174"/>
      <c r="I513" s="80"/>
      <c r="J513" s="78"/>
      <c r="K513" s="81"/>
      <c r="L513" s="82"/>
      <c r="M513" s="83"/>
      <c r="N513" s="84"/>
      <c r="O513" s="85"/>
    </row>
    <row r="514" spans="6:15" ht="15">
      <c r="F514" s="77"/>
      <c r="G514" s="78"/>
      <c r="H514" s="174"/>
      <c r="I514" s="80"/>
      <c r="J514" s="78"/>
      <c r="K514" s="81"/>
      <c r="L514" s="82"/>
      <c r="M514" s="83"/>
      <c r="N514" s="84"/>
      <c r="O514" s="85"/>
    </row>
    <row r="515" spans="6:15" ht="15">
      <c r="F515" s="77"/>
      <c r="G515" s="78"/>
      <c r="H515" s="174"/>
      <c r="I515" s="80"/>
      <c r="J515" s="78"/>
      <c r="K515" s="81"/>
      <c r="L515" s="82"/>
      <c r="M515" s="83"/>
      <c r="N515" s="84"/>
      <c r="O515" s="85"/>
    </row>
    <row r="516" spans="6:15" ht="15">
      <c r="F516" s="77"/>
      <c r="G516" s="78"/>
      <c r="H516" s="174"/>
      <c r="I516" s="80"/>
      <c r="J516" s="78"/>
      <c r="K516" s="81"/>
      <c r="L516" s="82"/>
      <c r="M516" s="83"/>
      <c r="N516" s="84"/>
      <c r="O516" s="85"/>
    </row>
    <row r="517" spans="6:15" ht="15">
      <c r="F517" s="77"/>
      <c r="G517" s="78"/>
      <c r="H517" s="174"/>
      <c r="I517" s="80"/>
      <c r="J517" s="78"/>
      <c r="K517" s="81"/>
      <c r="L517" s="82"/>
      <c r="M517" s="83"/>
      <c r="N517" s="84"/>
      <c r="O517" s="85"/>
    </row>
    <row r="518" spans="6:15" ht="15">
      <c r="F518" s="77"/>
      <c r="G518" s="78"/>
      <c r="H518" s="174"/>
      <c r="I518" s="80"/>
      <c r="J518" s="78"/>
      <c r="K518" s="81"/>
      <c r="L518" s="82"/>
      <c r="M518" s="83"/>
      <c r="N518" s="84"/>
      <c r="O518" s="85"/>
    </row>
    <row r="519" spans="6:15" ht="15">
      <c r="F519" s="77"/>
      <c r="G519" s="78"/>
      <c r="H519" s="174"/>
      <c r="I519" s="80"/>
      <c r="J519" s="78"/>
      <c r="K519" s="81"/>
      <c r="L519" s="82"/>
      <c r="M519" s="83"/>
      <c r="N519" s="84"/>
      <c r="O519" s="85"/>
    </row>
    <row r="520" spans="6:15" ht="15">
      <c r="F520" s="77"/>
      <c r="G520" s="78"/>
      <c r="H520" s="174"/>
      <c r="I520" s="80"/>
      <c r="J520" s="78"/>
      <c r="K520" s="81"/>
      <c r="L520" s="82"/>
      <c r="M520" s="83"/>
      <c r="N520" s="84"/>
      <c r="O520" s="85"/>
    </row>
  </sheetData>
  <printOptions/>
  <pageMargins left="0.7" right="0.7" top="0.787401575" bottom="0.7874015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8"/>
  <sheetViews>
    <sheetView workbookViewId="0" topLeftCell="A1">
      <selection activeCell="A1" sqref="A1:I1"/>
    </sheetView>
  </sheetViews>
  <sheetFormatPr defaultColWidth="9.140625" defaultRowHeight="15"/>
  <cols>
    <col min="1" max="1" width="8.7109375" style="0" customWidth="1"/>
    <col min="4" max="4" width="15.140625" style="0" customWidth="1"/>
    <col min="5" max="5" width="13.7109375" style="0" customWidth="1"/>
    <col min="6" max="6" width="10.140625" style="0" bestFit="1" customWidth="1"/>
    <col min="7" max="7" width="11.57421875" style="0" bestFit="1" customWidth="1"/>
    <col min="8" max="9" width="9.28125" style="0" bestFit="1" customWidth="1"/>
    <col min="10" max="10" width="8.28125" style="0" customWidth="1"/>
    <col min="257" max="257" width="8.7109375" style="0" customWidth="1"/>
    <col min="260" max="260" width="15.140625" style="0" customWidth="1"/>
    <col min="261" max="261" width="13.7109375" style="0" customWidth="1"/>
    <col min="262" max="262" width="10.140625" style="0" bestFit="1" customWidth="1"/>
    <col min="263" max="263" width="11.57421875" style="0" bestFit="1" customWidth="1"/>
    <col min="264" max="265" width="9.28125" style="0" bestFit="1" customWidth="1"/>
    <col min="266" max="266" width="8.28125" style="0" customWidth="1"/>
    <col min="513" max="513" width="8.7109375" style="0" customWidth="1"/>
    <col min="516" max="516" width="15.140625" style="0" customWidth="1"/>
    <col min="517" max="517" width="13.7109375" style="0" customWidth="1"/>
    <col min="518" max="518" width="10.140625" style="0" bestFit="1" customWidth="1"/>
    <col min="519" max="519" width="11.57421875" style="0" bestFit="1" customWidth="1"/>
    <col min="520" max="521" width="9.28125" style="0" bestFit="1" customWidth="1"/>
    <col min="522" max="522" width="8.28125" style="0" customWidth="1"/>
    <col min="769" max="769" width="8.7109375" style="0" customWidth="1"/>
    <col min="772" max="772" width="15.140625" style="0" customWidth="1"/>
    <col min="773" max="773" width="13.7109375" style="0" customWidth="1"/>
    <col min="774" max="774" width="10.140625" style="0" bestFit="1" customWidth="1"/>
    <col min="775" max="775" width="11.57421875" style="0" bestFit="1" customWidth="1"/>
    <col min="776" max="777" width="9.28125" style="0" bestFit="1" customWidth="1"/>
    <col min="778" max="778" width="8.28125" style="0" customWidth="1"/>
    <col min="1025" max="1025" width="8.7109375" style="0" customWidth="1"/>
    <col min="1028" max="1028" width="15.140625" style="0" customWidth="1"/>
    <col min="1029" max="1029" width="13.7109375" style="0" customWidth="1"/>
    <col min="1030" max="1030" width="10.140625" style="0" bestFit="1" customWidth="1"/>
    <col min="1031" max="1031" width="11.57421875" style="0" bestFit="1" customWidth="1"/>
    <col min="1032" max="1033" width="9.28125" style="0" bestFit="1" customWidth="1"/>
    <col min="1034" max="1034" width="8.28125" style="0" customWidth="1"/>
    <col min="1281" max="1281" width="8.7109375" style="0" customWidth="1"/>
    <col min="1284" max="1284" width="15.140625" style="0" customWidth="1"/>
    <col min="1285" max="1285" width="13.7109375" style="0" customWidth="1"/>
    <col min="1286" max="1286" width="10.140625" style="0" bestFit="1" customWidth="1"/>
    <col min="1287" max="1287" width="11.57421875" style="0" bestFit="1" customWidth="1"/>
    <col min="1288" max="1289" width="9.28125" style="0" bestFit="1" customWidth="1"/>
    <col min="1290" max="1290" width="8.28125" style="0" customWidth="1"/>
    <col min="1537" max="1537" width="8.7109375" style="0" customWidth="1"/>
    <col min="1540" max="1540" width="15.140625" style="0" customWidth="1"/>
    <col min="1541" max="1541" width="13.7109375" style="0" customWidth="1"/>
    <col min="1542" max="1542" width="10.140625" style="0" bestFit="1" customWidth="1"/>
    <col min="1543" max="1543" width="11.57421875" style="0" bestFit="1" customWidth="1"/>
    <col min="1544" max="1545" width="9.28125" style="0" bestFit="1" customWidth="1"/>
    <col min="1546" max="1546" width="8.28125" style="0" customWidth="1"/>
    <col min="1793" max="1793" width="8.7109375" style="0" customWidth="1"/>
    <col min="1796" max="1796" width="15.140625" style="0" customWidth="1"/>
    <col min="1797" max="1797" width="13.7109375" style="0" customWidth="1"/>
    <col min="1798" max="1798" width="10.140625" style="0" bestFit="1" customWidth="1"/>
    <col min="1799" max="1799" width="11.57421875" style="0" bestFit="1" customWidth="1"/>
    <col min="1800" max="1801" width="9.28125" style="0" bestFit="1" customWidth="1"/>
    <col min="1802" max="1802" width="8.28125" style="0" customWidth="1"/>
    <col min="2049" max="2049" width="8.7109375" style="0" customWidth="1"/>
    <col min="2052" max="2052" width="15.140625" style="0" customWidth="1"/>
    <col min="2053" max="2053" width="13.7109375" style="0" customWidth="1"/>
    <col min="2054" max="2054" width="10.140625" style="0" bestFit="1" customWidth="1"/>
    <col min="2055" max="2055" width="11.57421875" style="0" bestFit="1" customWidth="1"/>
    <col min="2056" max="2057" width="9.28125" style="0" bestFit="1" customWidth="1"/>
    <col min="2058" max="2058" width="8.28125" style="0" customWidth="1"/>
    <col min="2305" max="2305" width="8.7109375" style="0" customWidth="1"/>
    <col min="2308" max="2308" width="15.140625" style="0" customWidth="1"/>
    <col min="2309" max="2309" width="13.7109375" style="0" customWidth="1"/>
    <col min="2310" max="2310" width="10.140625" style="0" bestFit="1" customWidth="1"/>
    <col min="2311" max="2311" width="11.57421875" style="0" bestFit="1" customWidth="1"/>
    <col min="2312" max="2313" width="9.28125" style="0" bestFit="1" customWidth="1"/>
    <col min="2314" max="2314" width="8.28125" style="0" customWidth="1"/>
    <col min="2561" max="2561" width="8.7109375" style="0" customWidth="1"/>
    <col min="2564" max="2564" width="15.140625" style="0" customWidth="1"/>
    <col min="2565" max="2565" width="13.7109375" style="0" customWidth="1"/>
    <col min="2566" max="2566" width="10.140625" style="0" bestFit="1" customWidth="1"/>
    <col min="2567" max="2567" width="11.57421875" style="0" bestFit="1" customWidth="1"/>
    <col min="2568" max="2569" width="9.28125" style="0" bestFit="1" customWidth="1"/>
    <col min="2570" max="2570" width="8.28125" style="0" customWidth="1"/>
    <col min="2817" max="2817" width="8.7109375" style="0" customWidth="1"/>
    <col min="2820" max="2820" width="15.140625" style="0" customWidth="1"/>
    <col min="2821" max="2821" width="13.7109375" style="0" customWidth="1"/>
    <col min="2822" max="2822" width="10.140625" style="0" bestFit="1" customWidth="1"/>
    <col min="2823" max="2823" width="11.57421875" style="0" bestFit="1" customWidth="1"/>
    <col min="2824" max="2825" width="9.28125" style="0" bestFit="1" customWidth="1"/>
    <col min="2826" max="2826" width="8.28125" style="0" customWidth="1"/>
    <col min="3073" max="3073" width="8.7109375" style="0" customWidth="1"/>
    <col min="3076" max="3076" width="15.140625" style="0" customWidth="1"/>
    <col min="3077" max="3077" width="13.7109375" style="0" customWidth="1"/>
    <col min="3078" max="3078" width="10.140625" style="0" bestFit="1" customWidth="1"/>
    <col min="3079" max="3079" width="11.57421875" style="0" bestFit="1" customWidth="1"/>
    <col min="3080" max="3081" width="9.28125" style="0" bestFit="1" customWidth="1"/>
    <col min="3082" max="3082" width="8.28125" style="0" customWidth="1"/>
    <col min="3329" max="3329" width="8.7109375" style="0" customWidth="1"/>
    <col min="3332" max="3332" width="15.140625" style="0" customWidth="1"/>
    <col min="3333" max="3333" width="13.7109375" style="0" customWidth="1"/>
    <col min="3334" max="3334" width="10.140625" style="0" bestFit="1" customWidth="1"/>
    <col min="3335" max="3335" width="11.57421875" style="0" bestFit="1" customWidth="1"/>
    <col min="3336" max="3337" width="9.28125" style="0" bestFit="1" customWidth="1"/>
    <col min="3338" max="3338" width="8.28125" style="0" customWidth="1"/>
    <col min="3585" max="3585" width="8.7109375" style="0" customWidth="1"/>
    <col min="3588" max="3588" width="15.140625" style="0" customWidth="1"/>
    <col min="3589" max="3589" width="13.7109375" style="0" customWidth="1"/>
    <col min="3590" max="3590" width="10.140625" style="0" bestFit="1" customWidth="1"/>
    <col min="3591" max="3591" width="11.57421875" style="0" bestFit="1" customWidth="1"/>
    <col min="3592" max="3593" width="9.28125" style="0" bestFit="1" customWidth="1"/>
    <col min="3594" max="3594" width="8.28125" style="0" customWidth="1"/>
    <col min="3841" max="3841" width="8.7109375" style="0" customWidth="1"/>
    <col min="3844" max="3844" width="15.140625" style="0" customWidth="1"/>
    <col min="3845" max="3845" width="13.7109375" style="0" customWidth="1"/>
    <col min="3846" max="3846" width="10.140625" style="0" bestFit="1" customWidth="1"/>
    <col min="3847" max="3847" width="11.57421875" style="0" bestFit="1" customWidth="1"/>
    <col min="3848" max="3849" width="9.28125" style="0" bestFit="1" customWidth="1"/>
    <col min="3850" max="3850" width="8.28125" style="0" customWidth="1"/>
    <col min="4097" max="4097" width="8.7109375" style="0" customWidth="1"/>
    <col min="4100" max="4100" width="15.140625" style="0" customWidth="1"/>
    <col min="4101" max="4101" width="13.7109375" style="0" customWidth="1"/>
    <col min="4102" max="4102" width="10.140625" style="0" bestFit="1" customWidth="1"/>
    <col min="4103" max="4103" width="11.57421875" style="0" bestFit="1" customWidth="1"/>
    <col min="4104" max="4105" width="9.28125" style="0" bestFit="1" customWidth="1"/>
    <col min="4106" max="4106" width="8.28125" style="0" customWidth="1"/>
    <col min="4353" max="4353" width="8.7109375" style="0" customWidth="1"/>
    <col min="4356" max="4356" width="15.140625" style="0" customWidth="1"/>
    <col min="4357" max="4357" width="13.7109375" style="0" customWidth="1"/>
    <col min="4358" max="4358" width="10.140625" style="0" bestFit="1" customWidth="1"/>
    <col min="4359" max="4359" width="11.57421875" style="0" bestFit="1" customWidth="1"/>
    <col min="4360" max="4361" width="9.28125" style="0" bestFit="1" customWidth="1"/>
    <col min="4362" max="4362" width="8.28125" style="0" customWidth="1"/>
    <col min="4609" max="4609" width="8.7109375" style="0" customWidth="1"/>
    <col min="4612" max="4612" width="15.140625" style="0" customWidth="1"/>
    <col min="4613" max="4613" width="13.7109375" style="0" customWidth="1"/>
    <col min="4614" max="4614" width="10.140625" style="0" bestFit="1" customWidth="1"/>
    <col min="4615" max="4615" width="11.57421875" style="0" bestFit="1" customWidth="1"/>
    <col min="4616" max="4617" width="9.28125" style="0" bestFit="1" customWidth="1"/>
    <col min="4618" max="4618" width="8.28125" style="0" customWidth="1"/>
    <col min="4865" max="4865" width="8.7109375" style="0" customWidth="1"/>
    <col min="4868" max="4868" width="15.140625" style="0" customWidth="1"/>
    <col min="4869" max="4869" width="13.7109375" style="0" customWidth="1"/>
    <col min="4870" max="4870" width="10.140625" style="0" bestFit="1" customWidth="1"/>
    <col min="4871" max="4871" width="11.57421875" style="0" bestFit="1" customWidth="1"/>
    <col min="4872" max="4873" width="9.28125" style="0" bestFit="1" customWidth="1"/>
    <col min="4874" max="4874" width="8.28125" style="0" customWidth="1"/>
    <col min="5121" max="5121" width="8.7109375" style="0" customWidth="1"/>
    <col min="5124" max="5124" width="15.140625" style="0" customWidth="1"/>
    <col min="5125" max="5125" width="13.7109375" style="0" customWidth="1"/>
    <col min="5126" max="5126" width="10.140625" style="0" bestFit="1" customWidth="1"/>
    <col min="5127" max="5127" width="11.57421875" style="0" bestFit="1" customWidth="1"/>
    <col min="5128" max="5129" width="9.28125" style="0" bestFit="1" customWidth="1"/>
    <col min="5130" max="5130" width="8.28125" style="0" customWidth="1"/>
    <col min="5377" max="5377" width="8.7109375" style="0" customWidth="1"/>
    <col min="5380" max="5380" width="15.140625" style="0" customWidth="1"/>
    <col min="5381" max="5381" width="13.7109375" style="0" customWidth="1"/>
    <col min="5382" max="5382" width="10.140625" style="0" bestFit="1" customWidth="1"/>
    <col min="5383" max="5383" width="11.57421875" style="0" bestFit="1" customWidth="1"/>
    <col min="5384" max="5385" width="9.28125" style="0" bestFit="1" customWidth="1"/>
    <col min="5386" max="5386" width="8.28125" style="0" customWidth="1"/>
    <col min="5633" max="5633" width="8.7109375" style="0" customWidth="1"/>
    <col min="5636" max="5636" width="15.140625" style="0" customWidth="1"/>
    <col min="5637" max="5637" width="13.7109375" style="0" customWidth="1"/>
    <col min="5638" max="5638" width="10.140625" style="0" bestFit="1" customWidth="1"/>
    <col min="5639" max="5639" width="11.57421875" style="0" bestFit="1" customWidth="1"/>
    <col min="5640" max="5641" width="9.28125" style="0" bestFit="1" customWidth="1"/>
    <col min="5642" max="5642" width="8.28125" style="0" customWidth="1"/>
    <col min="5889" max="5889" width="8.7109375" style="0" customWidth="1"/>
    <col min="5892" max="5892" width="15.140625" style="0" customWidth="1"/>
    <col min="5893" max="5893" width="13.7109375" style="0" customWidth="1"/>
    <col min="5894" max="5894" width="10.140625" style="0" bestFit="1" customWidth="1"/>
    <col min="5895" max="5895" width="11.57421875" style="0" bestFit="1" customWidth="1"/>
    <col min="5896" max="5897" width="9.28125" style="0" bestFit="1" customWidth="1"/>
    <col min="5898" max="5898" width="8.28125" style="0" customWidth="1"/>
    <col min="6145" max="6145" width="8.7109375" style="0" customWidth="1"/>
    <col min="6148" max="6148" width="15.140625" style="0" customWidth="1"/>
    <col min="6149" max="6149" width="13.7109375" style="0" customWidth="1"/>
    <col min="6150" max="6150" width="10.140625" style="0" bestFit="1" customWidth="1"/>
    <col min="6151" max="6151" width="11.57421875" style="0" bestFit="1" customWidth="1"/>
    <col min="6152" max="6153" width="9.28125" style="0" bestFit="1" customWidth="1"/>
    <col min="6154" max="6154" width="8.28125" style="0" customWidth="1"/>
    <col min="6401" max="6401" width="8.7109375" style="0" customWidth="1"/>
    <col min="6404" max="6404" width="15.140625" style="0" customWidth="1"/>
    <col min="6405" max="6405" width="13.7109375" style="0" customWidth="1"/>
    <col min="6406" max="6406" width="10.140625" style="0" bestFit="1" customWidth="1"/>
    <col min="6407" max="6407" width="11.57421875" style="0" bestFit="1" customWidth="1"/>
    <col min="6408" max="6409" width="9.28125" style="0" bestFit="1" customWidth="1"/>
    <col min="6410" max="6410" width="8.28125" style="0" customWidth="1"/>
    <col min="6657" max="6657" width="8.7109375" style="0" customWidth="1"/>
    <col min="6660" max="6660" width="15.140625" style="0" customWidth="1"/>
    <col min="6661" max="6661" width="13.7109375" style="0" customWidth="1"/>
    <col min="6662" max="6662" width="10.140625" style="0" bestFit="1" customWidth="1"/>
    <col min="6663" max="6663" width="11.57421875" style="0" bestFit="1" customWidth="1"/>
    <col min="6664" max="6665" width="9.28125" style="0" bestFit="1" customWidth="1"/>
    <col min="6666" max="6666" width="8.28125" style="0" customWidth="1"/>
    <col min="6913" max="6913" width="8.7109375" style="0" customWidth="1"/>
    <col min="6916" max="6916" width="15.140625" style="0" customWidth="1"/>
    <col min="6917" max="6917" width="13.7109375" style="0" customWidth="1"/>
    <col min="6918" max="6918" width="10.140625" style="0" bestFit="1" customWidth="1"/>
    <col min="6919" max="6919" width="11.57421875" style="0" bestFit="1" customWidth="1"/>
    <col min="6920" max="6921" width="9.28125" style="0" bestFit="1" customWidth="1"/>
    <col min="6922" max="6922" width="8.28125" style="0" customWidth="1"/>
    <col min="7169" max="7169" width="8.7109375" style="0" customWidth="1"/>
    <col min="7172" max="7172" width="15.140625" style="0" customWidth="1"/>
    <col min="7173" max="7173" width="13.7109375" style="0" customWidth="1"/>
    <col min="7174" max="7174" width="10.140625" style="0" bestFit="1" customWidth="1"/>
    <col min="7175" max="7175" width="11.57421875" style="0" bestFit="1" customWidth="1"/>
    <col min="7176" max="7177" width="9.28125" style="0" bestFit="1" customWidth="1"/>
    <col min="7178" max="7178" width="8.28125" style="0" customWidth="1"/>
    <col min="7425" max="7425" width="8.7109375" style="0" customWidth="1"/>
    <col min="7428" max="7428" width="15.140625" style="0" customWidth="1"/>
    <col min="7429" max="7429" width="13.7109375" style="0" customWidth="1"/>
    <col min="7430" max="7430" width="10.140625" style="0" bestFit="1" customWidth="1"/>
    <col min="7431" max="7431" width="11.57421875" style="0" bestFit="1" customWidth="1"/>
    <col min="7432" max="7433" width="9.28125" style="0" bestFit="1" customWidth="1"/>
    <col min="7434" max="7434" width="8.28125" style="0" customWidth="1"/>
    <col min="7681" max="7681" width="8.7109375" style="0" customWidth="1"/>
    <col min="7684" max="7684" width="15.140625" style="0" customWidth="1"/>
    <col min="7685" max="7685" width="13.7109375" style="0" customWidth="1"/>
    <col min="7686" max="7686" width="10.140625" style="0" bestFit="1" customWidth="1"/>
    <col min="7687" max="7687" width="11.57421875" style="0" bestFit="1" customWidth="1"/>
    <col min="7688" max="7689" width="9.28125" style="0" bestFit="1" customWidth="1"/>
    <col min="7690" max="7690" width="8.28125" style="0" customWidth="1"/>
    <col min="7937" max="7937" width="8.7109375" style="0" customWidth="1"/>
    <col min="7940" max="7940" width="15.140625" style="0" customWidth="1"/>
    <col min="7941" max="7941" width="13.7109375" style="0" customWidth="1"/>
    <col min="7942" max="7942" width="10.140625" style="0" bestFit="1" customWidth="1"/>
    <col min="7943" max="7943" width="11.57421875" style="0" bestFit="1" customWidth="1"/>
    <col min="7944" max="7945" width="9.28125" style="0" bestFit="1" customWidth="1"/>
    <col min="7946" max="7946" width="8.28125" style="0" customWidth="1"/>
    <col min="8193" max="8193" width="8.7109375" style="0" customWidth="1"/>
    <col min="8196" max="8196" width="15.140625" style="0" customWidth="1"/>
    <col min="8197" max="8197" width="13.7109375" style="0" customWidth="1"/>
    <col min="8198" max="8198" width="10.140625" style="0" bestFit="1" customWidth="1"/>
    <col min="8199" max="8199" width="11.57421875" style="0" bestFit="1" customWidth="1"/>
    <col min="8200" max="8201" width="9.28125" style="0" bestFit="1" customWidth="1"/>
    <col min="8202" max="8202" width="8.28125" style="0" customWidth="1"/>
    <col min="8449" max="8449" width="8.7109375" style="0" customWidth="1"/>
    <col min="8452" max="8452" width="15.140625" style="0" customWidth="1"/>
    <col min="8453" max="8453" width="13.7109375" style="0" customWidth="1"/>
    <col min="8454" max="8454" width="10.140625" style="0" bestFit="1" customWidth="1"/>
    <col min="8455" max="8455" width="11.57421875" style="0" bestFit="1" customWidth="1"/>
    <col min="8456" max="8457" width="9.28125" style="0" bestFit="1" customWidth="1"/>
    <col min="8458" max="8458" width="8.28125" style="0" customWidth="1"/>
    <col min="8705" max="8705" width="8.7109375" style="0" customWidth="1"/>
    <col min="8708" max="8708" width="15.140625" style="0" customWidth="1"/>
    <col min="8709" max="8709" width="13.7109375" style="0" customWidth="1"/>
    <col min="8710" max="8710" width="10.140625" style="0" bestFit="1" customWidth="1"/>
    <col min="8711" max="8711" width="11.57421875" style="0" bestFit="1" customWidth="1"/>
    <col min="8712" max="8713" width="9.28125" style="0" bestFit="1" customWidth="1"/>
    <col min="8714" max="8714" width="8.28125" style="0" customWidth="1"/>
    <col min="8961" max="8961" width="8.7109375" style="0" customWidth="1"/>
    <col min="8964" max="8964" width="15.140625" style="0" customWidth="1"/>
    <col min="8965" max="8965" width="13.7109375" style="0" customWidth="1"/>
    <col min="8966" max="8966" width="10.140625" style="0" bestFit="1" customWidth="1"/>
    <col min="8967" max="8967" width="11.57421875" style="0" bestFit="1" customWidth="1"/>
    <col min="8968" max="8969" width="9.28125" style="0" bestFit="1" customWidth="1"/>
    <col min="8970" max="8970" width="8.28125" style="0" customWidth="1"/>
    <col min="9217" max="9217" width="8.7109375" style="0" customWidth="1"/>
    <col min="9220" max="9220" width="15.140625" style="0" customWidth="1"/>
    <col min="9221" max="9221" width="13.7109375" style="0" customWidth="1"/>
    <col min="9222" max="9222" width="10.140625" style="0" bestFit="1" customWidth="1"/>
    <col min="9223" max="9223" width="11.57421875" style="0" bestFit="1" customWidth="1"/>
    <col min="9224" max="9225" width="9.28125" style="0" bestFit="1" customWidth="1"/>
    <col min="9226" max="9226" width="8.28125" style="0" customWidth="1"/>
    <col min="9473" max="9473" width="8.7109375" style="0" customWidth="1"/>
    <col min="9476" max="9476" width="15.140625" style="0" customWidth="1"/>
    <col min="9477" max="9477" width="13.7109375" style="0" customWidth="1"/>
    <col min="9478" max="9478" width="10.140625" style="0" bestFit="1" customWidth="1"/>
    <col min="9479" max="9479" width="11.57421875" style="0" bestFit="1" customWidth="1"/>
    <col min="9480" max="9481" width="9.28125" style="0" bestFit="1" customWidth="1"/>
    <col min="9482" max="9482" width="8.28125" style="0" customWidth="1"/>
    <col min="9729" max="9729" width="8.7109375" style="0" customWidth="1"/>
    <col min="9732" max="9732" width="15.140625" style="0" customWidth="1"/>
    <col min="9733" max="9733" width="13.7109375" style="0" customWidth="1"/>
    <col min="9734" max="9734" width="10.140625" style="0" bestFit="1" customWidth="1"/>
    <col min="9735" max="9735" width="11.57421875" style="0" bestFit="1" customWidth="1"/>
    <col min="9736" max="9737" width="9.28125" style="0" bestFit="1" customWidth="1"/>
    <col min="9738" max="9738" width="8.28125" style="0" customWidth="1"/>
    <col min="9985" max="9985" width="8.7109375" style="0" customWidth="1"/>
    <col min="9988" max="9988" width="15.140625" style="0" customWidth="1"/>
    <col min="9989" max="9989" width="13.7109375" style="0" customWidth="1"/>
    <col min="9990" max="9990" width="10.140625" style="0" bestFit="1" customWidth="1"/>
    <col min="9991" max="9991" width="11.57421875" style="0" bestFit="1" customWidth="1"/>
    <col min="9992" max="9993" width="9.28125" style="0" bestFit="1" customWidth="1"/>
    <col min="9994" max="9994" width="8.28125" style="0" customWidth="1"/>
    <col min="10241" max="10241" width="8.7109375" style="0" customWidth="1"/>
    <col min="10244" max="10244" width="15.140625" style="0" customWidth="1"/>
    <col min="10245" max="10245" width="13.7109375" style="0" customWidth="1"/>
    <col min="10246" max="10246" width="10.140625" style="0" bestFit="1" customWidth="1"/>
    <col min="10247" max="10247" width="11.57421875" style="0" bestFit="1" customWidth="1"/>
    <col min="10248" max="10249" width="9.28125" style="0" bestFit="1" customWidth="1"/>
    <col min="10250" max="10250" width="8.28125" style="0" customWidth="1"/>
    <col min="10497" max="10497" width="8.7109375" style="0" customWidth="1"/>
    <col min="10500" max="10500" width="15.140625" style="0" customWidth="1"/>
    <col min="10501" max="10501" width="13.7109375" style="0" customWidth="1"/>
    <col min="10502" max="10502" width="10.140625" style="0" bestFit="1" customWidth="1"/>
    <col min="10503" max="10503" width="11.57421875" style="0" bestFit="1" customWidth="1"/>
    <col min="10504" max="10505" width="9.28125" style="0" bestFit="1" customWidth="1"/>
    <col min="10506" max="10506" width="8.28125" style="0" customWidth="1"/>
    <col min="10753" max="10753" width="8.7109375" style="0" customWidth="1"/>
    <col min="10756" max="10756" width="15.140625" style="0" customWidth="1"/>
    <col min="10757" max="10757" width="13.7109375" style="0" customWidth="1"/>
    <col min="10758" max="10758" width="10.140625" style="0" bestFit="1" customWidth="1"/>
    <col min="10759" max="10759" width="11.57421875" style="0" bestFit="1" customWidth="1"/>
    <col min="10760" max="10761" width="9.28125" style="0" bestFit="1" customWidth="1"/>
    <col min="10762" max="10762" width="8.28125" style="0" customWidth="1"/>
    <col min="11009" max="11009" width="8.7109375" style="0" customWidth="1"/>
    <col min="11012" max="11012" width="15.140625" style="0" customWidth="1"/>
    <col min="11013" max="11013" width="13.7109375" style="0" customWidth="1"/>
    <col min="11014" max="11014" width="10.140625" style="0" bestFit="1" customWidth="1"/>
    <col min="11015" max="11015" width="11.57421875" style="0" bestFit="1" customWidth="1"/>
    <col min="11016" max="11017" width="9.28125" style="0" bestFit="1" customWidth="1"/>
    <col min="11018" max="11018" width="8.28125" style="0" customWidth="1"/>
    <col min="11265" max="11265" width="8.7109375" style="0" customWidth="1"/>
    <col min="11268" max="11268" width="15.140625" style="0" customWidth="1"/>
    <col min="11269" max="11269" width="13.7109375" style="0" customWidth="1"/>
    <col min="11270" max="11270" width="10.140625" style="0" bestFit="1" customWidth="1"/>
    <col min="11271" max="11271" width="11.57421875" style="0" bestFit="1" customWidth="1"/>
    <col min="11272" max="11273" width="9.28125" style="0" bestFit="1" customWidth="1"/>
    <col min="11274" max="11274" width="8.28125" style="0" customWidth="1"/>
    <col min="11521" max="11521" width="8.7109375" style="0" customWidth="1"/>
    <col min="11524" max="11524" width="15.140625" style="0" customWidth="1"/>
    <col min="11525" max="11525" width="13.7109375" style="0" customWidth="1"/>
    <col min="11526" max="11526" width="10.140625" style="0" bestFit="1" customWidth="1"/>
    <col min="11527" max="11527" width="11.57421875" style="0" bestFit="1" customWidth="1"/>
    <col min="11528" max="11529" width="9.28125" style="0" bestFit="1" customWidth="1"/>
    <col min="11530" max="11530" width="8.28125" style="0" customWidth="1"/>
    <col min="11777" max="11777" width="8.7109375" style="0" customWidth="1"/>
    <col min="11780" max="11780" width="15.140625" style="0" customWidth="1"/>
    <col min="11781" max="11781" width="13.7109375" style="0" customWidth="1"/>
    <col min="11782" max="11782" width="10.140625" style="0" bestFit="1" customWidth="1"/>
    <col min="11783" max="11783" width="11.57421875" style="0" bestFit="1" customWidth="1"/>
    <col min="11784" max="11785" width="9.28125" style="0" bestFit="1" customWidth="1"/>
    <col min="11786" max="11786" width="8.28125" style="0" customWidth="1"/>
    <col min="12033" max="12033" width="8.7109375" style="0" customWidth="1"/>
    <col min="12036" max="12036" width="15.140625" style="0" customWidth="1"/>
    <col min="12037" max="12037" width="13.7109375" style="0" customWidth="1"/>
    <col min="12038" max="12038" width="10.140625" style="0" bestFit="1" customWidth="1"/>
    <col min="12039" max="12039" width="11.57421875" style="0" bestFit="1" customWidth="1"/>
    <col min="12040" max="12041" width="9.28125" style="0" bestFit="1" customWidth="1"/>
    <col min="12042" max="12042" width="8.28125" style="0" customWidth="1"/>
    <col min="12289" max="12289" width="8.7109375" style="0" customWidth="1"/>
    <col min="12292" max="12292" width="15.140625" style="0" customWidth="1"/>
    <col min="12293" max="12293" width="13.7109375" style="0" customWidth="1"/>
    <col min="12294" max="12294" width="10.140625" style="0" bestFit="1" customWidth="1"/>
    <col min="12295" max="12295" width="11.57421875" style="0" bestFit="1" customWidth="1"/>
    <col min="12296" max="12297" width="9.28125" style="0" bestFit="1" customWidth="1"/>
    <col min="12298" max="12298" width="8.28125" style="0" customWidth="1"/>
    <col min="12545" max="12545" width="8.7109375" style="0" customWidth="1"/>
    <col min="12548" max="12548" width="15.140625" style="0" customWidth="1"/>
    <col min="12549" max="12549" width="13.7109375" style="0" customWidth="1"/>
    <col min="12550" max="12550" width="10.140625" style="0" bestFit="1" customWidth="1"/>
    <col min="12551" max="12551" width="11.57421875" style="0" bestFit="1" customWidth="1"/>
    <col min="12552" max="12553" width="9.28125" style="0" bestFit="1" customWidth="1"/>
    <col min="12554" max="12554" width="8.28125" style="0" customWidth="1"/>
    <col min="12801" max="12801" width="8.7109375" style="0" customWidth="1"/>
    <col min="12804" max="12804" width="15.140625" style="0" customWidth="1"/>
    <col min="12805" max="12805" width="13.7109375" style="0" customWidth="1"/>
    <col min="12806" max="12806" width="10.140625" style="0" bestFit="1" customWidth="1"/>
    <col min="12807" max="12807" width="11.57421875" style="0" bestFit="1" customWidth="1"/>
    <col min="12808" max="12809" width="9.28125" style="0" bestFit="1" customWidth="1"/>
    <col min="12810" max="12810" width="8.28125" style="0" customWidth="1"/>
    <col min="13057" max="13057" width="8.7109375" style="0" customWidth="1"/>
    <col min="13060" max="13060" width="15.140625" style="0" customWidth="1"/>
    <col min="13061" max="13061" width="13.7109375" style="0" customWidth="1"/>
    <col min="13062" max="13062" width="10.140625" style="0" bestFit="1" customWidth="1"/>
    <col min="13063" max="13063" width="11.57421875" style="0" bestFit="1" customWidth="1"/>
    <col min="13064" max="13065" width="9.28125" style="0" bestFit="1" customWidth="1"/>
    <col min="13066" max="13066" width="8.28125" style="0" customWidth="1"/>
    <col min="13313" max="13313" width="8.7109375" style="0" customWidth="1"/>
    <col min="13316" max="13316" width="15.140625" style="0" customWidth="1"/>
    <col min="13317" max="13317" width="13.7109375" style="0" customWidth="1"/>
    <col min="13318" max="13318" width="10.140625" style="0" bestFit="1" customWidth="1"/>
    <col min="13319" max="13319" width="11.57421875" style="0" bestFit="1" customWidth="1"/>
    <col min="13320" max="13321" width="9.28125" style="0" bestFit="1" customWidth="1"/>
    <col min="13322" max="13322" width="8.28125" style="0" customWidth="1"/>
    <col min="13569" max="13569" width="8.7109375" style="0" customWidth="1"/>
    <col min="13572" max="13572" width="15.140625" style="0" customWidth="1"/>
    <col min="13573" max="13573" width="13.7109375" style="0" customWidth="1"/>
    <col min="13574" max="13574" width="10.140625" style="0" bestFit="1" customWidth="1"/>
    <col min="13575" max="13575" width="11.57421875" style="0" bestFit="1" customWidth="1"/>
    <col min="13576" max="13577" width="9.28125" style="0" bestFit="1" customWidth="1"/>
    <col min="13578" max="13578" width="8.28125" style="0" customWidth="1"/>
    <col min="13825" max="13825" width="8.7109375" style="0" customWidth="1"/>
    <col min="13828" max="13828" width="15.140625" style="0" customWidth="1"/>
    <col min="13829" max="13829" width="13.7109375" style="0" customWidth="1"/>
    <col min="13830" max="13830" width="10.140625" style="0" bestFit="1" customWidth="1"/>
    <col min="13831" max="13831" width="11.57421875" style="0" bestFit="1" customWidth="1"/>
    <col min="13832" max="13833" width="9.28125" style="0" bestFit="1" customWidth="1"/>
    <col min="13834" max="13834" width="8.28125" style="0" customWidth="1"/>
    <col min="14081" max="14081" width="8.7109375" style="0" customWidth="1"/>
    <col min="14084" max="14084" width="15.140625" style="0" customWidth="1"/>
    <col min="14085" max="14085" width="13.7109375" style="0" customWidth="1"/>
    <col min="14086" max="14086" width="10.140625" style="0" bestFit="1" customWidth="1"/>
    <col min="14087" max="14087" width="11.57421875" style="0" bestFit="1" customWidth="1"/>
    <col min="14088" max="14089" width="9.28125" style="0" bestFit="1" customWidth="1"/>
    <col min="14090" max="14090" width="8.28125" style="0" customWidth="1"/>
    <col min="14337" max="14337" width="8.7109375" style="0" customWidth="1"/>
    <col min="14340" max="14340" width="15.140625" style="0" customWidth="1"/>
    <col min="14341" max="14341" width="13.7109375" style="0" customWidth="1"/>
    <col min="14342" max="14342" width="10.140625" style="0" bestFit="1" customWidth="1"/>
    <col min="14343" max="14343" width="11.57421875" style="0" bestFit="1" customWidth="1"/>
    <col min="14344" max="14345" width="9.28125" style="0" bestFit="1" customWidth="1"/>
    <col min="14346" max="14346" width="8.28125" style="0" customWidth="1"/>
    <col min="14593" max="14593" width="8.7109375" style="0" customWidth="1"/>
    <col min="14596" max="14596" width="15.140625" style="0" customWidth="1"/>
    <col min="14597" max="14597" width="13.7109375" style="0" customWidth="1"/>
    <col min="14598" max="14598" width="10.140625" style="0" bestFit="1" customWidth="1"/>
    <col min="14599" max="14599" width="11.57421875" style="0" bestFit="1" customWidth="1"/>
    <col min="14600" max="14601" width="9.28125" style="0" bestFit="1" customWidth="1"/>
    <col min="14602" max="14602" width="8.28125" style="0" customWidth="1"/>
    <col min="14849" max="14849" width="8.7109375" style="0" customWidth="1"/>
    <col min="14852" max="14852" width="15.140625" style="0" customWidth="1"/>
    <col min="14853" max="14853" width="13.7109375" style="0" customWidth="1"/>
    <col min="14854" max="14854" width="10.140625" style="0" bestFit="1" customWidth="1"/>
    <col min="14855" max="14855" width="11.57421875" style="0" bestFit="1" customWidth="1"/>
    <col min="14856" max="14857" width="9.28125" style="0" bestFit="1" customWidth="1"/>
    <col min="14858" max="14858" width="8.28125" style="0" customWidth="1"/>
    <col min="15105" max="15105" width="8.7109375" style="0" customWidth="1"/>
    <col min="15108" max="15108" width="15.140625" style="0" customWidth="1"/>
    <col min="15109" max="15109" width="13.7109375" style="0" customWidth="1"/>
    <col min="15110" max="15110" width="10.140625" style="0" bestFit="1" customWidth="1"/>
    <col min="15111" max="15111" width="11.57421875" style="0" bestFit="1" customWidth="1"/>
    <col min="15112" max="15113" width="9.28125" style="0" bestFit="1" customWidth="1"/>
    <col min="15114" max="15114" width="8.28125" style="0" customWidth="1"/>
    <col min="15361" max="15361" width="8.7109375" style="0" customWidth="1"/>
    <col min="15364" max="15364" width="15.140625" style="0" customWidth="1"/>
    <col min="15365" max="15365" width="13.7109375" style="0" customWidth="1"/>
    <col min="15366" max="15366" width="10.140625" style="0" bestFit="1" customWidth="1"/>
    <col min="15367" max="15367" width="11.57421875" style="0" bestFit="1" customWidth="1"/>
    <col min="15368" max="15369" width="9.28125" style="0" bestFit="1" customWidth="1"/>
    <col min="15370" max="15370" width="8.28125" style="0" customWidth="1"/>
    <col min="15617" max="15617" width="8.7109375" style="0" customWidth="1"/>
    <col min="15620" max="15620" width="15.140625" style="0" customWidth="1"/>
    <col min="15621" max="15621" width="13.7109375" style="0" customWidth="1"/>
    <col min="15622" max="15622" width="10.140625" style="0" bestFit="1" customWidth="1"/>
    <col min="15623" max="15623" width="11.57421875" style="0" bestFit="1" customWidth="1"/>
    <col min="15624" max="15625" width="9.28125" style="0" bestFit="1" customWidth="1"/>
    <col min="15626" max="15626" width="8.28125" style="0" customWidth="1"/>
    <col min="15873" max="15873" width="8.7109375" style="0" customWidth="1"/>
    <col min="15876" max="15876" width="15.140625" style="0" customWidth="1"/>
    <col min="15877" max="15877" width="13.7109375" style="0" customWidth="1"/>
    <col min="15878" max="15878" width="10.140625" style="0" bestFit="1" customWidth="1"/>
    <col min="15879" max="15879" width="11.57421875" style="0" bestFit="1" customWidth="1"/>
    <col min="15880" max="15881" width="9.28125" style="0" bestFit="1" customWidth="1"/>
    <col min="15882" max="15882" width="8.28125" style="0" customWidth="1"/>
    <col min="16129" max="16129" width="8.7109375" style="0" customWidth="1"/>
    <col min="16132" max="16132" width="15.140625" style="0" customWidth="1"/>
    <col min="16133" max="16133" width="13.7109375" style="0" customWidth="1"/>
    <col min="16134" max="16134" width="10.140625" style="0" bestFit="1" customWidth="1"/>
    <col min="16135" max="16135" width="11.57421875" style="0" bestFit="1" customWidth="1"/>
    <col min="16136" max="16137" width="9.28125" style="0" bestFit="1" customWidth="1"/>
    <col min="16138" max="16138" width="8.28125" style="0" customWidth="1"/>
  </cols>
  <sheetData>
    <row r="1" spans="1:9" ht="15.6">
      <c r="A1" s="303" t="s">
        <v>1396</v>
      </c>
      <c r="B1" s="303"/>
      <c r="C1" s="303"/>
      <c r="D1" s="303"/>
      <c r="E1" s="303"/>
      <c r="F1" s="303"/>
      <c r="G1" s="303"/>
      <c r="H1" s="303"/>
      <c r="I1" s="303"/>
    </row>
    <row r="2" spans="1:9" ht="15">
      <c r="A2" s="306" t="s">
        <v>1397</v>
      </c>
      <c r="B2" s="307"/>
      <c r="C2" s="307"/>
      <c r="D2" s="307"/>
      <c r="E2" s="307"/>
      <c r="F2" s="307"/>
      <c r="G2" s="307"/>
      <c r="H2" s="307"/>
      <c r="I2" s="307"/>
    </row>
    <row r="3" spans="1:9" ht="15">
      <c r="A3" s="236"/>
      <c r="B3" s="236"/>
      <c r="C3" s="236"/>
      <c r="D3" s="236"/>
      <c r="E3" s="236"/>
      <c r="F3" s="236"/>
      <c r="G3" s="236"/>
      <c r="H3" s="236"/>
      <c r="I3" s="236"/>
    </row>
    <row r="4" spans="1:10" ht="15">
      <c r="A4" s="308" t="s">
        <v>1398</v>
      </c>
      <c r="B4" s="308"/>
      <c r="C4" s="308"/>
      <c r="D4" s="308"/>
      <c r="E4" s="308"/>
      <c r="F4" s="308"/>
      <c r="G4" s="308"/>
      <c r="H4" s="308"/>
      <c r="I4" s="308"/>
      <c r="J4" s="237"/>
    </row>
    <row r="5" spans="1:10" ht="15">
      <c r="A5" s="308" t="s">
        <v>1456</v>
      </c>
      <c r="B5" s="308"/>
      <c r="C5" s="308"/>
      <c r="D5" s="308"/>
      <c r="E5" s="308"/>
      <c r="F5" s="308"/>
      <c r="G5" s="308"/>
      <c r="H5" s="308"/>
      <c r="I5" s="308"/>
      <c r="J5" s="237"/>
    </row>
    <row r="6" spans="1:10" ht="15">
      <c r="A6" s="308"/>
      <c r="B6" s="308"/>
      <c r="C6" s="308"/>
      <c r="D6" s="308"/>
      <c r="E6" s="308"/>
      <c r="F6" s="308"/>
      <c r="G6" s="308"/>
      <c r="H6" s="308"/>
      <c r="I6" s="308"/>
      <c r="J6" s="238"/>
    </row>
    <row r="7" spans="1:10" ht="15">
      <c r="A7" s="197"/>
      <c r="B7" s="194"/>
      <c r="C7" s="194"/>
      <c r="D7" s="194"/>
      <c r="E7" s="194"/>
      <c r="F7" s="194"/>
      <c r="G7" s="194"/>
      <c r="H7" s="194"/>
      <c r="I7" s="194"/>
      <c r="J7" s="194"/>
    </row>
    <row r="8" spans="1:10" ht="15">
      <c r="A8" s="197"/>
      <c r="B8" s="194"/>
      <c r="C8" s="194"/>
      <c r="D8" s="194"/>
      <c r="E8" s="194" t="s">
        <v>894</v>
      </c>
      <c r="F8" s="194" t="s">
        <v>895</v>
      </c>
      <c r="G8" s="194" t="s">
        <v>896</v>
      </c>
      <c r="H8" s="194"/>
      <c r="I8" s="194"/>
      <c r="J8" s="194"/>
    </row>
    <row r="9" spans="1:10" ht="15">
      <c r="A9" s="194"/>
      <c r="B9" s="194"/>
      <c r="C9" s="194"/>
      <c r="D9" s="194"/>
      <c r="E9" s="194"/>
      <c r="F9" s="194"/>
      <c r="G9" s="194"/>
      <c r="H9" s="194"/>
      <c r="I9" s="194"/>
      <c r="J9" s="194"/>
    </row>
    <row r="10" spans="1:10" ht="15">
      <c r="A10" s="194"/>
      <c r="B10" s="194"/>
      <c r="C10" s="194"/>
      <c r="D10" s="194"/>
      <c r="E10" s="194"/>
      <c r="F10" s="195"/>
      <c r="G10" s="194"/>
      <c r="H10" s="194"/>
      <c r="I10" s="194"/>
      <c r="J10" s="194"/>
    </row>
    <row r="11" spans="1:10" ht="15">
      <c r="A11" s="197" t="s">
        <v>902</v>
      </c>
      <c r="B11" s="194"/>
      <c r="C11" s="194"/>
      <c r="D11" s="194"/>
      <c r="E11" s="194"/>
      <c r="F11" s="194"/>
      <c r="G11" s="194"/>
      <c r="H11" s="194"/>
      <c r="I11" s="194"/>
      <c r="J11" s="194"/>
    </row>
    <row r="12" spans="1:10" ht="15">
      <c r="A12" s="194" t="s">
        <v>894</v>
      </c>
      <c r="B12" s="194"/>
      <c r="C12" s="194"/>
      <c r="D12" s="194"/>
      <c r="E12" s="239">
        <f>G286</f>
        <v>0</v>
      </c>
      <c r="F12" s="194"/>
      <c r="G12" s="194"/>
      <c r="H12" s="194"/>
      <c r="I12" s="194"/>
      <c r="J12" s="194"/>
    </row>
    <row r="13" spans="1:10" ht="15">
      <c r="A13" s="194" t="s">
        <v>895</v>
      </c>
      <c r="B13" s="194"/>
      <c r="C13" s="194"/>
      <c r="D13" s="194"/>
      <c r="E13" s="194"/>
      <c r="F13" s="239">
        <f>H286</f>
        <v>0</v>
      </c>
      <c r="G13" s="194"/>
      <c r="H13" s="194"/>
      <c r="I13" s="194"/>
      <c r="J13" s="194"/>
    </row>
    <row r="14" spans="1:10" ht="15">
      <c r="A14" s="194" t="s">
        <v>896</v>
      </c>
      <c r="B14" s="194"/>
      <c r="C14" s="194"/>
      <c r="D14" s="194"/>
      <c r="E14" s="194"/>
      <c r="F14" s="194"/>
      <c r="G14" s="195">
        <f>I286</f>
        <v>903.4000000000001</v>
      </c>
      <c r="H14" s="194"/>
      <c r="I14" s="240"/>
      <c r="J14" s="194"/>
    </row>
    <row r="15" spans="1:10" ht="15" thickBot="1">
      <c r="A15" s="241" t="s">
        <v>906</v>
      </c>
      <c r="B15" s="241"/>
      <c r="C15" s="241"/>
      <c r="D15" s="241"/>
      <c r="E15" s="241"/>
      <c r="F15" s="241"/>
      <c r="G15" s="241"/>
      <c r="H15" s="242"/>
      <c r="I15" s="242"/>
      <c r="J15" s="194"/>
    </row>
    <row r="16" spans="1:10" ht="15">
      <c r="A16" s="194"/>
      <c r="B16" s="194"/>
      <c r="C16" s="194"/>
      <c r="D16" s="194"/>
      <c r="E16" s="194"/>
      <c r="F16" s="194"/>
      <c r="G16" s="194"/>
      <c r="H16" s="194"/>
      <c r="I16" s="194"/>
      <c r="J16" s="194"/>
    </row>
    <row r="17" spans="1:10" ht="15">
      <c r="A17" s="197" t="s">
        <v>1399</v>
      </c>
      <c r="B17" s="194"/>
      <c r="C17" s="194"/>
      <c r="D17" s="194"/>
      <c r="E17" s="198">
        <f>E12</f>
        <v>0</v>
      </c>
      <c r="F17" s="194"/>
      <c r="G17" s="194"/>
      <c r="H17" s="194"/>
      <c r="I17" s="194"/>
      <c r="J17" s="194"/>
    </row>
    <row r="18" spans="1:10" ht="15">
      <c r="A18" s="197" t="s">
        <v>1400</v>
      </c>
      <c r="B18" s="194"/>
      <c r="C18" s="194"/>
      <c r="D18" s="194"/>
      <c r="E18" s="194"/>
      <c r="F18" s="198">
        <f>F13</f>
        <v>0</v>
      </c>
      <c r="G18" s="194"/>
      <c r="H18" s="194"/>
      <c r="I18" s="194"/>
      <c r="J18" s="194"/>
    </row>
    <row r="19" spans="1:10" ht="15">
      <c r="A19" s="197" t="s">
        <v>1401</v>
      </c>
      <c r="B19" s="194"/>
      <c r="C19" s="194"/>
      <c r="D19" s="194"/>
      <c r="E19" s="194"/>
      <c r="F19" s="194"/>
      <c r="G19" s="198">
        <f>G14</f>
        <v>903.4000000000001</v>
      </c>
      <c r="H19" s="194"/>
      <c r="I19" s="194"/>
      <c r="J19" s="194"/>
    </row>
    <row r="20" spans="1:10" ht="15">
      <c r="A20" s="194" t="s">
        <v>906</v>
      </c>
      <c r="B20" s="194"/>
      <c r="C20" s="194"/>
      <c r="D20" s="194"/>
      <c r="E20" s="194"/>
      <c r="F20" s="194"/>
      <c r="G20" s="194"/>
      <c r="H20" s="194"/>
      <c r="I20" s="194"/>
      <c r="J20" s="194"/>
    </row>
    <row r="21" spans="1:10" ht="15.6">
      <c r="A21" s="243" t="s">
        <v>907</v>
      </c>
      <c r="B21" s="194"/>
      <c r="C21" s="194"/>
      <c r="D21" s="194"/>
      <c r="E21" s="194"/>
      <c r="F21" s="244">
        <f>E12+F13</f>
        <v>0</v>
      </c>
      <c r="G21" s="194"/>
      <c r="H21" s="194"/>
      <c r="I21" s="194"/>
      <c r="J21" s="194"/>
    </row>
    <row r="22" ht="15">
      <c r="A22" t="s">
        <v>908</v>
      </c>
    </row>
    <row r="24" spans="1:7" ht="15">
      <c r="A24" s="194"/>
      <c r="B24" s="194"/>
      <c r="C24" s="194"/>
      <c r="D24" s="194"/>
      <c r="E24" s="194"/>
      <c r="F24" s="194"/>
      <c r="G24" s="194"/>
    </row>
    <row r="25" spans="1:7" ht="15">
      <c r="A25" s="213"/>
      <c r="B25" s="194"/>
      <c r="C25" s="194"/>
      <c r="D25" s="194"/>
      <c r="E25" s="194"/>
      <c r="F25" s="194"/>
      <c r="G25" s="194"/>
    </row>
    <row r="26" spans="1:7" ht="15">
      <c r="A26" s="213"/>
      <c r="B26" s="194"/>
      <c r="C26" s="194"/>
      <c r="D26" s="194"/>
      <c r="E26" s="194"/>
      <c r="F26" s="194"/>
      <c r="G26" s="194"/>
    </row>
    <row r="27" spans="1:7" ht="15">
      <c r="A27" s="194"/>
      <c r="B27" s="194"/>
      <c r="C27" s="194"/>
      <c r="D27" s="194"/>
      <c r="E27" s="194"/>
      <c r="F27" s="194"/>
      <c r="G27" s="194"/>
    </row>
    <row r="28" spans="1:7" ht="15">
      <c r="A28" s="194"/>
      <c r="B28" s="194"/>
      <c r="C28" s="194"/>
      <c r="D28" s="194"/>
      <c r="E28" s="194"/>
      <c r="F28" s="194"/>
      <c r="G28" s="194"/>
    </row>
    <row r="29" spans="1:7" ht="15">
      <c r="A29" s="194"/>
      <c r="B29" s="194"/>
      <c r="C29" s="194"/>
      <c r="D29" s="194"/>
      <c r="E29" s="194"/>
      <c r="F29" s="194"/>
      <c r="G29" s="194"/>
    </row>
    <row r="30" spans="1:7" ht="3" customHeight="1">
      <c r="A30" s="194"/>
      <c r="B30" s="194"/>
      <c r="C30" s="194"/>
      <c r="D30" s="194"/>
      <c r="E30" s="194"/>
      <c r="F30" s="194"/>
      <c r="G30" s="194"/>
    </row>
    <row r="31" spans="1:7" ht="15">
      <c r="A31" s="183" t="s">
        <v>1402</v>
      </c>
      <c r="B31" s="194"/>
      <c r="C31" s="194"/>
      <c r="D31" s="194"/>
      <c r="E31" s="194"/>
      <c r="F31" s="194"/>
      <c r="G31" s="194"/>
    </row>
    <row r="32" ht="0.75" customHeight="1">
      <c r="A32" s="177"/>
    </row>
    <row r="33" spans="1:10" ht="15">
      <c r="A33" s="245"/>
      <c r="B33" s="245"/>
      <c r="C33" s="245"/>
      <c r="D33" s="245"/>
      <c r="E33" s="245"/>
      <c r="F33" s="245"/>
      <c r="G33" s="246" t="s">
        <v>894</v>
      </c>
      <c r="H33" s="246" t="s">
        <v>895</v>
      </c>
      <c r="I33" s="245"/>
      <c r="J33" s="194"/>
    </row>
    <row r="34" spans="1:10" ht="15">
      <c r="A34" s="247" t="s">
        <v>910</v>
      </c>
      <c r="B34" s="247" t="s">
        <v>911</v>
      </c>
      <c r="C34" s="245"/>
      <c r="D34" s="245"/>
      <c r="E34" s="245"/>
      <c r="F34" s="247" t="s">
        <v>912</v>
      </c>
      <c r="G34" s="186" t="s">
        <v>913</v>
      </c>
      <c r="H34" s="186" t="s">
        <v>913</v>
      </c>
      <c r="I34" s="186" t="s">
        <v>914</v>
      </c>
      <c r="J34" s="184"/>
    </row>
    <row r="35" spans="1:10" ht="15" thickBot="1">
      <c r="A35" s="245"/>
      <c r="B35" s="247" t="s">
        <v>915</v>
      </c>
      <c r="C35" s="245"/>
      <c r="D35" s="245"/>
      <c r="E35" s="245"/>
      <c r="F35" s="245"/>
      <c r="G35" s="186" t="s">
        <v>916</v>
      </c>
      <c r="H35" s="186" t="s">
        <v>916</v>
      </c>
      <c r="I35" s="248"/>
      <c r="J35" s="249"/>
    </row>
    <row r="36" spans="1:10" ht="2.25" customHeight="1">
      <c r="A36" s="190" t="s">
        <v>906</v>
      </c>
      <c r="B36" s="190"/>
      <c r="C36" s="190"/>
      <c r="D36" s="190"/>
      <c r="E36" s="190"/>
      <c r="F36" s="190"/>
      <c r="G36" s="190"/>
      <c r="H36" s="190"/>
      <c r="I36" s="190"/>
      <c r="J36" s="19"/>
    </row>
    <row r="37" spans="1:10" ht="15.6">
      <c r="A37" s="191" t="s">
        <v>917</v>
      </c>
      <c r="B37" s="192" t="s">
        <v>1022</v>
      </c>
      <c r="C37" s="193"/>
      <c r="D37" s="193"/>
      <c r="E37" s="193"/>
      <c r="F37" s="194" t="s">
        <v>217</v>
      </c>
      <c r="G37" s="194"/>
      <c r="H37" s="195"/>
      <c r="I37" s="194">
        <v>105</v>
      </c>
      <c r="J37" s="208"/>
    </row>
    <row r="38" spans="1:10" ht="15.6">
      <c r="A38" s="191"/>
      <c r="B38" s="186" t="s">
        <v>1023</v>
      </c>
      <c r="C38" s="193"/>
      <c r="D38" s="193"/>
      <c r="E38" s="193"/>
      <c r="F38" s="194"/>
      <c r="G38" s="194"/>
      <c r="H38" s="195"/>
      <c r="I38" s="194"/>
      <c r="J38" s="208"/>
    </row>
    <row r="39" spans="1:10" ht="15.6">
      <c r="A39" s="191"/>
      <c r="B39" s="186" t="s">
        <v>1403</v>
      </c>
      <c r="C39" s="187"/>
      <c r="D39" s="187"/>
      <c r="E39" s="187"/>
      <c r="F39" s="194">
        <v>1</v>
      </c>
      <c r="G39" s="197">
        <f>F39*G37</f>
        <v>0</v>
      </c>
      <c r="H39" s="198">
        <f>F39*H37</f>
        <v>0</v>
      </c>
      <c r="I39" s="197">
        <f>F39*I37</f>
        <v>105</v>
      </c>
      <c r="J39" s="208"/>
    </row>
    <row r="40" spans="1:10" ht="15.6">
      <c r="A40" s="191"/>
      <c r="B40" s="186" t="s">
        <v>1404</v>
      </c>
      <c r="C40" s="187"/>
      <c r="D40" s="187"/>
      <c r="E40" s="187"/>
      <c r="F40" s="194"/>
      <c r="G40" s="197"/>
      <c r="H40" s="198"/>
      <c r="I40" s="197"/>
      <c r="J40" s="208"/>
    </row>
    <row r="41" spans="1:10" ht="15.6">
      <c r="A41" s="191"/>
      <c r="B41" s="186" t="s">
        <v>1405</v>
      </c>
      <c r="C41" s="187"/>
      <c r="D41" s="187"/>
      <c r="E41" s="187"/>
      <c r="F41" s="194"/>
      <c r="G41" s="197"/>
      <c r="H41" s="198"/>
      <c r="I41" s="197"/>
      <c r="J41" s="208"/>
    </row>
    <row r="42" spans="1:10" ht="15.6">
      <c r="A42" s="191"/>
      <c r="B42" s="186" t="s">
        <v>1027</v>
      </c>
      <c r="C42" s="187"/>
      <c r="D42" s="187"/>
      <c r="E42" s="187"/>
      <c r="F42" s="187"/>
      <c r="G42" s="201"/>
      <c r="H42" s="202"/>
      <c r="I42" s="201"/>
      <c r="J42" s="208"/>
    </row>
    <row r="43" spans="1:10" ht="15.6">
      <c r="A43" s="191"/>
      <c r="B43" s="186" t="s">
        <v>1028</v>
      </c>
      <c r="C43" s="187"/>
      <c r="D43" s="187"/>
      <c r="E43" s="187"/>
      <c r="F43" s="187"/>
      <c r="G43" s="201"/>
      <c r="H43" s="202"/>
      <c r="I43" s="201"/>
      <c r="J43" s="208"/>
    </row>
    <row r="44" spans="1:10" ht="15.6">
      <c r="A44" s="191"/>
      <c r="B44" s="186" t="s">
        <v>1029</v>
      </c>
      <c r="C44" s="187"/>
      <c r="D44" s="187"/>
      <c r="E44" s="187"/>
      <c r="F44" s="187"/>
      <c r="G44" s="194"/>
      <c r="H44" s="195"/>
      <c r="I44" s="194"/>
      <c r="J44" s="208"/>
    </row>
    <row r="45" spans="1:10" ht="15.6">
      <c r="A45" s="191"/>
      <c r="B45" s="186" t="s">
        <v>1406</v>
      </c>
      <c r="C45" s="187"/>
      <c r="D45" s="187"/>
      <c r="E45" s="187"/>
      <c r="F45" s="187"/>
      <c r="G45" s="194"/>
      <c r="H45" s="195"/>
      <c r="I45" s="194"/>
      <c r="J45" s="208"/>
    </row>
    <row r="46" spans="1:10" ht="15.6">
      <c r="A46" s="191"/>
      <c r="B46" s="186"/>
      <c r="C46" s="187"/>
      <c r="D46" s="187"/>
      <c r="E46" s="187"/>
      <c r="F46" s="187"/>
      <c r="G46" s="194"/>
      <c r="H46" s="195"/>
      <c r="I46" s="194"/>
      <c r="J46" s="208"/>
    </row>
    <row r="47" spans="1:10" ht="15.6">
      <c r="A47" s="191"/>
      <c r="B47" s="186" t="s">
        <v>927</v>
      </c>
      <c r="C47" s="187"/>
      <c r="D47" s="187"/>
      <c r="E47" s="187"/>
      <c r="F47" s="187"/>
      <c r="G47" s="194"/>
      <c r="H47" s="195"/>
      <c r="I47" s="194"/>
      <c r="J47" s="208"/>
    </row>
    <row r="48" spans="1:10" ht="15.6">
      <c r="A48" s="191"/>
      <c r="B48" s="186" t="s">
        <v>1407</v>
      </c>
      <c r="C48" s="193"/>
      <c r="D48" s="193"/>
      <c r="E48" s="187"/>
      <c r="F48" s="194">
        <v>1</v>
      </c>
      <c r="G48" s="194"/>
      <c r="H48" s="195"/>
      <c r="I48" s="194"/>
      <c r="J48" s="208"/>
    </row>
    <row r="49" spans="1:10" ht="15.6">
      <c r="A49" s="199"/>
      <c r="B49" s="186"/>
      <c r="C49" s="184"/>
      <c r="D49" s="184"/>
      <c r="E49" s="184"/>
      <c r="F49" s="194"/>
      <c r="G49" s="197"/>
      <c r="H49" s="198"/>
      <c r="I49" s="197"/>
      <c r="J49" s="208"/>
    </row>
    <row r="50" spans="1:10" ht="15.6">
      <c r="A50" s="199"/>
      <c r="B50" s="186"/>
      <c r="C50" s="184"/>
      <c r="D50" s="184"/>
      <c r="E50" s="184"/>
      <c r="F50" s="194"/>
      <c r="G50" s="197"/>
      <c r="H50" s="198"/>
      <c r="I50" s="197"/>
      <c r="J50" s="208"/>
    </row>
    <row r="51" spans="1:10" ht="15.75">
      <c r="A51" s="199"/>
      <c r="B51" s="186"/>
      <c r="C51" s="184"/>
      <c r="D51" s="184"/>
      <c r="E51" s="184"/>
      <c r="F51" s="194"/>
      <c r="G51" s="197"/>
      <c r="H51" s="198"/>
      <c r="I51" s="197"/>
      <c r="J51" s="208"/>
    </row>
    <row r="52" spans="1:10" ht="15.75">
      <c r="A52" s="199"/>
      <c r="B52" s="186"/>
      <c r="C52" s="184"/>
      <c r="D52" s="184"/>
      <c r="E52" s="184"/>
      <c r="F52" s="194"/>
      <c r="G52" s="197"/>
      <c r="H52" s="198"/>
      <c r="I52" s="197"/>
      <c r="J52" s="208"/>
    </row>
    <row r="53" spans="1:10" ht="15.75">
      <c r="A53" s="199"/>
      <c r="B53" s="186"/>
      <c r="C53" s="184"/>
      <c r="D53" s="184"/>
      <c r="E53" s="184"/>
      <c r="F53" s="194"/>
      <c r="G53" s="197"/>
      <c r="H53" s="198"/>
      <c r="I53" s="197"/>
      <c r="J53" s="208"/>
    </row>
    <row r="54" spans="1:10" ht="15.75">
      <c r="A54" s="199"/>
      <c r="B54" s="186"/>
      <c r="C54" s="184"/>
      <c r="D54" s="184"/>
      <c r="E54" s="184"/>
      <c r="F54" s="194"/>
      <c r="G54" s="197"/>
      <c r="H54" s="198"/>
      <c r="I54" s="197"/>
      <c r="J54" s="208"/>
    </row>
    <row r="55" spans="1:10" ht="15.75">
      <c r="A55" s="199"/>
      <c r="B55" s="186"/>
      <c r="C55" s="184"/>
      <c r="D55" s="184"/>
      <c r="E55" s="184"/>
      <c r="F55" s="194"/>
      <c r="G55" s="197"/>
      <c r="H55" s="198"/>
      <c r="I55" s="197"/>
      <c r="J55" s="208"/>
    </row>
    <row r="56" spans="1:10" ht="15.75">
      <c r="A56" s="199"/>
      <c r="B56" s="186"/>
      <c r="C56" s="184"/>
      <c r="D56" s="184"/>
      <c r="E56" s="184"/>
      <c r="F56" s="194"/>
      <c r="G56" s="197"/>
      <c r="H56" s="198"/>
      <c r="I56" s="197"/>
      <c r="J56" s="208"/>
    </row>
    <row r="57" spans="1:10" ht="15.75">
      <c r="A57" s="199"/>
      <c r="B57" s="186"/>
      <c r="C57" s="184"/>
      <c r="D57" s="184"/>
      <c r="E57" s="184"/>
      <c r="F57" s="194"/>
      <c r="G57" s="197"/>
      <c r="H57" s="198"/>
      <c r="I57" s="197"/>
      <c r="J57" s="208"/>
    </row>
    <row r="58" spans="1:10" ht="15.75">
      <c r="A58" s="199"/>
      <c r="B58" s="186"/>
      <c r="C58" s="184"/>
      <c r="D58" s="184"/>
      <c r="E58" s="184"/>
      <c r="F58" s="194"/>
      <c r="G58" s="197"/>
      <c r="H58" s="198"/>
      <c r="I58" s="197"/>
      <c r="J58" s="208"/>
    </row>
    <row r="59" spans="1:10" ht="15.75">
      <c r="A59" s="199"/>
      <c r="B59" s="186"/>
      <c r="C59" s="184"/>
      <c r="D59" s="184"/>
      <c r="E59" s="184"/>
      <c r="F59" s="194"/>
      <c r="G59" s="197"/>
      <c r="H59" s="198"/>
      <c r="I59" s="197"/>
      <c r="J59" s="208"/>
    </row>
    <row r="60" spans="1:10" ht="15.75">
      <c r="A60" s="199"/>
      <c r="B60" s="186"/>
      <c r="C60" s="184"/>
      <c r="D60" s="184"/>
      <c r="E60" s="184"/>
      <c r="F60" s="194"/>
      <c r="G60" s="197"/>
      <c r="H60" s="198"/>
      <c r="I60" s="197"/>
      <c r="J60" s="208"/>
    </row>
    <row r="61" spans="1:10" ht="15.75">
      <c r="A61" s="199"/>
      <c r="B61" s="186"/>
      <c r="C61" s="184"/>
      <c r="D61" s="184"/>
      <c r="E61" s="184"/>
      <c r="F61" s="194"/>
      <c r="G61" s="197"/>
      <c r="H61" s="198"/>
      <c r="I61" s="197"/>
      <c r="J61" s="208"/>
    </row>
    <row r="62" spans="1:10" ht="15.75">
      <c r="A62" s="199"/>
      <c r="B62" s="186"/>
      <c r="C62" s="184"/>
      <c r="D62" s="184"/>
      <c r="E62" s="184"/>
      <c r="F62" s="194"/>
      <c r="G62" s="197"/>
      <c r="H62" s="198"/>
      <c r="I62" s="197"/>
      <c r="J62" s="208"/>
    </row>
    <row r="63" spans="1:10" ht="15.75">
      <c r="A63" s="199"/>
      <c r="B63" s="186"/>
      <c r="C63" s="184"/>
      <c r="D63" s="184"/>
      <c r="E63" s="184"/>
      <c r="F63" s="194"/>
      <c r="G63" s="197"/>
      <c r="H63" s="198"/>
      <c r="I63" s="197"/>
      <c r="J63" s="208"/>
    </row>
    <row r="64" spans="1:10" ht="15.75">
      <c r="A64" s="199"/>
      <c r="B64" s="186"/>
      <c r="C64" s="184"/>
      <c r="D64" s="184"/>
      <c r="E64" s="184"/>
      <c r="F64" s="194"/>
      <c r="G64" s="197"/>
      <c r="H64" s="198"/>
      <c r="I64" s="197"/>
      <c r="J64" s="208"/>
    </row>
    <row r="65" spans="1:10" ht="15.75">
      <c r="A65" s="199"/>
      <c r="B65" s="186"/>
      <c r="C65" s="184"/>
      <c r="D65" s="184"/>
      <c r="E65" s="184"/>
      <c r="F65" s="194"/>
      <c r="G65" s="197"/>
      <c r="H65" s="198"/>
      <c r="I65" s="197"/>
      <c r="J65" s="208"/>
    </row>
    <row r="66" spans="1:10" ht="15.75">
      <c r="A66" s="199"/>
      <c r="B66" s="186"/>
      <c r="C66" s="184"/>
      <c r="D66" s="184"/>
      <c r="E66" s="184"/>
      <c r="F66" s="194"/>
      <c r="G66" s="197"/>
      <c r="H66" s="198"/>
      <c r="I66" s="197"/>
      <c r="J66" s="208"/>
    </row>
    <row r="67" spans="1:10" ht="15.75">
      <c r="A67" s="199"/>
      <c r="B67" s="186"/>
      <c r="C67" s="184"/>
      <c r="D67" s="184"/>
      <c r="E67" s="184"/>
      <c r="F67" s="194"/>
      <c r="G67" s="197"/>
      <c r="H67" s="198"/>
      <c r="I67" s="197"/>
      <c r="J67" s="208"/>
    </row>
    <row r="68" spans="1:10" ht="15.75">
      <c r="A68" s="199"/>
      <c r="B68" s="186"/>
      <c r="C68" s="184"/>
      <c r="D68" s="184"/>
      <c r="E68" s="184"/>
      <c r="F68" s="194"/>
      <c r="G68" s="197"/>
      <c r="H68" s="198"/>
      <c r="I68" s="197"/>
      <c r="J68" s="208"/>
    </row>
    <row r="69" spans="1:10" ht="15.75">
      <c r="A69" s="199"/>
      <c r="B69" s="186"/>
      <c r="C69" s="184"/>
      <c r="D69" s="184"/>
      <c r="E69" s="184"/>
      <c r="F69" s="194"/>
      <c r="G69" s="197"/>
      <c r="H69" s="198"/>
      <c r="I69" s="197"/>
      <c r="J69" s="208"/>
    </row>
    <row r="70" spans="1:10" ht="15.75">
      <c r="A70" s="199"/>
      <c r="B70" s="186"/>
      <c r="C70" s="184"/>
      <c r="D70" s="184"/>
      <c r="E70" s="184"/>
      <c r="F70" s="194"/>
      <c r="G70" s="197"/>
      <c r="H70" s="198"/>
      <c r="I70" s="197"/>
      <c r="J70" s="208"/>
    </row>
    <row r="71" spans="1:10" ht="15.75">
      <c r="A71" s="199"/>
      <c r="B71" s="186"/>
      <c r="C71" s="184"/>
      <c r="D71" s="184"/>
      <c r="E71" s="184"/>
      <c r="F71" s="194"/>
      <c r="G71" s="197"/>
      <c r="H71" s="198"/>
      <c r="I71" s="197"/>
      <c r="J71" s="208"/>
    </row>
    <row r="72" spans="1:10" ht="15.75">
      <c r="A72" s="199"/>
      <c r="B72" s="186"/>
      <c r="C72" s="184"/>
      <c r="D72" s="184"/>
      <c r="E72" s="184"/>
      <c r="F72" s="194"/>
      <c r="G72" s="197"/>
      <c r="H72" s="198"/>
      <c r="I72" s="197"/>
      <c r="J72" s="208"/>
    </row>
    <row r="73" spans="1:10" ht="15.75">
      <c r="A73" s="199"/>
      <c r="B73" s="186"/>
      <c r="C73" s="184"/>
      <c r="D73" s="184"/>
      <c r="E73" s="184"/>
      <c r="F73" s="194"/>
      <c r="G73" s="197"/>
      <c r="H73" s="198"/>
      <c r="I73" s="197"/>
      <c r="J73" s="208"/>
    </row>
    <row r="74" spans="1:10" ht="15.75">
      <c r="A74" s="199"/>
      <c r="B74" s="186"/>
      <c r="C74" s="184"/>
      <c r="D74" s="184"/>
      <c r="E74" s="184"/>
      <c r="F74" s="194"/>
      <c r="G74" s="197"/>
      <c r="H74" s="198"/>
      <c r="I74" s="197"/>
      <c r="J74" s="208"/>
    </row>
    <row r="75" spans="1:10" ht="15.75">
      <c r="A75" s="199"/>
      <c r="B75" s="186"/>
      <c r="C75" s="184"/>
      <c r="D75" s="184"/>
      <c r="E75" s="184"/>
      <c r="F75" s="194"/>
      <c r="G75" s="197"/>
      <c r="H75" s="198"/>
      <c r="I75" s="197"/>
      <c r="J75" s="208"/>
    </row>
    <row r="76" spans="1:10" ht="15.75">
      <c r="A76" s="199"/>
      <c r="B76" s="186"/>
      <c r="C76" s="184"/>
      <c r="D76" s="184"/>
      <c r="E76" s="184"/>
      <c r="F76" s="194"/>
      <c r="G76" s="197"/>
      <c r="H76" s="198"/>
      <c r="I76" s="197"/>
      <c r="J76" s="208"/>
    </row>
    <row r="77" spans="1:10" ht="15.75">
      <c r="A77" s="199"/>
      <c r="B77" s="186"/>
      <c r="C77" s="184"/>
      <c r="D77" s="184"/>
      <c r="E77" s="184"/>
      <c r="F77" s="194"/>
      <c r="G77" s="197"/>
      <c r="H77" s="198"/>
      <c r="I77" s="197"/>
      <c r="J77" s="208"/>
    </row>
    <row r="78" spans="1:10" ht="15.6">
      <c r="A78" s="199"/>
      <c r="B78" s="186"/>
      <c r="C78" s="184"/>
      <c r="D78" s="184"/>
      <c r="E78" s="184"/>
      <c r="F78" s="194"/>
      <c r="G78" s="197"/>
      <c r="H78" s="198"/>
      <c r="I78" s="197"/>
      <c r="J78" s="208"/>
    </row>
    <row r="79" spans="1:10" ht="15.75">
      <c r="A79" s="199"/>
      <c r="B79" s="186"/>
      <c r="C79" s="184"/>
      <c r="D79" s="184"/>
      <c r="E79" s="184"/>
      <c r="F79" s="194"/>
      <c r="G79" s="197"/>
      <c r="H79" s="198"/>
      <c r="I79" s="197"/>
      <c r="J79" s="208"/>
    </row>
    <row r="80" spans="1:10" ht="15.75">
      <c r="A80" s="199"/>
      <c r="B80" s="186"/>
      <c r="C80" s="184"/>
      <c r="D80" s="184"/>
      <c r="E80" s="184"/>
      <c r="F80" s="194"/>
      <c r="G80" s="197"/>
      <c r="H80" s="198"/>
      <c r="I80" s="197"/>
      <c r="J80" s="208"/>
    </row>
    <row r="81" spans="1:10" ht="15.75">
      <c r="A81" s="199"/>
      <c r="B81" s="186"/>
      <c r="C81" s="184"/>
      <c r="D81" s="184"/>
      <c r="E81" s="184"/>
      <c r="F81" s="194"/>
      <c r="G81" s="197"/>
      <c r="H81" s="198"/>
      <c r="I81" s="197"/>
      <c r="J81" s="208"/>
    </row>
    <row r="82" spans="1:10" ht="15.75">
      <c r="A82" s="199"/>
      <c r="B82" s="186"/>
      <c r="C82" s="184"/>
      <c r="D82" s="184"/>
      <c r="E82" s="184"/>
      <c r="F82" s="194"/>
      <c r="G82" s="197"/>
      <c r="H82" s="198"/>
      <c r="I82" s="197"/>
      <c r="J82" s="208"/>
    </row>
    <row r="83" spans="1:10" ht="15.75">
      <c r="A83" s="199"/>
      <c r="B83" s="186"/>
      <c r="C83" s="184"/>
      <c r="D83" s="184"/>
      <c r="E83" s="184"/>
      <c r="F83" s="194"/>
      <c r="G83" s="197"/>
      <c r="H83" s="198"/>
      <c r="I83" s="197"/>
      <c r="J83" s="208"/>
    </row>
    <row r="84" spans="1:10" ht="15.75">
      <c r="A84" s="199"/>
      <c r="B84" s="186"/>
      <c r="C84" s="184"/>
      <c r="D84" s="184"/>
      <c r="E84" s="184"/>
      <c r="F84" s="194"/>
      <c r="G84" s="197"/>
      <c r="H84" s="198"/>
      <c r="I84" s="197"/>
      <c r="J84" s="208"/>
    </row>
    <row r="85" spans="1:10" ht="15.75">
      <c r="A85" s="199"/>
      <c r="B85" s="186"/>
      <c r="C85" s="184"/>
      <c r="D85" s="184"/>
      <c r="E85" s="184"/>
      <c r="F85" s="194"/>
      <c r="G85" s="197"/>
      <c r="H85" s="198"/>
      <c r="I85" s="197"/>
      <c r="J85" s="208"/>
    </row>
    <row r="86" spans="1:10" ht="15.75">
      <c r="A86" s="199"/>
      <c r="B86" s="186"/>
      <c r="C86" s="184"/>
      <c r="D86" s="184"/>
      <c r="E86" s="184"/>
      <c r="F86" s="194"/>
      <c r="G86" s="197"/>
      <c r="H86" s="198"/>
      <c r="I86" s="197"/>
      <c r="J86" s="208"/>
    </row>
    <row r="87" spans="1:10" ht="15.75">
      <c r="A87" s="199"/>
      <c r="B87" s="186"/>
      <c r="C87" s="184"/>
      <c r="D87" s="184"/>
      <c r="E87" s="184"/>
      <c r="F87" s="194"/>
      <c r="G87" s="197"/>
      <c r="H87" s="198"/>
      <c r="I87" s="197"/>
      <c r="J87" s="208"/>
    </row>
    <row r="88" spans="1:10" ht="15.75">
      <c r="A88" s="199"/>
      <c r="B88" s="186"/>
      <c r="C88" s="184"/>
      <c r="D88" s="184"/>
      <c r="E88" s="184"/>
      <c r="F88" s="194"/>
      <c r="G88" s="197"/>
      <c r="H88" s="198"/>
      <c r="I88" s="197"/>
      <c r="J88" s="208"/>
    </row>
    <row r="89" spans="1:10" ht="15.75">
      <c r="A89" s="199"/>
      <c r="B89" s="186"/>
      <c r="C89" s="184"/>
      <c r="D89" s="184"/>
      <c r="E89" s="184"/>
      <c r="F89" s="194"/>
      <c r="G89" s="197"/>
      <c r="H89" s="198"/>
      <c r="I89" s="197"/>
      <c r="J89" s="208"/>
    </row>
    <row r="90" spans="1:10" ht="15.75">
      <c r="A90" s="199"/>
      <c r="B90" s="186"/>
      <c r="C90" s="184"/>
      <c r="D90" s="184"/>
      <c r="E90" s="184"/>
      <c r="F90" s="194"/>
      <c r="G90" s="197"/>
      <c r="H90" s="198"/>
      <c r="I90" s="197"/>
      <c r="J90" s="208"/>
    </row>
    <row r="91" spans="1:10" ht="15.75">
      <c r="A91" s="199"/>
      <c r="B91" s="186"/>
      <c r="C91" s="184"/>
      <c r="D91" s="184"/>
      <c r="E91" s="184"/>
      <c r="F91" s="194"/>
      <c r="G91" s="197"/>
      <c r="H91" s="198"/>
      <c r="I91" s="197"/>
      <c r="J91" s="208"/>
    </row>
    <row r="92" spans="1:10" ht="15.75">
      <c r="A92" s="199"/>
      <c r="B92" s="186"/>
      <c r="C92" s="184"/>
      <c r="D92" s="184"/>
      <c r="E92" s="184"/>
      <c r="F92" s="194"/>
      <c r="G92" s="197"/>
      <c r="H92" s="198"/>
      <c r="I92" s="197"/>
      <c r="J92" s="208"/>
    </row>
    <row r="93" spans="1:10" ht="15.75">
      <c r="A93" s="199"/>
      <c r="B93" s="186"/>
      <c r="C93" s="184"/>
      <c r="D93" s="184"/>
      <c r="E93" s="184"/>
      <c r="F93" s="194"/>
      <c r="G93" s="197"/>
      <c r="H93" s="198"/>
      <c r="I93" s="197"/>
      <c r="J93" s="208"/>
    </row>
    <row r="94" spans="1:10" ht="15.75">
      <c r="A94" s="199"/>
      <c r="B94" s="186"/>
      <c r="C94" s="184"/>
      <c r="D94" s="184"/>
      <c r="E94" s="184"/>
      <c r="F94" s="194"/>
      <c r="G94" s="197"/>
      <c r="H94" s="198"/>
      <c r="I94" s="197"/>
      <c r="J94" s="208"/>
    </row>
    <row r="95" spans="1:10" ht="15.75">
      <c r="A95" s="199"/>
      <c r="B95" s="186"/>
      <c r="C95" s="184"/>
      <c r="D95" s="184"/>
      <c r="E95" s="184"/>
      <c r="F95" s="194"/>
      <c r="G95" s="197"/>
      <c r="H95" s="198"/>
      <c r="I95" s="197"/>
      <c r="J95" s="208"/>
    </row>
    <row r="96" spans="1:10" ht="15.75">
      <c r="A96" s="199"/>
      <c r="B96" s="186"/>
      <c r="C96" s="184"/>
      <c r="D96" s="184"/>
      <c r="E96" s="184"/>
      <c r="F96" s="194"/>
      <c r="G96" s="197"/>
      <c r="H96" s="198"/>
      <c r="I96" s="197"/>
      <c r="J96" s="208"/>
    </row>
    <row r="97" spans="1:10" ht="15.75">
      <c r="A97" s="199"/>
      <c r="B97" s="186"/>
      <c r="C97" s="184"/>
      <c r="D97" s="184"/>
      <c r="E97" s="184"/>
      <c r="F97" s="194"/>
      <c r="G97" s="197"/>
      <c r="H97" s="198"/>
      <c r="I97" s="197"/>
      <c r="J97" s="208"/>
    </row>
    <row r="98" spans="1:10" ht="15.75">
      <c r="A98" s="199"/>
      <c r="B98" s="186"/>
      <c r="C98" s="184"/>
      <c r="D98" s="184"/>
      <c r="E98" s="184"/>
      <c r="F98" s="194"/>
      <c r="G98" s="197"/>
      <c r="H98" s="198"/>
      <c r="I98" s="197"/>
      <c r="J98" s="208"/>
    </row>
    <row r="99" spans="1:10" ht="15.75">
      <c r="A99" s="199"/>
      <c r="B99" s="186"/>
      <c r="C99" s="184"/>
      <c r="D99" s="184"/>
      <c r="E99" s="184"/>
      <c r="F99" s="194"/>
      <c r="G99" s="197"/>
      <c r="H99" s="198"/>
      <c r="I99" s="197"/>
      <c r="J99" s="208"/>
    </row>
    <row r="100" spans="1:10" ht="15.75">
      <c r="A100" s="199"/>
      <c r="B100" s="186"/>
      <c r="C100" s="184"/>
      <c r="D100" s="184"/>
      <c r="E100" s="184"/>
      <c r="F100" s="194"/>
      <c r="G100" s="197"/>
      <c r="H100" s="198"/>
      <c r="I100" s="197"/>
      <c r="J100" s="208"/>
    </row>
    <row r="101" spans="1:10" ht="15.75">
      <c r="A101" s="199"/>
      <c r="B101" s="186"/>
      <c r="C101" s="184"/>
      <c r="D101" s="184"/>
      <c r="E101" s="184"/>
      <c r="F101" s="194"/>
      <c r="G101" s="197"/>
      <c r="H101" s="198"/>
      <c r="I101" s="197"/>
      <c r="J101" s="208"/>
    </row>
    <row r="102" spans="1:10" ht="15.75">
      <c r="A102" s="199"/>
      <c r="B102" s="186"/>
      <c r="C102" s="184"/>
      <c r="D102" s="184"/>
      <c r="E102" s="184"/>
      <c r="F102" s="194"/>
      <c r="G102" s="197"/>
      <c r="H102" s="198"/>
      <c r="I102" s="197"/>
      <c r="J102" s="208"/>
    </row>
    <row r="103" spans="1:10" ht="15.75">
      <c r="A103" s="199"/>
      <c r="B103" s="186"/>
      <c r="C103" s="184"/>
      <c r="D103" s="184"/>
      <c r="E103" s="184"/>
      <c r="F103" s="194"/>
      <c r="G103" s="197"/>
      <c r="H103" s="198"/>
      <c r="I103" s="197"/>
      <c r="J103" s="208"/>
    </row>
    <row r="104" spans="1:10" ht="15.75">
      <c r="A104" s="199"/>
      <c r="B104" s="186"/>
      <c r="C104" s="184"/>
      <c r="D104" s="184"/>
      <c r="E104" s="184"/>
      <c r="F104" s="194"/>
      <c r="G104" s="197"/>
      <c r="H104" s="198"/>
      <c r="I104" s="197"/>
      <c r="J104" s="208"/>
    </row>
    <row r="105" spans="1:10" ht="15.6">
      <c r="A105" s="199"/>
      <c r="B105" s="186"/>
      <c r="C105" s="184"/>
      <c r="D105" s="184"/>
      <c r="E105" s="184"/>
      <c r="F105" s="194"/>
      <c r="G105" s="197"/>
      <c r="H105" s="198"/>
      <c r="I105" s="197"/>
      <c r="J105" s="208"/>
    </row>
    <row r="106" spans="1:10" ht="15.75">
      <c r="A106" s="199"/>
      <c r="B106" s="186"/>
      <c r="C106" s="184"/>
      <c r="D106" s="184"/>
      <c r="E106" s="184"/>
      <c r="F106" s="194"/>
      <c r="G106" s="197"/>
      <c r="H106" s="198"/>
      <c r="I106" s="197"/>
      <c r="J106" s="208"/>
    </row>
    <row r="107" spans="1:10" ht="15.75">
      <c r="A107" s="199"/>
      <c r="B107" s="186"/>
      <c r="C107" s="184"/>
      <c r="D107" s="184"/>
      <c r="E107" s="184"/>
      <c r="F107" s="194"/>
      <c r="G107" s="197"/>
      <c r="H107" s="198"/>
      <c r="I107" s="197"/>
      <c r="J107" s="208"/>
    </row>
    <row r="108" spans="1:10" ht="15.75">
      <c r="A108" s="199"/>
      <c r="B108" s="186"/>
      <c r="C108" s="184"/>
      <c r="D108" s="184"/>
      <c r="E108" s="184"/>
      <c r="F108" s="194"/>
      <c r="G108" s="197"/>
      <c r="H108" s="198"/>
      <c r="I108" s="197"/>
      <c r="J108" s="208"/>
    </row>
    <row r="109" spans="1:10" ht="15.75">
      <c r="A109" s="199"/>
      <c r="B109" s="186"/>
      <c r="C109" s="184"/>
      <c r="D109" s="184"/>
      <c r="E109" s="184"/>
      <c r="F109" s="194"/>
      <c r="G109" s="197"/>
      <c r="H109" s="198"/>
      <c r="I109" s="197"/>
      <c r="J109" s="208"/>
    </row>
    <row r="110" spans="1:10" ht="15.75">
      <c r="A110" s="199"/>
      <c r="B110" s="186"/>
      <c r="C110" s="184"/>
      <c r="D110" s="184"/>
      <c r="E110" s="184"/>
      <c r="F110" s="194"/>
      <c r="G110" s="197"/>
      <c r="H110" s="198"/>
      <c r="I110" s="197"/>
      <c r="J110" s="208"/>
    </row>
    <row r="111" spans="1:10" ht="15.75">
      <c r="A111" s="199"/>
      <c r="B111" s="186"/>
      <c r="C111" s="184"/>
      <c r="D111" s="184"/>
      <c r="E111" s="184"/>
      <c r="F111" s="194"/>
      <c r="G111" s="197"/>
      <c r="H111" s="198"/>
      <c r="I111" s="197"/>
      <c r="J111" s="208"/>
    </row>
    <row r="112" spans="1:10" ht="15.75">
      <c r="A112" s="199"/>
      <c r="B112" s="186"/>
      <c r="C112" s="184"/>
      <c r="D112" s="184"/>
      <c r="E112" s="184"/>
      <c r="F112" s="194"/>
      <c r="G112" s="197"/>
      <c r="H112" s="198"/>
      <c r="I112" s="197"/>
      <c r="J112" s="208"/>
    </row>
    <row r="113" spans="1:10" ht="15.75">
      <c r="A113" s="199"/>
      <c r="B113" s="186"/>
      <c r="C113" s="184"/>
      <c r="D113" s="184"/>
      <c r="E113" s="184"/>
      <c r="F113" s="194"/>
      <c r="G113" s="197"/>
      <c r="H113" s="198"/>
      <c r="I113" s="197"/>
      <c r="J113" s="208"/>
    </row>
    <row r="114" spans="1:10" ht="15.75">
      <c r="A114" s="199"/>
      <c r="B114" s="186"/>
      <c r="C114" s="184"/>
      <c r="D114" s="184"/>
      <c r="E114" s="184"/>
      <c r="F114" s="194"/>
      <c r="G114" s="197"/>
      <c r="H114" s="198"/>
      <c r="I114" s="197"/>
      <c r="J114" s="208"/>
    </row>
    <row r="115" spans="1:10" ht="15.75">
      <c r="A115" s="199"/>
      <c r="B115" s="186"/>
      <c r="C115" s="184"/>
      <c r="D115" s="184"/>
      <c r="E115" s="184"/>
      <c r="F115" s="194"/>
      <c r="G115" s="197"/>
      <c r="H115" s="198"/>
      <c r="I115" s="197"/>
      <c r="J115" s="208"/>
    </row>
    <row r="116" spans="1:10" ht="15.75">
      <c r="A116" s="199"/>
      <c r="B116" s="186"/>
      <c r="C116" s="184"/>
      <c r="D116" s="184"/>
      <c r="E116" s="184"/>
      <c r="F116" s="194"/>
      <c r="G116" s="197"/>
      <c r="H116" s="198"/>
      <c r="I116" s="197"/>
      <c r="J116" s="208"/>
    </row>
    <row r="117" spans="1:10" ht="15.75">
      <c r="A117" s="199"/>
      <c r="B117" s="186"/>
      <c r="C117" s="184"/>
      <c r="D117" s="184"/>
      <c r="E117" s="184"/>
      <c r="F117" s="194"/>
      <c r="G117" s="197"/>
      <c r="H117" s="198"/>
      <c r="I117" s="197"/>
      <c r="J117" s="208"/>
    </row>
    <row r="118" spans="1:10" ht="15.75">
      <c r="A118" s="199"/>
      <c r="B118" s="186"/>
      <c r="C118" s="184"/>
      <c r="D118" s="184"/>
      <c r="E118" s="184"/>
      <c r="F118" s="194"/>
      <c r="G118" s="197"/>
      <c r="H118" s="198"/>
      <c r="I118" s="197"/>
      <c r="J118" s="208"/>
    </row>
    <row r="119" spans="1:10" ht="15.75">
      <c r="A119" s="199"/>
      <c r="B119" s="186"/>
      <c r="C119" s="184"/>
      <c r="D119" s="184"/>
      <c r="E119" s="184"/>
      <c r="F119" s="194"/>
      <c r="G119" s="197"/>
      <c r="H119" s="198"/>
      <c r="I119" s="197"/>
      <c r="J119" s="208"/>
    </row>
    <row r="120" spans="1:10" ht="15.75">
      <c r="A120" s="199"/>
      <c r="B120" s="186"/>
      <c r="C120" s="184"/>
      <c r="D120" s="184"/>
      <c r="E120" s="184"/>
      <c r="F120" s="194"/>
      <c r="G120" s="197"/>
      <c r="H120" s="198"/>
      <c r="I120" s="197"/>
      <c r="J120" s="208"/>
    </row>
    <row r="121" spans="1:10" ht="15.75">
      <c r="A121" s="199"/>
      <c r="B121" s="186"/>
      <c r="C121" s="184"/>
      <c r="D121" s="184"/>
      <c r="E121" s="184"/>
      <c r="F121" s="194"/>
      <c r="G121" s="197"/>
      <c r="H121" s="198"/>
      <c r="I121" s="197"/>
      <c r="J121" s="208"/>
    </row>
    <row r="122" spans="1:10" ht="15.75">
      <c r="A122" s="199"/>
      <c r="B122" s="186"/>
      <c r="C122" s="184"/>
      <c r="D122" s="184"/>
      <c r="E122" s="184"/>
      <c r="F122" s="194"/>
      <c r="G122" s="197"/>
      <c r="H122" s="198"/>
      <c r="I122" s="197"/>
      <c r="J122" s="208"/>
    </row>
    <row r="123" spans="1:10" ht="15.75">
      <c r="A123" s="199"/>
      <c r="B123" s="186"/>
      <c r="C123" s="184"/>
      <c r="D123" s="184"/>
      <c r="E123" s="184"/>
      <c r="F123" s="194"/>
      <c r="G123" s="197"/>
      <c r="H123" s="198"/>
      <c r="I123" s="197"/>
      <c r="J123" s="208"/>
    </row>
    <row r="124" spans="1:10" ht="15.6">
      <c r="A124" s="199"/>
      <c r="B124" s="186"/>
      <c r="C124" s="184"/>
      <c r="D124" s="184"/>
      <c r="E124" s="184"/>
      <c r="F124" s="194"/>
      <c r="G124" s="197"/>
      <c r="H124" s="198"/>
      <c r="I124" s="197"/>
      <c r="J124" s="208"/>
    </row>
    <row r="125" spans="1:10" ht="15.6">
      <c r="A125" s="199"/>
      <c r="B125" s="186"/>
      <c r="C125" s="184"/>
      <c r="D125" s="184"/>
      <c r="E125" s="184"/>
      <c r="F125" s="194"/>
      <c r="G125" s="197"/>
      <c r="H125" s="198"/>
      <c r="I125" s="197"/>
      <c r="J125" s="208"/>
    </row>
    <row r="126" spans="1:10" ht="15.6">
      <c r="A126" s="199"/>
      <c r="B126" s="186"/>
      <c r="C126" s="184"/>
      <c r="D126" s="184"/>
      <c r="E126" s="184"/>
      <c r="F126" s="194"/>
      <c r="G126" s="197"/>
      <c r="H126" s="198"/>
      <c r="I126" s="197"/>
      <c r="J126" s="208"/>
    </row>
    <row r="127" spans="1:10" ht="15.6">
      <c r="A127" s="191" t="s">
        <v>929</v>
      </c>
      <c r="B127" s="192" t="s">
        <v>1408</v>
      </c>
      <c r="C127" s="203"/>
      <c r="D127" s="203"/>
      <c r="E127" s="203"/>
      <c r="F127" s="204" t="s">
        <v>217</v>
      </c>
      <c r="G127" s="204"/>
      <c r="H127" s="205"/>
      <c r="I127" s="204">
        <v>15</v>
      </c>
      <c r="J127" s="208"/>
    </row>
    <row r="128" spans="1:10" ht="15.6">
      <c r="A128" s="191"/>
      <c r="B128" s="217" t="s">
        <v>1034</v>
      </c>
      <c r="C128" s="203"/>
      <c r="D128" s="203"/>
      <c r="E128" s="203"/>
      <c r="F128" s="204">
        <v>1</v>
      </c>
      <c r="G128" s="192">
        <f>F128*G127</f>
        <v>0</v>
      </c>
      <c r="H128" s="207">
        <f>F128*H127</f>
        <v>0</v>
      </c>
      <c r="I128" s="192">
        <f>F128*I127</f>
        <v>15</v>
      </c>
      <c r="J128" s="208"/>
    </row>
    <row r="129" spans="1:10" ht="15.6">
      <c r="A129" s="191"/>
      <c r="B129" s="186"/>
      <c r="C129" s="208"/>
      <c r="D129" s="208"/>
      <c r="E129" s="208"/>
      <c r="F129" s="194"/>
      <c r="G129" s="197"/>
      <c r="H129" s="198"/>
      <c r="I129" s="197"/>
      <c r="J129" s="208"/>
    </row>
    <row r="130" spans="1:10" ht="15.6">
      <c r="A130" s="191"/>
      <c r="B130" s="186" t="s">
        <v>927</v>
      </c>
      <c r="C130" s="187"/>
      <c r="D130" s="187"/>
      <c r="E130" s="187"/>
      <c r="F130" s="187"/>
      <c r="G130" s="197"/>
      <c r="H130" s="198"/>
      <c r="I130" s="197"/>
      <c r="J130" s="208"/>
    </row>
    <row r="131" spans="1:10" ht="15.6">
      <c r="A131" s="191"/>
      <c r="B131" s="186" t="s">
        <v>1407</v>
      </c>
      <c r="C131" s="193"/>
      <c r="D131" s="193"/>
      <c r="E131" s="187"/>
      <c r="F131" s="194">
        <v>1</v>
      </c>
      <c r="G131" s="197"/>
      <c r="H131" s="198"/>
      <c r="I131" s="197"/>
      <c r="J131" s="208"/>
    </row>
    <row r="132" spans="1:10" ht="15.6">
      <c r="A132" s="191"/>
      <c r="B132" s="186"/>
      <c r="C132" s="208"/>
      <c r="D132" s="208"/>
      <c r="E132" s="208"/>
      <c r="F132" s="194"/>
      <c r="G132" s="197"/>
      <c r="H132" s="198"/>
      <c r="I132" s="197"/>
      <c r="J132" s="208"/>
    </row>
    <row r="133" spans="1:10" ht="15.6">
      <c r="A133" s="191" t="s">
        <v>932</v>
      </c>
      <c r="B133" s="192" t="s">
        <v>1409</v>
      </c>
      <c r="C133" s="203"/>
      <c r="D133" s="203"/>
      <c r="E133" s="203"/>
      <c r="F133" s="204" t="s">
        <v>217</v>
      </c>
      <c r="G133" s="204"/>
      <c r="H133" s="205"/>
      <c r="I133" s="204">
        <v>5.9</v>
      </c>
      <c r="J133" s="208"/>
    </row>
    <row r="134" spans="1:10" ht="15.6">
      <c r="A134" s="199"/>
      <c r="B134" s="217" t="s">
        <v>1410</v>
      </c>
      <c r="C134" s="203"/>
      <c r="D134" s="203"/>
      <c r="E134" s="203"/>
      <c r="F134" s="204">
        <v>2</v>
      </c>
      <c r="G134" s="192">
        <f>F134*G133</f>
        <v>0</v>
      </c>
      <c r="H134" s="207">
        <f>F134*H133</f>
        <v>0</v>
      </c>
      <c r="I134" s="192">
        <f>F134*I133</f>
        <v>11.8</v>
      </c>
      <c r="J134" s="208"/>
    </row>
    <row r="135" spans="1:10" ht="15.6">
      <c r="A135" s="199"/>
      <c r="B135" s="186"/>
      <c r="C135" s="184"/>
      <c r="D135" s="184"/>
      <c r="E135" s="184"/>
      <c r="F135" s="194"/>
      <c r="G135" s="197"/>
      <c r="H135" s="198"/>
      <c r="I135" s="197"/>
      <c r="J135" s="208"/>
    </row>
    <row r="136" spans="1:10" ht="15.6">
      <c r="A136" s="199"/>
      <c r="B136" s="186" t="s">
        <v>927</v>
      </c>
      <c r="C136" s="187"/>
      <c r="D136" s="187"/>
      <c r="E136" s="187"/>
      <c r="F136" s="187"/>
      <c r="G136" s="197"/>
      <c r="H136" s="198"/>
      <c r="I136" s="197"/>
      <c r="J136" s="208"/>
    </row>
    <row r="137" spans="1:10" ht="15.6">
      <c r="A137" s="199"/>
      <c r="B137" s="186" t="s">
        <v>1411</v>
      </c>
      <c r="C137" s="193"/>
      <c r="D137" s="193"/>
      <c r="E137" s="187"/>
      <c r="F137" s="194">
        <v>2</v>
      </c>
      <c r="G137" s="197"/>
      <c r="H137" s="198"/>
      <c r="I137" s="197"/>
      <c r="J137" s="208"/>
    </row>
    <row r="138" spans="1:10" ht="15.6">
      <c r="A138" s="199"/>
      <c r="B138" s="186"/>
      <c r="C138" s="184"/>
      <c r="D138" s="184"/>
      <c r="E138" s="184"/>
      <c r="F138" s="194"/>
      <c r="G138" s="197"/>
      <c r="H138" s="198"/>
      <c r="I138" s="197"/>
      <c r="J138" s="208"/>
    </row>
    <row r="139" spans="1:10" ht="15.6">
      <c r="A139" s="191" t="s">
        <v>936</v>
      </c>
      <c r="B139" s="197" t="s">
        <v>1412</v>
      </c>
      <c r="C139" s="183"/>
      <c r="D139" s="183"/>
      <c r="E139" s="183"/>
      <c r="F139" s="204" t="s">
        <v>217</v>
      </c>
      <c r="G139" s="204"/>
      <c r="H139" s="205"/>
      <c r="I139" s="204">
        <v>13</v>
      </c>
      <c r="J139" s="208"/>
    </row>
    <row r="140" spans="1:10" ht="15.6">
      <c r="A140" s="191"/>
      <c r="B140" s="186" t="s">
        <v>1413</v>
      </c>
      <c r="C140" s="183"/>
      <c r="D140" s="183"/>
      <c r="E140" s="183"/>
      <c r="F140" s="204">
        <v>14</v>
      </c>
      <c r="G140" s="192">
        <f>F140*G139</f>
        <v>0</v>
      </c>
      <c r="H140" s="207">
        <f>F140*H139</f>
        <v>0</v>
      </c>
      <c r="I140" s="192">
        <f>F140*I139</f>
        <v>182</v>
      </c>
      <c r="J140" s="208"/>
    </row>
    <row r="141" spans="1:10" ht="15.6">
      <c r="A141" s="191"/>
      <c r="B141" s="184" t="s">
        <v>1414</v>
      </c>
      <c r="C141" s="187"/>
      <c r="D141" s="187"/>
      <c r="E141" s="187"/>
      <c r="F141" s="204"/>
      <c r="G141" s="192"/>
      <c r="H141" s="207"/>
      <c r="I141" s="192"/>
      <c r="J141" s="208"/>
    </row>
    <row r="142" spans="1:10" ht="15.6">
      <c r="A142" s="191"/>
      <c r="B142" s="184" t="s">
        <v>1415</v>
      </c>
      <c r="C142" s="187"/>
      <c r="D142" s="187"/>
      <c r="E142" s="187"/>
      <c r="F142" s="204"/>
      <c r="G142" s="192"/>
      <c r="H142" s="207"/>
      <c r="I142" s="192"/>
      <c r="J142" s="208"/>
    </row>
    <row r="143" spans="1:10" ht="15.6">
      <c r="A143" s="191"/>
      <c r="B143" s="184"/>
      <c r="C143" s="187"/>
      <c r="D143" s="187"/>
      <c r="E143" s="187"/>
      <c r="F143" s="204"/>
      <c r="G143" s="192"/>
      <c r="H143" s="207"/>
      <c r="I143" s="192"/>
      <c r="J143" s="208"/>
    </row>
    <row r="144" spans="1:10" ht="15.6">
      <c r="A144" s="191"/>
      <c r="B144" s="186" t="s">
        <v>927</v>
      </c>
      <c r="C144" s="187"/>
      <c r="D144" s="187"/>
      <c r="E144" s="187"/>
      <c r="F144" s="187"/>
      <c r="G144" s="192"/>
      <c r="H144" s="207"/>
      <c r="I144" s="192"/>
      <c r="J144" s="208"/>
    </row>
    <row r="145" spans="1:10" ht="15.6">
      <c r="A145" s="191"/>
      <c r="B145" s="186" t="s">
        <v>1416</v>
      </c>
      <c r="C145" s="193"/>
      <c r="D145" s="193"/>
      <c r="E145" s="187"/>
      <c r="F145" s="194">
        <v>14</v>
      </c>
      <c r="G145" s="192"/>
      <c r="H145" s="207"/>
      <c r="I145" s="192"/>
      <c r="J145" s="208"/>
    </row>
    <row r="146" spans="1:10" ht="15.6">
      <c r="A146" s="191"/>
      <c r="B146" s="186"/>
      <c r="C146" s="193"/>
      <c r="D146" s="193"/>
      <c r="E146" s="187"/>
      <c r="F146" s="194"/>
      <c r="G146" s="192"/>
      <c r="H146" s="207"/>
      <c r="I146" s="192"/>
      <c r="J146" s="208"/>
    </row>
    <row r="147" spans="1:10" ht="15.6">
      <c r="A147" s="191" t="s">
        <v>939</v>
      </c>
      <c r="B147" s="197" t="s">
        <v>1417</v>
      </c>
      <c r="C147" s="183"/>
      <c r="D147" s="183"/>
      <c r="E147" s="183"/>
      <c r="F147" s="204" t="s">
        <v>217</v>
      </c>
      <c r="G147" s="204">
        <v>0</v>
      </c>
      <c r="H147" s="205">
        <f>G147*0.15</f>
        <v>0</v>
      </c>
      <c r="I147" s="204">
        <v>0</v>
      </c>
      <c r="J147" s="208"/>
    </row>
    <row r="148" spans="1:10" ht="15.6">
      <c r="A148" s="191"/>
      <c r="B148" s="186"/>
      <c r="C148" s="183"/>
      <c r="D148" s="183"/>
      <c r="E148" s="183"/>
      <c r="F148" s="204">
        <v>0</v>
      </c>
      <c r="G148" s="192">
        <f>F148*G147</f>
        <v>0</v>
      </c>
      <c r="H148" s="207">
        <f>F148*H147</f>
        <v>0</v>
      </c>
      <c r="I148" s="192">
        <f>F148*I147</f>
        <v>0</v>
      </c>
      <c r="J148" s="208"/>
    </row>
    <row r="149" spans="1:10" ht="15.6">
      <c r="A149" s="191"/>
      <c r="B149" s="184"/>
      <c r="C149" s="187"/>
      <c r="D149" s="187"/>
      <c r="E149" s="187"/>
      <c r="F149" s="204"/>
      <c r="G149" s="192"/>
      <c r="H149" s="207"/>
      <c r="I149" s="192"/>
      <c r="J149" s="208"/>
    </row>
    <row r="150" spans="1:10" ht="15.6">
      <c r="A150" s="191"/>
      <c r="B150" s="184"/>
      <c r="C150" s="187"/>
      <c r="D150" s="187"/>
      <c r="E150" s="187"/>
      <c r="F150" s="204"/>
      <c r="G150" s="192"/>
      <c r="H150" s="207"/>
      <c r="I150" s="192"/>
      <c r="J150" s="208"/>
    </row>
    <row r="151" spans="1:10" ht="15.6">
      <c r="A151" s="191"/>
      <c r="B151" s="184"/>
      <c r="C151" s="187"/>
      <c r="D151" s="187"/>
      <c r="E151" s="187"/>
      <c r="F151" s="204"/>
      <c r="G151" s="192"/>
      <c r="H151" s="207"/>
      <c r="I151" s="192"/>
      <c r="J151" s="208"/>
    </row>
    <row r="152" spans="1:10" ht="15.6">
      <c r="A152" s="191"/>
      <c r="B152" s="186" t="s">
        <v>927</v>
      </c>
      <c r="C152" s="187"/>
      <c r="D152" s="187"/>
      <c r="E152" s="187"/>
      <c r="F152" s="187"/>
      <c r="G152" s="192"/>
      <c r="H152" s="207"/>
      <c r="I152" s="192"/>
      <c r="J152" s="208"/>
    </row>
    <row r="153" spans="1:10" ht="15.6">
      <c r="A153" s="191"/>
      <c r="B153" s="186"/>
      <c r="C153" s="193"/>
      <c r="D153" s="193"/>
      <c r="E153" s="187"/>
      <c r="F153" s="194">
        <v>0</v>
      </c>
      <c r="G153" s="192"/>
      <c r="H153" s="207"/>
      <c r="I153" s="192"/>
      <c r="J153" s="208"/>
    </row>
    <row r="154" spans="1:10" ht="15.6">
      <c r="A154" s="191"/>
      <c r="B154" s="186"/>
      <c r="C154" s="193"/>
      <c r="D154" s="193"/>
      <c r="E154" s="187"/>
      <c r="F154" s="194"/>
      <c r="G154" s="192"/>
      <c r="H154" s="207"/>
      <c r="I154" s="192"/>
      <c r="J154" s="208"/>
    </row>
    <row r="155" spans="1:10" ht="15.6">
      <c r="A155" s="191" t="s">
        <v>943</v>
      </c>
      <c r="B155" s="197" t="s">
        <v>953</v>
      </c>
      <c r="C155" s="194"/>
      <c r="D155" s="194"/>
      <c r="E155" s="194"/>
      <c r="F155" s="194" t="s">
        <v>217</v>
      </c>
      <c r="G155" s="194"/>
      <c r="H155" s="195"/>
      <c r="I155" s="194">
        <v>15.5</v>
      </c>
      <c r="J155" s="208"/>
    </row>
    <row r="156" spans="1:10" ht="15.6">
      <c r="A156" s="191"/>
      <c r="B156" s="186" t="s">
        <v>1048</v>
      </c>
      <c r="C156" s="194"/>
      <c r="D156" s="194"/>
      <c r="E156" s="194"/>
      <c r="F156" s="194">
        <v>3</v>
      </c>
      <c r="G156" s="197">
        <f>F156*G155</f>
        <v>0</v>
      </c>
      <c r="H156" s="198">
        <f>F156*H155</f>
        <v>0</v>
      </c>
      <c r="I156" s="197">
        <f>F156*I155</f>
        <v>46.5</v>
      </c>
      <c r="J156" s="208"/>
    </row>
    <row r="157" spans="1:10" ht="15.6">
      <c r="A157" s="191"/>
      <c r="B157" s="186" t="s">
        <v>1418</v>
      </c>
      <c r="C157" s="194"/>
      <c r="D157" s="194"/>
      <c r="E157" s="194"/>
      <c r="F157" s="194"/>
      <c r="G157" s="197"/>
      <c r="H157" s="198"/>
      <c r="I157" s="197"/>
      <c r="J157" s="208"/>
    </row>
    <row r="158" spans="1:10" ht="15.6">
      <c r="A158" s="191"/>
      <c r="B158" s="186" t="s">
        <v>1419</v>
      </c>
      <c r="C158" s="194"/>
      <c r="D158" s="194"/>
      <c r="E158" s="194"/>
      <c r="F158" s="194"/>
      <c r="G158" s="197"/>
      <c r="H158" s="198"/>
      <c r="I158" s="197"/>
      <c r="J158" s="208"/>
    </row>
    <row r="159" spans="1:10" ht="15.6">
      <c r="A159" s="191"/>
      <c r="B159" s="186"/>
      <c r="C159" s="184"/>
      <c r="D159" s="184"/>
      <c r="E159" s="184"/>
      <c r="F159" s="194"/>
      <c r="G159" s="197"/>
      <c r="H159" s="198"/>
      <c r="I159" s="197"/>
      <c r="J159" s="208"/>
    </row>
    <row r="160" spans="1:10" ht="15">
      <c r="A160" s="191"/>
      <c r="B160" s="186"/>
      <c r="C160" s="184"/>
      <c r="D160" s="184"/>
      <c r="E160" s="184"/>
      <c r="F160" s="194"/>
      <c r="G160" s="197"/>
      <c r="H160" s="198"/>
      <c r="I160" s="197"/>
      <c r="J160" s="208"/>
    </row>
    <row r="161" spans="1:10" ht="15">
      <c r="A161" s="191"/>
      <c r="B161" s="186"/>
      <c r="C161" s="184"/>
      <c r="D161" s="184"/>
      <c r="E161" s="184"/>
      <c r="F161" s="194"/>
      <c r="G161" s="197"/>
      <c r="H161" s="198"/>
      <c r="I161" s="197"/>
      <c r="J161" s="208"/>
    </row>
    <row r="162" spans="1:10" ht="15">
      <c r="A162" s="191"/>
      <c r="B162" s="186"/>
      <c r="C162" s="184"/>
      <c r="D162" s="184"/>
      <c r="E162" s="184"/>
      <c r="F162" s="194"/>
      <c r="G162" s="197"/>
      <c r="H162" s="198"/>
      <c r="I162" s="197"/>
      <c r="J162" s="208"/>
    </row>
    <row r="163" spans="1:10" ht="15">
      <c r="A163" s="191"/>
      <c r="B163" s="186"/>
      <c r="C163" s="184"/>
      <c r="D163" s="184"/>
      <c r="E163" s="184"/>
      <c r="F163" s="194"/>
      <c r="G163" s="197"/>
      <c r="H163" s="198"/>
      <c r="I163" s="197"/>
      <c r="J163" s="208"/>
    </row>
    <row r="164" spans="1:10" ht="15">
      <c r="A164" s="191"/>
      <c r="B164" s="186"/>
      <c r="C164" s="184"/>
      <c r="D164" s="184"/>
      <c r="E164" s="184"/>
      <c r="F164" s="194"/>
      <c r="G164" s="197"/>
      <c r="H164" s="198"/>
      <c r="I164" s="197"/>
      <c r="J164" s="208"/>
    </row>
    <row r="165" spans="1:10" ht="15">
      <c r="A165" s="191"/>
      <c r="B165" s="186"/>
      <c r="C165" s="184"/>
      <c r="D165" s="184"/>
      <c r="E165" s="184"/>
      <c r="F165" s="194"/>
      <c r="G165" s="197"/>
      <c r="H165" s="198"/>
      <c r="I165" s="197"/>
      <c r="J165" s="208"/>
    </row>
    <row r="166" spans="1:10" ht="15">
      <c r="A166" s="191"/>
      <c r="B166" s="186"/>
      <c r="C166" s="184"/>
      <c r="D166" s="184"/>
      <c r="E166" s="184"/>
      <c r="F166" s="194"/>
      <c r="G166" s="197"/>
      <c r="H166" s="198"/>
      <c r="I166" s="197"/>
      <c r="J166" s="208"/>
    </row>
    <row r="167" spans="1:10" ht="15">
      <c r="A167" s="191"/>
      <c r="B167" s="186"/>
      <c r="C167" s="184"/>
      <c r="D167" s="184"/>
      <c r="E167" s="184"/>
      <c r="F167" s="194"/>
      <c r="G167" s="197"/>
      <c r="H167" s="198"/>
      <c r="I167" s="197"/>
      <c r="J167" s="208"/>
    </row>
    <row r="168" spans="1:10" ht="15">
      <c r="A168" s="191"/>
      <c r="B168" s="186"/>
      <c r="C168" s="184"/>
      <c r="D168" s="184"/>
      <c r="E168" s="184"/>
      <c r="F168" s="194"/>
      <c r="G168" s="197"/>
      <c r="H168" s="198"/>
      <c r="I168" s="197"/>
      <c r="J168" s="208"/>
    </row>
    <row r="169" spans="1:10" ht="15">
      <c r="A169" s="191"/>
      <c r="B169" s="186"/>
      <c r="C169" s="184"/>
      <c r="D169" s="184"/>
      <c r="E169" s="184"/>
      <c r="F169" s="194"/>
      <c r="G169" s="197"/>
      <c r="H169" s="198"/>
      <c r="I169" s="197"/>
      <c r="J169" s="208"/>
    </row>
    <row r="170" spans="1:10" ht="15.6">
      <c r="A170" s="191"/>
      <c r="B170" s="186" t="s">
        <v>927</v>
      </c>
      <c r="C170" s="187"/>
      <c r="D170" s="187"/>
      <c r="E170" s="187"/>
      <c r="F170" s="187"/>
      <c r="G170" s="197"/>
      <c r="H170" s="198"/>
      <c r="I170" s="197"/>
      <c r="J170" s="208"/>
    </row>
    <row r="171" spans="1:10" ht="15.6">
      <c r="A171" s="191"/>
      <c r="B171" s="186" t="s">
        <v>1420</v>
      </c>
      <c r="C171" s="193"/>
      <c r="D171" s="193"/>
      <c r="E171" s="187"/>
      <c r="F171" s="194">
        <v>3</v>
      </c>
      <c r="G171" s="197"/>
      <c r="H171" s="198"/>
      <c r="I171" s="197"/>
      <c r="J171" s="208"/>
    </row>
    <row r="172" spans="1:10" ht="15.6">
      <c r="A172" s="191"/>
      <c r="B172" s="194"/>
      <c r="C172" s="194"/>
      <c r="D172" s="194"/>
      <c r="E172" s="194"/>
      <c r="F172" s="194"/>
      <c r="G172" s="194"/>
      <c r="H172" s="194"/>
      <c r="I172" s="194"/>
      <c r="J172" s="208"/>
    </row>
    <row r="173" spans="1:10" ht="15.6">
      <c r="A173" s="191" t="s">
        <v>946</v>
      </c>
      <c r="B173" s="197" t="s">
        <v>960</v>
      </c>
      <c r="C173" s="194"/>
      <c r="D173" s="194"/>
      <c r="E173" s="194"/>
      <c r="F173" s="194" t="s">
        <v>217</v>
      </c>
      <c r="G173" s="194"/>
      <c r="H173" s="195"/>
      <c r="I173" s="194">
        <v>13.5</v>
      </c>
      <c r="J173" s="208"/>
    </row>
    <row r="174" spans="1:10" ht="15.6">
      <c r="A174" s="191"/>
      <c r="B174" s="186" t="s">
        <v>1421</v>
      </c>
      <c r="C174" s="194"/>
      <c r="D174" s="194"/>
      <c r="E174" s="194"/>
      <c r="F174" s="194">
        <v>3</v>
      </c>
      <c r="G174" s="197">
        <f>F174*G173</f>
        <v>0</v>
      </c>
      <c r="H174" s="210">
        <f>F174*H173</f>
        <v>0</v>
      </c>
      <c r="I174" s="197">
        <f>F174*I173</f>
        <v>40.5</v>
      </c>
      <c r="J174" s="208"/>
    </row>
    <row r="175" spans="1:10" ht="15.6">
      <c r="A175" s="191"/>
      <c r="B175" s="186" t="s">
        <v>1419</v>
      </c>
      <c r="C175" s="194"/>
      <c r="D175" s="194"/>
      <c r="E175" s="194"/>
      <c r="F175" s="194"/>
      <c r="G175" s="194"/>
      <c r="H175" s="194"/>
      <c r="I175" s="194"/>
      <c r="J175" s="208"/>
    </row>
    <row r="176" spans="1:10" ht="15">
      <c r="A176" s="191"/>
      <c r="B176" s="186"/>
      <c r="C176" s="208"/>
      <c r="D176" s="208"/>
      <c r="E176" s="208"/>
      <c r="F176" s="194"/>
      <c r="G176" s="197"/>
      <c r="H176" s="198"/>
      <c r="I176" s="197"/>
      <c r="J176" s="208"/>
    </row>
    <row r="177" spans="1:10" ht="15">
      <c r="A177" s="191"/>
      <c r="B177" s="186"/>
      <c r="C177" s="208"/>
      <c r="D177" s="208"/>
      <c r="E177" s="208"/>
      <c r="F177" s="194"/>
      <c r="G177" s="197"/>
      <c r="H177" s="198"/>
      <c r="I177" s="197"/>
      <c r="J177" s="208"/>
    </row>
    <row r="178" spans="1:10" ht="15">
      <c r="A178" s="191"/>
      <c r="B178" s="186"/>
      <c r="C178" s="208"/>
      <c r="D178" s="208"/>
      <c r="E178" s="208"/>
      <c r="F178" s="194"/>
      <c r="G178" s="197"/>
      <c r="H178" s="198"/>
      <c r="I178" s="197"/>
      <c r="J178" s="208"/>
    </row>
    <row r="179" spans="1:10" ht="15">
      <c r="A179" s="191"/>
      <c r="B179" s="186"/>
      <c r="C179" s="208"/>
      <c r="D179" s="208"/>
      <c r="E179" s="208"/>
      <c r="F179" s="194"/>
      <c r="G179" s="197"/>
      <c r="H179" s="198"/>
      <c r="I179" s="197"/>
      <c r="J179" s="208"/>
    </row>
    <row r="180" spans="1:10" ht="15">
      <c r="A180" s="191"/>
      <c r="B180" s="186"/>
      <c r="C180" s="208"/>
      <c r="D180" s="208"/>
      <c r="E180" s="208"/>
      <c r="F180" s="194"/>
      <c r="G180" s="197"/>
      <c r="H180" s="198"/>
      <c r="I180" s="197"/>
      <c r="J180" s="208"/>
    </row>
    <row r="181" spans="1:10" ht="15">
      <c r="A181" s="191"/>
      <c r="B181" s="186"/>
      <c r="C181" s="208"/>
      <c r="D181" s="208"/>
      <c r="E181" s="208"/>
      <c r="F181" s="194"/>
      <c r="G181" s="197"/>
      <c r="H181" s="198"/>
      <c r="I181" s="197"/>
      <c r="J181" s="208"/>
    </row>
    <row r="182" spans="1:10" ht="15">
      <c r="A182" s="191"/>
      <c r="B182" s="186"/>
      <c r="C182" s="208"/>
      <c r="D182" s="208"/>
      <c r="E182" s="208"/>
      <c r="F182" s="194"/>
      <c r="G182" s="197"/>
      <c r="H182" s="198"/>
      <c r="I182" s="197"/>
      <c r="J182" s="208"/>
    </row>
    <row r="183" spans="1:10" ht="15">
      <c r="A183" s="191"/>
      <c r="B183" s="186"/>
      <c r="C183" s="208"/>
      <c r="D183" s="208"/>
      <c r="E183" s="208"/>
      <c r="F183" s="194"/>
      <c r="G183" s="197"/>
      <c r="H183" s="198"/>
      <c r="I183" s="197"/>
      <c r="J183" s="208"/>
    </row>
    <row r="184" spans="1:10" ht="15">
      <c r="A184" s="191"/>
      <c r="B184" s="186"/>
      <c r="C184" s="208"/>
      <c r="D184" s="208"/>
      <c r="E184" s="208"/>
      <c r="F184" s="194"/>
      <c r="G184" s="197"/>
      <c r="H184" s="198"/>
      <c r="I184" s="197"/>
      <c r="J184" s="208"/>
    </row>
    <row r="185" spans="1:10" ht="15">
      <c r="A185" s="191"/>
      <c r="B185" s="186"/>
      <c r="C185" s="208"/>
      <c r="D185" s="208"/>
      <c r="E185" s="208"/>
      <c r="F185" s="194"/>
      <c r="G185" s="197"/>
      <c r="H185" s="198"/>
      <c r="I185" s="197"/>
      <c r="J185" s="208"/>
    </row>
    <row r="186" spans="1:10" ht="15.6">
      <c r="A186" s="191"/>
      <c r="B186" s="186" t="s">
        <v>927</v>
      </c>
      <c r="C186" s="187"/>
      <c r="D186" s="187"/>
      <c r="E186" s="187"/>
      <c r="F186" s="187"/>
      <c r="G186" s="192"/>
      <c r="H186" s="207"/>
      <c r="I186" s="192"/>
      <c r="J186" s="208"/>
    </row>
    <row r="187" spans="1:10" ht="15.6">
      <c r="A187" s="191"/>
      <c r="B187" s="186" t="s">
        <v>1420</v>
      </c>
      <c r="C187" s="193"/>
      <c r="D187" s="193"/>
      <c r="E187" s="187"/>
      <c r="F187" s="194">
        <v>3</v>
      </c>
      <c r="G187" s="192"/>
      <c r="H187" s="207"/>
      <c r="I187" s="192"/>
      <c r="J187" s="208"/>
    </row>
    <row r="188" spans="1:10" ht="15.6">
      <c r="A188" s="191"/>
      <c r="B188" s="186"/>
      <c r="C188" s="193"/>
      <c r="D188" s="193"/>
      <c r="E188" s="187"/>
      <c r="F188" s="194"/>
      <c r="G188" s="192"/>
      <c r="H188" s="207"/>
      <c r="I188" s="192"/>
      <c r="J188" s="208"/>
    </row>
    <row r="189" spans="1:10" ht="15.6">
      <c r="A189" s="191" t="s">
        <v>1422</v>
      </c>
      <c r="B189" s="192" t="s">
        <v>1100</v>
      </c>
      <c r="C189" s="203"/>
      <c r="D189" s="203"/>
      <c r="E189" s="203"/>
      <c r="F189" s="194" t="s">
        <v>217</v>
      </c>
      <c r="G189" s="194"/>
      <c r="H189" s="195"/>
      <c r="I189" s="194">
        <v>0.3</v>
      </c>
      <c r="J189" s="208"/>
    </row>
    <row r="190" spans="1:10" ht="15.6">
      <c r="A190" s="191"/>
      <c r="B190" s="186" t="s">
        <v>1101</v>
      </c>
      <c r="C190" s="203"/>
      <c r="D190" s="203"/>
      <c r="E190" s="203"/>
      <c r="F190" s="194">
        <v>2</v>
      </c>
      <c r="G190" s="197">
        <f>F190*G189</f>
        <v>0</v>
      </c>
      <c r="H190" s="198">
        <f>F190*H189</f>
        <v>0</v>
      </c>
      <c r="I190" s="197">
        <f>F190*I189</f>
        <v>0.6</v>
      </c>
      <c r="J190" s="208"/>
    </row>
    <row r="191" spans="1:10" ht="15.6">
      <c r="A191" s="191"/>
      <c r="B191" s="186" t="s">
        <v>1102</v>
      </c>
      <c r="C191" s="203"/>
      <c r="D191" s="203"/>
      <c r="E191" s="203"/>
      <c r="F191" s="194"/>
      <c r="G191" s="197"/>
      <c r="H191" s="198"/>
      <c r="I191" s="197"/>
      <c r="J191" s="208"/>
    </row>
    <row r="192" spans="1:10" ht="15.6">
      <c r="A192" s="191"/>
      <c r="B192" s="186"/>
      <c r="C192" s="203"/>
      <c r="D192" s="203"/>
      <c r="E192" s="203"/>
      <c r="F192" s="194"/>
      <c r="G192" s="197"/>
      <c r="H192" s="198"/>
      <c r="I192" s="197"/>
      <c r="J192" s="208"/>
    </row>
    <row r="193" spans="1:10" ht="15">
      <c r="A193" s="191"/>
      <c r="B193" s="186"/>
      <c r="C193" s="203"/>
      <c r="D193" s="203"/>
      <c r="E193" s="203"/>
      <c r="F193" s="194"/>
      <c r="G193" s="197"/>
      <c r="H193" s="198"/>
      <c r="I193" s="197"/>
      <c r="J193" s="208"/>
    </row>
    <row r="194" spans="1:10" ht="15">
      <c r="A194" s="191"/>
      <c r="B194" s="186"/>
      <c r="C194" s="203"/>
      <c r="D194" s="203"/>
      <c r="E194" s="250"/>
      <c r="F194" s="194"/>
      <c r="G194" s="197"/>
      <c r="H194" s="198"/>
      <c r="I194" s="197"/>
      <c r="J194" s="208"/>
    </row>
    <row r="195" spans="1:10" ht="15">
      <c r="A195" s="191"/>
      <c r="B195" s="186"/>
      <c r="C195" s="203"/>
      <c r="D195" s="203"/>
      <c r="E195" s="187"/>
      <c r="F195" s="194"/>
      <c r="G195" s="197"/>
      <c r="H195" s="198"/>
      <c r="I195" s="197"/>
      <c r="J195" s="208"/>
    </row>
    <row r="196" spans="1:10" ht="15">
      <c r="A196" s="191"/>
      <c r="B196" s="186"/>
      <c r="C196" s="203"/>
      <c r="D196" s="203"/>
      <c r="E196" s="203"/>
      <c r="F196" s="194"/>
      <c r="G196" s="197"/>
      <c r="H196" s="198"/>
      <c r="I196" s="197"/>
      <c r="J196" s="208"/>
    </row>
    <row r="197" spans="1:10" ht="15">
      <c r="A197" s="191"/>
      <c r="B197" s="186"/>
      <c r="C197" s="203"/>
      <c r="D197" s="203"/>
      <c r="E197" s="203"/>
      <c r="F197" s="194"/>
      <c r="G197" s="197"/>
      <c r="H197" s="198"/>
      <c r="I197" s="197"/>
      <c r="J197" s="208"/>
    </row>
    <row r="198" spans="1:10" ht="15">
      <c r="A198" s="191"/>
      <c r="B198" s="186"/>
      <c r="C198" s="187"/>
      <c r="D198" s="187"/>
      <c r="E198" s="187"/>
      <c r="F198" s="184"/>
      <c r="G198" s="197"/>
      <c r="H198" s="198"/>
      <c r="I198" s="197"/>
      <c r="J198" s="208"/>
    </row>
    <row r="199" spans="1:10" ht="15">
      <c r="A199" s="191"/>
      <c r="B199" s="186" t="s">
        <v>927</v>
      </c>
      <c r="C199" s="187"/>
      <c r="D199" s="187"/>
      <c r="E199" s="187"/>
      <c r="F199" s="184"/>
      <c r="G199" s="197"/>
      <c r="H199" s="198"/>
      <c r="I199" s="197"/>
      <c r="J199" s="208"/>
    </row>
    <row r="200" spans="1:10" ht="15.6">
      <c r="A200" s="191"/>
      <c r="B200" s="186" t="s">
        <v>1411</v>
      </c>
      <c r="C200" s="193"/>
      <c r="D200" s="193"/>
      <c r="E200" s="187"/>
      <c r="F200" s="194">
        <v>2</v>
      </c>
      <c r="G200" s="197"/>
      <c r="H200" s="198"/>
      <c r="I200" s="197"/>
      <c r="J200" s="208"/>
    </row>
    <row r="201" spans="1:10" ht="15.6">
      <c r="A201" s="191"/>
      <c r="B201" s="186"/>
      <c r="C201" s="193"/>
      <c r="D201" s="193"/>
      <c r="E201" s="187"/>
      <c r="F201" s="194"/>
      <c r="G201" s="197"/>
      <c r="H201" s="198"/>
      <c r="I201" s="197"/>
      <c r="J201" s="208"/>
    </row>
    <row r="202" spans="1:10" ht="15.6">
      <c r="A202" s="191" t="s">
        <v>959</v>
      </c>
      <c r="B202" s="192" t="s">
        <v>1423</v>
      </c>
      <c r="C202" s="194"/>
      <c r="D202" s="194"/>
      <c r="E202" s="193"/>
      <c r="F202" s="194" t="s">
        <v>69</v>
      </c>
      <c r="G202" s="204"/>
      <c r="H202" s="205"/>
      <c r="I202" s="204">
        <v>2</v>
      </c>
      <c r="J202" s="208"/>
    </row>
    <row r="203" spans="1:10" ht="15.6">
      <c r="A203" s="191"/>
      <c r="B203" s="186" t="s">
        <v>980</v>
      </c>
      <c r="C203" s="194"/>
      <c r="D203" s="194"/>
      <c r="E203" s="193"/>
      <c r="F203" s="194">
        <v>6</v>
      </c>
      <c r="G203" s="192">
        <f>F203*G202</f>
        <v>0</v>
      </c>
      <c r="H203" s="207">
        <f>F203*H202</f>
        <v>0</v>
      </c>
      <c r="I203" s="192">
        <f>F203*I202</f>
        <v>12</v>
      </c>
      <c r="J203" s="208"/>
    </row>
    <row r="204" spans="1:10" ht="15.6">
      <c r="A204" s="191"/>
      <c r="B204" s="305" t="s">
        <v>1424</v>
      </c>
      <c r="C204" s="305"/>
      <c r="D204" s="305"/>
      <c r="E204" s="305"/>
      <c r="F204" s="194"/>
      <c r="G204" s="197"/>
      <c r="H204" s="198"/>
      <c r="I204" s="197"/>
      <c r="J204" s="208"/>
    </row>
    <row r="205" spans="1:10" ht="27" customHeight="1">
      <c r="A205" s="191"/>
      <c r="B205" s="305"/>
      <c r="C205" s="305"/>
      <c r="D205" s="305"/>
      <c r="E205" s="305"/>
      <c r="F205" s="194"/>
      <c r="G205" s="197"/>
      <c r="H205" s="198"/>
      <c r="I205" s="197"/>
      <c r="J205" s="208"/>
    </row>
    <row r="206" spans="1:10" ht="15.6">
      <c r="A206" s="191"/>
      <c r="B206" s="251"/>
      <c r="C206" s="251"/>
      <c r="D206" s="251"/>
      <c r="E206" s="251"/>
      <c r="F206" s="194"/>
      <c r="G206" s="197"/>
      <c r="H206" s="198"/>
      <c r="I206" s="197"/>
      <c r="J206" s="208"/>
    </row>
    <row r="207" spans="1:10" ht="15.6">
      <c r="A207" s="191"/>
      <c r="B207" s="186" t="s">
        <v>927</v>
      </c>
      <c r="C207" s="187"/>
      <c r="D207" s="187"/>
      <c r="E207" s="187"/>
      <c r="F207" s="187"/>
      <c r="G207" s="197"/>
      <c r="H207" s="198"/>
      <c r="I207" s="197"/>
      <c r="J207" s="208"/>
    </row>
    <row r="208" spans="1:10" ht="15.6">
      <c r="A208" s="191"/>
      <c r="B208" s="186" t="s">
        <v>1425</v>
      </c>
      <c r="C208" s="193"/>
      <c r="D208" s="193"/>
      <c r="E208" s="187"/>
      <c r="F208" s="194">
        <v>6</v>
      </c>
      <c r="G208" s="197"/>
      <c r="H208" s="198"/>
      <c r="I208" s="197"/>
      <c r="J208" s="208"/>
    </row>
    <row r="209" spans="1:10" ht="15.6">
      <c r="A209" s="191"/>
      <c r="B209" s="186"/>
      <c r="C209" s="193"/>
      <c r="D209" s="193"/>
      <c r="E209" s="187"/>
      <c r="F209" s="194"/>
      <c r="G209" s="197"/>
      <c r="H209" s="198"/>
      <c r="I209" s="197"/>
      <c r="J209" s="208"/>
    </row>
    <row r="210" spans="1:10" ht="15.6">
      <c r="A210" s="191" t="s">
        <v>961</v>
      </c>
      <c r="B210" s="192" t="s">
        <v>1108</v>
      </c>
      <c r="C210" s="203"/>
      <c r="D210" s="203"/>
      <c r="E210" s="203"/>
      <c r="F210" s="204" t="s">
        <v>69</v>
      </c>
      <c r="G210" s="204"/>
      <c r="H210" s="205"/>
      <c r="I210" s="204">
        <v>2</v>
      </c>
      <c r="J210" s="208"/>
    </row>
    <row r="211" spans="1:10" ht="15.6">
      <c r="A211" s="191"/>
      <c r="B211" s="305" t="s">
        <v>1424</v>
      </c>
      <c r="C211" s="305"/>
      <c r="D211" s="305"/>
      <c r="E211" s="305"/>
      <c r="F211" s="204">
        <v>2</v>
      </c>
      <c r="G211" s="192">
        <f>F211*G210</f>
        <v>0</v>
      </c>
      <c r="H211" s="207">
        <f>F211*H210</f>
        <v>0</v>
      </c>
      <c r="I211" s="192">
        <f>F211*I210</f>
        <v>4</v>
      </c>
      <c r="J211" s="208"/>
    </row>
    <row r="212" spans="1:10" ht="24.75" customHeight="1">
      <c r="A212" s="191"/>
      <c r="B212" s="305"/>
      <c r="C212" s="305"/>
      <c r="D212" s="305"/>
      <c r="E212" s="305"/>
      <c r="F212" s="204"/>
      <c r="G212" s="192"/>
      <c r="H212" s="207"/>
      <c r="I212" s="192"/>
      <c r="J212" s="208"/>
    </row>
    <row r="213" spans="1:10" ht="15.6">
      <c r="A213" s="191"/>
      <c r="B213" s="186"/>
      <c r="C213" s="208"/>
      <c r="D213" s="208"/>
      <c r="E213" s="208"/>
      <c r="F213" s="204"/>
      <c r="G213" s="192"/>
      <c r="H213" s="207"/>
      <c r="I213" s="192"/>
      <c r="J213" s="208"/>
    </row>
    <row r="214" spans="1:10" ht="15.6">
      <c r="A214" s="191"/>
      <c r="B214" s="186"/>
      <c r="C214" s="193"/>
      <c r="D214" s="193"/>
      <c r="E214" s="187"/>
      <c r="F214" s="194"/>
      <c r="G214" s="197"/>
      <c r="H214" s="198"/>
      <c r="I214" s="197"/>
      <c r="J214" s="208"/>
    </row>
    <row r="215" spans="1:10" ht="15.6">
      <c r="A215" s="191"/>
      <c r="B215" s="186" t="s">
        <v>927</v>
      </c>
      <c r="C215" s="187"/>
      <c r="D215" s="187"/>
      <c r="E215" s="187"/>
      <c r="F215" s="184"/>
      <c r="G215" s="197"/>
      <c r="H215" s="198"/>
      <c r="I215" s="197"/>
      <c r="J215" s="208"/>
    </row>
    <row r="216" spans="1:10" ht="15.6">
      <c r="A216" s="191"/>
      <c r="B216" s="186" t="s">
        <v>1426</v>
      </c>
      <c r="C216" s="193"/>
      <c r="D216" s="193"/>
      <c r="E216" s="187"/>
      <c r="F216" s="194">
        <v>2</v>
      </c>
      <c r="G216" s="197"/>
      <c r="H216" s="198"/>
      <c r="I216" s="197"/>
      <c r="J216" s="208"/>
    </row>
    <row r="217" spans="1:10" ht="15.6">
      <c r="A217" s="191"/>
      <c r="B217" s="186"/>
      <c r="C217" s="193"/>
      <c r="D217" s="193"/>
      <c r="E217" s="187"/>
      <c r="F217" s="194"/>
      <c r="G217" s="197"/>
      <c r="H217" s="198"/>
      <c r="I217" s="197"/>
      <c r="J217" s="208"/>
    </row>
    <row r="218" spans="1:10" ht="15.6">
      <c r="A218" s="191" t="s">
        <v>966</v>
      </c>
      <c r="B218" s="192" t="s">
        <v>1427</v>
      </c>
      <c r="C218" s="194"/>
      <c r="D218" s="194"/>
      <c r="E218" s="193"/>
      <c r="F218" s="194" t="s">
        <v>69</v>
      </c>
      <c r="G218" s="204"/>
      <c r="H218" s="205"/>
      <c r="I218" s="204">
        <v>2</v>
      </c>
      <c r="J218" s="208"/>
    </row>
    <row r="219" spans="1:10" ht="15.6">
      <c r="A219" s="191"/>
      <c r="B219" s="186"/>
      <c r="C219" s="194"/>
      <c r="D219" s="194"/>
      <c r="E219" s="193"/>
      <c r="F219" s="194">
        <v>2</v>
      </c>
      <c r="G219" s="192">
        <f>F219*G218</f>
        <v>0</v>
      </c>
      <c r="H219" s="207">
        <f>F219*H218</f>
        <v>0</v>
      </c>
      <c r="I219" s="192">
        <f>F219*I218</f>
        <v>4</v>
      </c>
      <c r="J219" s="208"/>
    </row>
    <row r="220" spans="1:10" ht="15.6">
      <c r="A220" s="191"/>
      <c r="B220" s="305" t="s">
        <v>1424</v>
      </c>
      <c r="C220" s="305"/>
      <c r="D220" s="305"/>
      <c r="E220" s="305"/>
      <c r="F220" s="194"/>
      <c r="G220" s="197"/>
      <c r="H220" s="198"/>
      <c r="I220" s="197"/>
      <c r="J220" s="208"/>
    </row>
    <row r="221" spans="1:10" ht="21" customHeight="1">
      <c r="A221" s="191"/>
      <c r="B221" s="305"/>
      <c r="C221" s="305"/>
      <c r="D221" s="305"/>
      <c r="E221" s="305"/>
      <c r="F221" s="194"/>
      <c r="G221" s="197"/>
      <c r="H221" s="198"/>
      <c r="I221" s="197"/>
      <c r="J221" s="208"/>
    </row>
    <row r="222" spans="1:10" ht="15.6">
      <c r="A222" s="191"/>
      <c r="B222" s="251"/>
      <c r="C222" s="251"/>
      <c r="D222" s="251"/>
      <c r="E222" s="251"/>
      <c r="F222" s="194"/>
      <c r="G222" s="197"/>
      <c r="H222" s="198"/>
      <c r="I222" s="197"/>
      <c r="J222" s="208"/>
    </row>
    <row r="223" spans="1:10" ht="15.6">
      <c r="A223" s="191"/>
      <c r="B223" s="186" t="s">
        <v>927</v>
      </c>
      <c r="C223" s="187"/>
      <c r="D223" s="187"/>
      <c r="E223" s="187"/>
      <c r="F223" s="187"/>
      <c r="G223" s="197"/>
      <c r="H223" s="198"/>
      <c r="I223" s="197"/>
      <c r="J223" s="208"/>
    </row>
    <row r="224" spans="1:10" ht="15.6">
      <c r="A224" s="191"/>
      <c r="B224" s="186" t="s">
        <v>1426</v>
      </c>
      <c r="C224" s="193"/>
      <c r="D224" s="193"/>
      <c r="E224" s="187"/>
      <c r="F224" s="194">
        <v>2</v>
      </c>
      <c r="G224" s="197"/>
      <c r="H224" s="198"/>
      <c r="I224" s="197"/>
      <c r="J224" s="208"/>
    </row>
    <row r="225" spans="1:10" ht="15.6">
      <c r="A225" s="191"/>
      <c r="B225" s="186"/>
      <c r="C225" s="193"/>
      <c r="D225" s="193"/>
      <c r="E225" s="187"/>
      <c r="F225" s="194"/>
      <c r="G225" s="197"/>
      <c r="H225" s="198"/>
      <c r="I225" s="197"/>
      <c r="J225" s="208"/>
    </row>
    <row r="226" spans="1:10" ht="15.6">
      <c r="A226" s="191" t="s">
        <v>971</v>
      </c>
      <c r="B226" s="197" t="s">
        <v>1113</v>
      </c>
      <c r="C226" s="194"/>
      <c r="D226" s="194"/>
      <c r="E226" s="194"/>
      <c r="F226" s="194" t="s">
        <v>69</v>
      </c>
      <c r="G226" s="194"/>
      <c r="H226" s="195"/>
      <c r="I226" s="194">
        <v>1.6</v>
      </c>
      <c r="J226" s="208"/>
    </row>
    <row r="227" spans="1:10" ht="15.6">
      <c r="A227" s="191"/>
      <c r="B227" s="186" t="s">
        <v>1428</v>
      </c>
      <c r="C227" s="194"/>
      <c r="D227" s="194"/>
      <c r="E227" s="194"/>
      <c r="F227" s="194">
        <v>1</v>
      </c>
      <c r="G227" s="197">
        <f>F227*G226</f>
        <v>0</v>
      </c>
      <c r="H227" s="198">
        <f>F227*H226</f>
        <v>0</v>
      </c>
      <c r="I227" s="197">
        <f>F227*I226</f>
        <v>1.6</v>
      </c>
      <c r="J227" s="208"/>
    </row>
    <row r="228" spans="1:10" ht="15.6">
      <c r="A228" s="191"/>
      <c r="B228" s="186"/>
      <c r="C228" s="194"/>
      <c r="D228" s="194"/>
      <c r="E228" s="194"/>
      <c r="F228" s="194"/>
      <c r="G228" s="197"/>
      <c r="H228" s="198"/>
      <c r="I228" s="197"/>
      <c r="J228" s="208"/>
    </row>
    <row r="229" spans="1:10" ht="15.6">
      <c r="A229" s="191"/>
      <c r="B229" s="186" t="s">
        <v>927</v>
      </c>
      <c r="C229" s="187"/>
      <c r="D229" s="187"/>
      <c r="E229" s="187"/>
      <c r="F229" s="184"/>
      <c r="G229" s="197"/>
      <c r="H229" s="198"/>
      <c r="I229" s="197"/>
      <c r="J229" s="208"/>
    </row>
    <row r="230" spans="1:10" ht="15.6">
      <c r="A230" s="191"/>
      <c r="B230" s="186" t="s">
        <v>1407</v>
      </c>
      <c r="C230" s="193"/>
      <c r="D230" s="193"/>
      <c r="E230" s="187"/>
      <c r="F230" s="194">
        <v>1</v>
      </c>
      <c r="G230" s="197"/>
      <c r="H230" s="198"/>
      <c r="I230" s="197"/>
      <c r="J230" s="208"/>
    </row>
    <row r="231" spans="1:10" ht="15.6">
      <c r="A231" s="191"/>
      <c r="B231" s="186"/>
      <c r="C231" s="193"/>
      <c r="D231" s="193"/>
      <c r="E231" s="187"/>
      <c r="F231" s="194"/>
      <c r="G231" s="197"/>
      <c r="H231" s="198"/>
      <c r="I231" s="197"/>
      <c r="J231" s="208"/>
    </row>
    <row r="232" spans="1:10" ht="15.6">
      <c r="A232" s="191" t="s">
        <v>1429</v>
      </c>
      <c r="B232" s="192" t="s">
        <v>1116</v>
      </c>
      <c r="C232" s="203"/>
      <c r="D232" s="203"/>
      <c r="E232" s="203"/>
      <c r="F232" s="204" t="s">
        <v>217</v>
      </c>
      <c r="G232" s="204"/>
      <c r="H232" s="205"/>
      <c r="I232" s="204">
        <v>0.6</v>
      </c>
      <c r="J232" s="208"/>
    </row>
    <row r="233" spans="1:10" ht="15.6">
      <c r="A233" s="191"/>
      <c r="B233" s="186" t="s">
        <v>1428</v>
      </c>
      <c r="C233" s="208"/>
      <c r="D233" s="208"/>
      <c r="E233" s="208"/>
      <c r="F233" s="204">
        <v>1</v>
      </c>
      <c r="G233" s="192">
        <f>F233*G232</f>
        <v>0</v>
      </c>
      <c r="H233" s="207">
        <f>F233*H232</f>
        <v>0</v>
      </c>
      <c r="I233" s="192">
        <f>F233*I232</f>
        <v>0.6</v>
      </c>
      <c r="J233" s="208"/>
    </row>
    <row r="234" spans="1:10" ht="15.6">
      <c r="A234" s="191"/>
      <c r="B234" s="186"/>
      <c r="C234" s="194"/>
      <c r="D234" s="194"/>
      <c r="E234" s="194"/>
      <c r="F234" s="194"/>
      <c r="G234" s="197"/>
      <c r="H234" s="198"/>
      <c r="I234" s="197"/>
      <c r="J234" s="208"/>
    </row>
    <row r="235" spans="1:10" ht="15.6">
      <c r="A235" s="191"/>
      <c r="B235" s="186" t="s">
        <v>927</v>
      </c>
      <c r="C235" s="187"/>
      <c r="D235" s="187"/>
      <c r="E235" s="187"/>
      <c r="F235" s="184"/>
      <c r="G235" s="197"/>
      <c r="H235" s="198"/>
      <c r="I235" s="197"/>
      <c r="J235" s="208"/>
    </row>
    <row r="236" spans="1:10" ht="15.6">
      <c r="A236" s="191"/>
      <c r="B236" s="186" t="s">
        <v>1407</v>
      </c>
      <c r="C236" s="193"/>
      <c r="D236" s="193"/>
      <c r="E236" s="187"/>
      <c r="F236" s="194">
        <v>1</v>
      </c>
      <c r="G236" s="197"/>
      <c r="H236" s="198"/>
      <c r="I236" s="197"/>
      <c r="J236" s="208"/>
    </row>
    <row r="237" spans="1:10" ht="15.6">
      <c r="A237" s="191"/>
      <c r="B237" s="186"/>
      <c r="C237" s="193"/>
      <c r="D237" s="193"/>
      <c r="E237" s="187"/>
      <c r="F237" s="194"/>
      <c r="G237" s="197"/>
      <c r="H237" s="198"/>
      <c r="I237" s="197"/>
      <c r="J237" s="208"/>
    </row>
    <row r="238" spans="1:10" ht="16.2">
      <c r="A238" s="191" t="s">
        <v>1430</v>
      </c>
      <c r="B238" s="197" t="s">
        <v>995</v>
      </c>
      <c r="C238" s="212"/>
      <c r="D238" s="212"/>
      <c r="E238" s="212"/>
      <c r="F238" s="204" t="s">
        <v>996</v>
      </c>
      <c r="G238" s="194"/>
      <c r="H238" s="195"/>
      <c r="I238" s="194">
        <v>0.8</v>
      </c>
      <c r="J238" s="208"/>
    </row>
    <row r="239" spans="1:10" ht="15.6">
      <c r="A239" s="191"/>
      <c r="B239" s="186" t="s">
        <v>1431</v>
      </c>
      <c r="C239" s="183"/>
      <c r="D239" s="183"/>
      <c r="E239" s="183"/>
      <c r="F239" s="204">
        <v>86</v>
      </c>
      <c r="G239" s="197">
        <f>F239*G238</f>
        <v>0</v>
      </c>
      <c r="H239" s="198">
        <f>F239*H238</f>
        <v>0</v>
      </c>
      <c r="I239" s="197">
        <f>F239*I238</f>
        <v>68.8</v>
      </c>
      <c r="J239" s="208"/>
    </row>
    <row r="240" spans="1:10" ht="15.6">
      <c r="A240" s="191"/>
      <c r="B240" s="186"/>
      <c r="C240" s="183"/>
      <c r="D240" s="183"/>
      <c r="E240" s="183"/>
      <c r="F240" s="204"/>
      <c r="G240" s="197"/>
      <c r="H240" s="198"/>
      <c r="I240" s="197"/>
      <c r="J240" s="208"/>
    </row>
    <row r="241" spans="1:10" ht="15.6">
      <c r="A241" s="191"/>
      <c r="B241" s="186" t="s">
        <v>927</v>
      </c>
      <c r="C241" s="187"/>
      <c r="D241" s="187"/>
      <c r="E241" s="187"/>
      <c r="F241" s="187"/>
      <c r="G241" s="197"/>
      <c r="H241" s="198"/>
      <c r="I241" s="197"/>
      <c r="J241" s="208"/>
    </row>
    <row r="242" spans="1:10" ht="15.6">
      <c r="A242" s="191"/>
      <c r="B242" s="211" t="s">
        <v>1432</v>
      </c>
      <c r="C242" s="193"/>
      <c r="D242" s="193"/>
      <c r="E242" s="187"/>
      <c r="F242" s="194">
        <v>86</v>
      </c>
      <c r="G242" s="197"/>
      <c r="H242" s="198"/>
      <c r="I242" s="197"/>
      <c r="J242" s="208"/>
    </row>
    <row r="243" spans="1:10" ht="15.6">
      <c r="A243" s="191"/>
      <c r="B243" s="186"/>
      <c r="C243" s="208"/>
      <c r="D243" s="208"/>
      <c r="E243" s="208"/>
      <c r="F243" s="204"/>
      <c r="G243" s="192"/>
      <c r="H243" s="207"/>
      <c r="I243" s="192"/>
      <c r="J243" s="208"/>
    </row>
    <row r="244" spans="1:10" ht="16.2">
      <c r="A244" s="191" t="s">
        <v>1433</v>
      </c>
      <c r="B244" s="197" t="s">
        <v>1434</v>
      </c>
      <c r="C244" s="194"/>
      <c r="D244" s="194"/>
      <c r="E244" s="194"/>
      <c r="F244" s="194" t="s">
        <v>1002</v>
      </c>
      <c r="G244" s="194"/>
      <c r="H244" s="195"/>
      <c r="I244" s="194">
        <v>4</v>
      </c>
      <c r="J244" s="208"/>
    </row>
    <row r="245" spans="1:10" ht="15.6">
      <c r="A245" s="191"/>
      <c r="B245" s="186" t="s">
        <v>1435</v>
      </c>
      <c r="C245" s="194"/>
      <c r="D245" s="194"/>
      <c r="E245" s="194"/>
      <c r="F245" s="194">
        <v>98</v>
      </c>
      <c r="G245" s="197">
        <f>F245*G244</f>
        <v>0</v>
      </c>
      <c r="H245" s="198">
        <f>F245*H244</f>
        <v>0</v>
      </c>
      <c r="I245" s="197">
        <f>F245*I244</f>
        <v>392</v>
      </c>
      <c r="J245" s="208"/>
    </row>
    <row r="246" spans="1:10" ht="15.6">
      <c r="A246" s="191"/>
      <c r="B246" s="186"/>
      <c r="C246" s="208"/>
      <c r="D246" s="208"/>
      <c r="E246" s="208"/>
      <c r="F246" s="204"/>
      <c r="G246" s="192"/>
      <c r="H246" s="207"/>
      <c r="I246" s="192"/>
      <c r="J246" s="208"/>
    </row>
    <row r="247" spans="1:10" ht="15.6">
      <c r="A247" s="191"/>
      <c r="B247" s="186" t="s">
        <v>927</v>
      </c>
      <c r="C247" s="187"/>
      <c r="D247" s="187"/>
      <c r="E247" s="187"/>
      <c r="F247" s="187"/>
      <c r="G247" s="197"/>
      <c r="H247" s="198"/>
      <c r="I247" s="197"/>
      <c r="J247" s="208"/>
    </row>
    <row r="248" spans="1:10" ht="15.6">
      <c r="A248" s="191"/>
      <c r="B248" s="186" t="s">
        <v>1436</v>
      </c>
      <c r="C248" s="193"/>
      <c r="D248" s="193"/>
      <c r="E248" s="187"/>
      <c r="F248" s="194">
        <v>98</v>
      </c>
      <c r="G248" s="197"/>
      <c r="H248" s="198"/>
      <c r="I248" s="197"/>
      <c r="J248" s="208"/>
    </row>
    <row r="249" spans="1:10" ht="15.6">
      <c r="A249" s="191"/>
      <c r="B249" s="186"/>
      <c r="C249" s="193"/>
      <c r="D249" s="193"/>
      <c r="E249" s="187"/>
      <c r="F249" s="194"/>
      <c r="G249" s="197"/>
      <c r="H249" s="198"/>
      <c r="I249" s="197"/>
      <c r="J249" s="208"/>
    </row>
    <row r="250" spans="1:10" ht="16.2">
      <c r="A250" s="191" t="s">
        <v>1437</v>
      </c>
      <c r="B250" s="197" t="s">
        <v>995</v>
      </c>
      <c r="C250" s="212"/>
      <c r="D250" s="212"/>
      <c r="E250" s="212"/>
      <c r="F250" s="204" t="s">
        <v>996</v>
      </c>
      <c r="G250" s="194"/>
      <c r="H250" s="195"/>
      <c r="I250" s="194">
        <v>0.8</v>
      </c>
      <c r="J250" s="208"/>
    </row>
    <row r="251" spans="1:10" ht="15.6">
      <c r="A251" s="191"/>
      <c r="B251" s="186" t="s">
        <v>1438</v>
      </c>
      <c r="C251" s="183"/>
      <c r="D251" s="183"/>
      <c r="E251" s="183"/>
      <c r="F251" s="204">
        <v>5</v>
      </c>
      <c r="G251" s="197">
        <f>F251*G250</f>
        <v>0</v>
      </c>
      <c r="H251" s="198">
        <f>F251*H250</f>
        <v>0</v>
      </c>
      <c r="I251" s="197">
        <f>F251*I250</f>
        <v>4</v>
      </c>
      <c r="J251" s="208"/>
    </row>
    <row r="252" spans="1:10" ht="15.6">
      <c r="A252" s="191"/>
      <c r="B252" s="186"/>
      <c r="C252" s="183"/>
      <c r="D252" s="183"/>
      <c r="E252" s="183"/>
      <c r="F252" s="204"/>
      <c r="G252" s="197"/>
      <c r="H252" s="198"/>
      <c r="I252" s="197"/>
      <c r="J252" s="208"/>
    </row>
    <row r="253" spans="1:10" ht="15.6">
      <c r="A253" s="191"/>
      <c r="B253" s="186" t="s">
        <v>927</v>
      </c>
      <c r="C253" s="187"/>
      <c r="D253" s="187"/>
      <c r="E253" s="187"/>
      <c r="F253" s="187"/>
      <c r="G253" s="197"/>
      <c r="H253" s="198"/>
      <c r="I253" s="197"/>
      <c r="J253" s="208"/>
    </row>
    <row r="254" spans="1:10" ht="15.6">
      <c r="A254" s="191"/>
      <c r="B254" s="186" t="s">
        <v>1439</v>
      </c>
      <c r="C254" s="193"/>
      <c r="D254" s="193"/>
      <c r="E254" s="187"/>
      <c r="F254" s="194">
        <v>5</v>
      </c>
      <c r="G254" s="197"/>
      <c r="H254" s="198"/>
      <c r="I254" s="197"/>
      <c r="J254" s="208"/>
    </row>
    <row r="255" spans="1:10" ht="15.6">
      <c r="A255" s="191"/>
      <c r="B255" s="186"/>
      <c r="C255" s="193"/>
      <c r="D255" s="193"/>
      <c r="E255" s="187"/>
      <c r="F255" s="194"/>
      <c r="G255" s="197"/>
      <c r="H255" s="198"/>
      <c r="I255" s="197"/>
      <c r="J255" s="208"/>
    </row>
    <row r="256" spans="1:10" ht="15.6">
      <c r="A256" s="191" t="s">
        <v>1440</v>
      </c>
      <c r="B256" s="197" t="s">
        <v>1441</v>
      </c>
      <c r="C256" s="194"/>
      <c r="D256" s="194"/>
      <c r="E256" s="194"/>
      <c r="F256" s="194" t="s">
        <v>279</v>
      </c>
      <c r="G256" s="194"/>
      <c r="H256" s="194"/>
      <c r="I256" s="194">
        <v>1</v>
      </c>
      <c r="J256" s="208"/>
    </row>
    <row r="257" spans="1:10" ht="15.6">
      <c r="A257" s="191"/>
      <c r="B257" s="211" t="s">
        <v>1442</v>
      </c>
      <c r="C257" s="193"/>
      <c r="D257" s="193"/>
      <c r="E257" s="193"/>
      <c r="F257" s="194">
        <v>15</v>
      </c>
      <c r="G257" s="197">
        <f>F257*G256</f>
        <v>0</v>
      </c>
      <c r="H257" s="198">
        <f>F257*H256</f>
        <v>0</v>
      </c>
      <c r="I257" s="197">
        <f>F257*I256</f>
        <v>15</v>
      </c>
      <c r="J257" s="208"/>
    </row>
    <row r="258" spans="1:10" ht="15.6">
      <c r="A258" s="191"/>
      <c r="B258" s="211" t="s">
        <v>1443</v>
      </c>
      <c r="C258" s="193"/>
      <c r="D258" s="193"/>
      <c r="E258" s="193"/>
      <c r="F258" s="194"/>
      <c r="G258" s="197"/>
      <c r="H258" s="198"/>
      <c r="I258" s="197"/>
      <c r="J258" s="208"/>
    </row>
    <row r="259" spans="1:10" ht="15.6">
      <c r="A259" s="191"/>
      <c r="B259" s="211"/>
      <c r="C259" s="193"/>
      <c r="D259" s="193"/>
      <c r="E259" s="193"/>
      <c r="F259" s="194"/>
      <c r="G259" s="197"/>
      <c r="H259" s="198"/>
      <c r="I259" s="197"/>
      <c r="J259" s="208"/>
    </row>
    <row r="260" spans="1:10" ht="15.6">
      <c r="A260" s="191"/>
      <c r="B260" s="186" t="s">
        <v>927</v>
      </c>
      <c r="C260" s="194"/>
      <c r="D260" s="194"/>
      <c r="E260" s="194"/>
      <c r="F260" s="194"/>
      <c r="G260" s="197"/>
      <c r="H260" s="198"/>
      <c r="I260" s="197"/>
      <c r="J260" s="208"/>
    </row>
    <row r="261" spans="1:10" ht="15.6">
      <c r="A261" s="191"/>
      <c r="B261" s="186" t="s">
        <v>1444</v>
      </c>
      <c r="C261" s="194"/>
      <c r="D261" s="194"/>
      <c r="E261" s="194"/>
      <c r="F261" s="194">
        <v>15</v>
      </c>
      <c r="G261" s="197"/>
      <c r="H261" s="198"/>
      <c r="I261" s="197"/>
      <c r="J261" s="208"/>
    </row>
    <row r="262" spans="1:10" ht="15.6">
      <c r="A262" s="191"/>
      <c r="B262" s="186"/>
      <c r="C262" s="194"/>
      <c r="D262" s="194"/>
      <c r="E262" s="194"/>
      <c r="F262" s="194"/>
      <c r="G262" s="197"/>
      <c r="H262" s="198"/>
      <c r="I262" s="197"/>
      <c r="J262" s="208"/>
    </row>
    <row r="263" spans="1:10" ht="15.6">
      <c r="A263" s="191" t="s">
        <v>1445</v>
      </c>
      <c r="B263" s="211"/>
      <c r="C263" s="193"/>
      <c r="D263" s="193"/>
      <c r="E263" s="193"/>
      <c r="F263" s="194"/>
      <c r="G263" s="198">
        <f>G39+G128+G134+G140+G156+G174+G203+G257+G239+G245+G219+G148+G190+G211+G227+G233+G251</f>
        <v>0</v>
      </c>
      <c r="H263" s="198">
        <f>H39+H128+H134+H140+H156+H174+H203+H257+H239+H245+H219+H148+H190+H211+H227+H233+H251</f>
        <v>0</v>
      </c>
      <c r="I263" s="198">
        <f>I39+I128+I134+I140+I156+I174+I203+I257+I239+I245+I219+I148+I190+I211+I227+I233+I251</f>
        <v>903.4000000000001</v>
      </c>
      <c r="J263" s="208"/>
    </row>
    <row r="264" spans="1:10" ht="15.6">
      <c r="A264" s="191"/>
      <c r="B264" s="211"/>
      <c r="C264" s="193"/>
      <c r="D264" s="193"/>
      <c r="E264" s="193"/>
      <c r="F264" s="194"/>
      <c r="G264" s="197"/>
      <c r="H264" s="198"/>
      <c r="I264" s="197"/>
      <c r="J264" s="208"/>
    </row>
    <row r="265" spans="1:10" ht="15.6">
      <c r="A265" s="191" t="s">
        <v>1446</v>
      </c>
      <c r="B265" s="197" t="s">
        <v>1179</v>
      </c>
      <c r="C265" s="194"/>
      <c r="D265" s="194"/>
      <c r="E265" s="194"/>
      <c r="F265" s="194" t="s">
        <v>1180</v>
      </c>
      <c r="G265" s="204">
        <v>0</v>
      </c>
      <c r="H265" s="252"/>
      <c r="I265" s="204">
        <v>0</v>
      </c>
      <c r="J265" s="208"/>
    </row>
    <row r="266" spans="1:10" ht="15.6">
      <c r="A266" s="191"/>
      <c r="B266" s="186"/>
      <c r="C266" s="194"/>
      <c r="D266" s="194"/>
      <c r="E266" s="194"/>
      <c r="F266" s="195">
        <v>1</v>
      </c>
      <c r="G266" s="207">
        <f>F266*G265*70000</f>
        <v>0</v>
      </c>
      <c r="H266" s="198">
        <f>G263*F266*H265</f>
        <v>0</v>
      </c>
      <c r="I266" s="192">
        <f>F266*I265</f>
        <v>0</v>
      </c>
      <c r="J266" s="208"/>
    </row>
    <row r="267" spans="1:10" ht="15.6">
      <c r="A267" s="191"/>
      <c r="B267" s="186" t="s">
        <v>927</v>
      </c>
      <c r="C267" s="187"/>
      <c r="D267" s="187"/>
      <c r="E267" s="187"/>
      <c r="F267" s="194"/>
      <c r="G267" s="192"/>
      <c r="H267" s="207"/>
      <c r="I267" s="192"/>
      <c r="J267" s="208"/>
    </row>
    <row r="268" spans="1:10" ht="15.6">
      <c r="A268" s="191"/>
      <c r="B268" s="186" t="s">
        <v>1447</v>
      </c>
      <c r="C268" s="193"/>
      <c r="D268" s="193"/>
      <c r="E268" s="193"/>
      <c r="F268" s="195">
        <v>1</v>
      </c>
      <c r="G268" s="192"/>
      <c r="H268" s="207"/>
      <c r="I268" s="192"/>
      <c r="J268" s="208"/>
    </row>
    <row r="269" spans="1:10" ht="15.6">
      <c r="A269" s="191"/>
      <c r="B269" s="186"/>
      <c r="C269" s="194"/>
      <c r="D269" s="194"/>
      <c r="E269" s="194"/>
      <c r="F269" s="194"/>
      <c r="G269" s="197"/>
      <c r="H269" s="198"/>
      <c r="I269" s="197"/>
      <c r="J269" s="208"/>
    </row>
    <row r="270" spans="1:10" ht="15.6">
      <c r="A270" s="191" t="s">
        <v>1448</v>
      </c>
      <c r="B270" s="197" t="s">
        <v>1182</v>
      </c>
      <c r="C270" s="194"/>
      <c r="D270" s="194"/>
      <c r="E270" s="194"/>
      <c r="F270" s="194" t="s">
        <v>1180</v>
      </c>
      <c r="G270" s="204">
        <v>0</v>
      </c>
      <c r="H270" s="253"/>
      <c r="I270" s="204">
        <v>0</v>
      </c>
      <c r="J270" s="208"/>
    </row>
    <row r="271" spans="1:10" ht="15.6">
      <c r="A271" s="191"/>
      <c r="B271" s="186" t="s">
        <v>1183</v>
      </c>
      <c r="C271" s="194"/>
      <c r="D271" s="194"/>
      <c r="E271" s="194"/>
      <c r="F271" s="195">
        <v>1</v>
      </c>
      <c r="G271" s="207">
        <f>F271*G270*10000</f>
        <v>0</v>
      </c>
      <c r="H271" s="207">
        <f>F271*H270*H263</f>
        <v>0</v>
      </c>
      <c r="I271" s="192">
        <f>F271*I270</f>
        <v>0</v>
      </c>
      <c r="J271" s="208"/>
    </row>
    <row r="272" spans="1:10" ht="15.6">
      <c r="A272" s="191"/>
      <c r="B272" s="227" t="s">
        <v>1184</v>
      </c>
      <c r="C272" s="227"/>
      <c r="D272" s="227"/>
      <c r="E272" s="227"/>
      <c r="F272" s="195"/>
      <c r="G272" s="192"/>
      <c r="H272" s="207"/>
      <c r="I272" s="192"/>
      <c r="J272" s="208"/>
    </row>
    <row r="273" spans="1:10" ht="15.6">
      <c r="A273" s="191"/>
      <c r="B273" s="227" t="s">
        <v>1449</v>
      </c>
      <c r="C273" s="227"/>
      <c r="D273" s="227"/>
      <c r="E273" s="227"/>
      <c r="F273" s="228"/>
      <c r="G273" s="185"/>
      <c r="H273" s="229"/>
      <c r="I273" s="185"/>
      <c r="J273" s="208"/>
    </row>
    <row r="274" spans="1:10" ht="15.6">
      <c r="A274" s="191"/>
      <c r="B274" s="226" t="s">
        <v>1450</v>
      </c>
      <c r="C274" s="227"/>
      <c r="D274" s="227"/>
      <c r="E274" s="227"/>
      <c r="F274" s="228"/>
      <c r="G274" s="185"/>
      <c r="H274" s="229"/>
      <c r="I274" s="185"/>
      <c r="J274" s="208"/>
    </row>
    <row r="275" spans="1:10" ht="15.6">
      <c r="A275" s="191"/>
      <c r="B275" s="226" t="s">
        <v>1451</v>
      </c>
      <c r="C275" s="227"/>
      <c r="D275" s="227"/>
      <c r="E275" s="227"/>
      <c r="F275" s="228"/>
      <c r="G275" s="185"/>
      <c r="H275" s="229"/>
      <c r="I275" s="185"/>
      <c r="J275" s="208"/>
    </row>
    <row r="276" spans="1:10" ht="15.6">
      <c r="A276" s="191"/>
      <c r="B276" s="226"/>
      <c r="C276" s="227"/>
      <c r="D276" s="227"/>
      <c r="E276" s="227"/>
      <c r="F276" s="228"/>
      <c r="G276" s="185"/>
      <c r="H276" s="229"/>
      <c r="I276" s="185"/>
      <c r="J276" s="208"/>
    </row>
    <row r="277" spans="1:10" ht="15.6">
      <c r="A277" s="191"/>
      <c r="B277" s="186" t="s">
        <v>927</v>
      </c>
      <c r="C277" s="187"/>
      <c r="D277" s="187"/>
      <c r="E277" s="187"/>
      <c r="F277" s="194"/>
      <c r="G277" s="192"/>
      <c r="H277" s="207"/>
      <c r="I277" s="192"/>
      <c r="J277" s="208"/>
    </row>
    <row r="278" spans="1:10" ht="15.6">
      <c r="A278" s="191"/>
      <c r="B278" s="186" t="s">
        <v>1447</v>
      </c>
      <c r="C278" s="193"/>
      <c r="D278" s="193"/>
      <c r="E278" s="193"/>
      <c r="F278" s="195">
        <v>1</v>
      </c>
      <c r="G278" s="192"/>
      <c r="H278" s="207"/>
      <c r="I278" s="192"/>
      <c r="J278" s="208"/>
    </row>
    <row r="279" spans="1:10" ht="15.6">
      <c r="A279" s="191"/>
      <c r="B279" s="186"/>
      <c r="C279" s="194"/>
      <c r="D279" s="194"/>
      <c r="E279" s="194"/>
      <c r="F279" s="194"/>
      <c r="G279" s="197"/>
      <c r="H279" s="198"/>
      <c r="I279" s="197"/>
      <c r="J279" s="208"/>
    </row>
    <row r="280" spans="1:10" ht="15.6">
      <c r="A280" s="191" t="s">
        <v>1452</v>
      </c>
      <c r="B280" s="197" t="s">
        <v>649</v>
      </c>
      <c r="C280" s="194"/>
      <c r="D280" s="194"/>
      <c r="E280" s="194"/>
      <c r="F280" s="194" t="s">
        <v>59</v>
      </c>
      <c r="G280" s="204"/>
      <c r="H280" s="205"/>
      <c r="I280" s="204">
        <v>0</v>
      </c>
      <c r="J280" s="208"/>
    </row>
    <row r="281" spans="1:10" ht="15.6">
      <c r="A281" s="191"/>
      <c r="B281" s="186" t="s">
        <v>1192</v>
      </c>
      <c r="C281" s="194"/>
      <c r="D281" s="194"/>
      <c r="E281" s="194"/>
      <c r="F281" s="234">
        <f>F284</f>
        <v>0.9034000000000001</v>
      </c>
      <c r="G281" s="207">
        <f>F281*G280</f>
        <v>0</v>
      </c>
      <c r="H281" s="207">
        <f>F281*H280</f>
        <v>0</v>
      </c>
      <c r="I281" s="192">
        <v>0</v>
      </c>
      <c r="J281" s="208"/>
    </row>
    <row r="282" spans="1:10" ht="15.6">
      <c r="A282" s="191"/>
      <c r="B282" s="186"/>
      <c r="C282" s="194"/>
      <c r="D282" s="194"/>
      <c r="E282" s="194"/>
      <c r="F282" s="195"/>
      <c r="G282" s="192"/>
      <c r="H282" s="207"/>
      <c r="I282" s="192"/>
      <c r="J282" s="208"/>
    </row>
    <row r="283" spans="1:10" ht="15.6">
      <c r="A283" s="191"/>
      <c r="B283" s="186" t="s">
        <v>927</v>
      </c>
      <c r="C283" s="187"/>
      <c r="D283" s="187"/>
      <c r="E283" s="187"/>
      <c r="F283" s="194"/>
      <c r="G283" s="192"/>
      <c r="H283" s="207"/>
      <c r="I283" s="192"/>
      <c r="J283" s="208"/>
    </row>
    <row r="284" spans="1:10" ht="15.6">
      <c r="A284" s="191"/>
      <c r="B284" s="186" t="s">
        <v>1447</v>
      </c>
      <c r="C284" s="193"/>
      <c r="D284" s="193"/>
      <c r="E284" s="193"/>
      <c r="F284" s="234">
        <f>I263*0.001</f>
        <v>0.9034000000000001</v>
      </c>
      <c r="G284" s="192"/>
      <c r="H284" s="207"/>
      <c r="I284" s="192"/>
      <c r="J284" s="208"/>
    </row>
    <row r="285" spans="1:10" ht="15.6">
      <c r="A285" s="191"/>
      <c r="B285" s="186"/>
      <c r="C285" s="194"/>
      <c r="D285" s="194"/>
      <c r="E285" s="194"/>
      <c r="F285" s="194"/>
      <c r="G285" s="197"/>
      <c r="H285" s="198"/>
      <c r="I285" s="197"/>
      <c r="J285" s="208"/>
    </row>
    <row r="286" spans="1:10" ht="15.6">
      <c r="A286" s="197" t="s">
        <v>1019</v>
      </c>
      <c r="B286" s="194"/>
      <c r="C286" s="194" t="s">
        <v>1453</v>
      </c>
      <c r="D286" s="194"/>
      <c r="E286" s="194"/>
      <c r="F286" s="194"/>
      <c r="G286" s="198">
        <f>G263+G266+G271+G281</f>
        <v>0</v>
      </c>
      <c r="H286" s="198">
        <f>H263+H266+H271+H281</f>
        <v>0</v>
      </c>
      <c r="I286" s="198">
        <f>I263+I266+I271+I281</f>
        <v>903.4000000000001</v>
      </c>
      <c r="J286" s="208"/>
    </row>
    <row r="287" spans="1:10" ht="15.6">
      <c r="A287" s="191"/>
      <c r="B287" s="186"/>
      <c r="C287" s="194"/>
      <c r="D287" s="194"/>
      <c r="E287" s="194"/>
      <c r="F287" s="194"/>
      <c r="G287" s="197"/>
      <c r="H287" s="198"/>
      <c r="I287" s="197"/>
      <c r="J287" s="208"/>
    </row>
    <row r="288" spans="1:9" ht="15">
      <c r="A288" s="191"/>
      <c r="B288" s="186"/>
      <c r="C288" s="194"/>
      <c r="D288" s="194"/>
      <c r="E288" s="194"/>
      <c r="F288" s="194"/>
      <c r="G288" s="197"/>
      <c r="H288" s="198"/>
      <c r="I288" s="197"/>
    </row>
  </sheetData>
  <mergeCells count="8">
    <mergeCell ref="B211:E212"/>
    <mergeCell ref="B220:E221"/>
    <mergeCell ref="A1:I1"/>
    <mergeCell ref="A2:I2"/>
    <mergeCell ref="A4:I4"/>
    <mergeCell ref="A5:I5"/>
    <mergeCell ref="A6:I6"/>
    <mergeCell ref="B204:E205"/>
  </mergeCells>
  <printOptions/>
  <pageMargins left="0.7" right="0.7" top="0.787401575" bottom="0.7874015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
  <sheetViews>
    <sheetView workbookViewId="0" topLeftCell="A10">
      <selection activeCell="J13" sqref="J13"/>
    </sheetView>
  </sheetViews>
  <sheetFormatPr defaultColWidth="8.140625" defaultRowHeight="15"/>
  <cols>
    <col min="1" max="1" width="5.28125" style="297" customWidth="1"/>
    <col min="2" max="2" width="6.00390625" style="298" customWidth="1"/>
    <col min="3" max="3" width="9.140625" style="298" customWidth="1"/>
    <col min="4" max="4" width="38.8515625" style="298" customWidth="1"/>
    <col min="5" max="5" width="4.28125" style="298" customWidth="1"/>
    <col min="6" max="6" width="10.28125" style="299" customWidth="1"/>
    <col min="7" max="7" width="13.8515625" style="300" customWidth="1"/>
    <col min="8" max="8" width="16.421875" style="300" customWidth="1"/>
    <col min="9" max="254" width="8.140625" style="254" customWidth="1"/>
    <col min="255" max="255" width="5.28125" style="254" customWidth="1"/>
    <col min="256" max="256" width="6.00390625" style="254" customWidth="1"/>
    <col min="257" max="257" width="9.140625" style="254" customWidth="1"/>
    <col min="258" max="258" width="38.8515625" style="254" customWidth="1"/>
    <col min="259" max="259" width="4.28125" style="254" customWidth="1"/>
    <col min="260" max="260" width="10.28125" style="254" customWidth="1"/>
    <col min="261" max="261" width="13.8515625" style="254" customWidth="1"/>
    <col min="262" max="262" width="16.421875" style="254" customWidth="1"/>
    <col min="263" max="264" width="11.8515625" style="254" customWidth="1"/>
    <col min="265" max="510" width="8.140625" style="254" customWidth="1"/>
    <col min="511" max="511" width="5.28125" style="254" customWidth="1"/>
    <col min="512" max="512" width="6.00390625" style="254" customWidth="1"/>
    <col min="513" max="513" width="9.140625" style="254" customWidth="1"/>
    <col min="514" max="514" width="38.8515625" style="254" customWidth="1"/>
    <col min="515" max="515" width="4.28125" style="254" customWidth="1"/>
    <col min="516" max="516" width="10.28125" style="254" customWidth="1"/>
    <col min="517" max="517" width="13.8515625" style="254" customWidth="1"/>
    <col min="518" max="518" width="16.421875" style="254" customWidth="1"/>
    <col min="519" max="520" width="11.8515625" style="254" customWidth="1"/>
    <col min="521" max="766" width="8.140625" style="254" customWidth="1"/>
    <col min="767" max="767" width="5.28125" style="254" customWidth="1"/>
    <col min="768" max="768" width="6.00390625" style="254" customWidth="1"/>
    <col min="769" max="769" width="9.140625" style="254" customWidth="1"/>
    <col min="770" max="770" width="38.8515625" style="254" customWidth="1"/>
    <col min="771" max="771" width="4.28125" style="254" customWidth="1"/>
    <col min="772" max="772" width="10.28125" style="254" customWidth="1"/>
    <col min="773" max="773" width="13.8515625" style="254" customWidth="1"/>
    <col min="774" max="774" width="16.421875" style="254" customWidth="1"/>
    <col min="775" max="776" width="11.8515625" style="254" customWidth="1"/>
    <col min="777" max="1022" width="8.140625" style="254" customWidth="1"/>
    <col min="1023" max="1023" width="5.28125" style="254" customWidth="1"/>
    <col min="1024" max="1024" width="6.00390625" style="254" customWidth="1"/>
    <col min="1025" max="1025" width="9.140625" style="254" customWidth="1"/>
    <col min="1026" max="1026" width="38.8515625" style="254" customWidth="1"/>
    <col min="1027" max="1027" width="4.28125" style="254" customWidth="1"/>
    <col min="1028" max="1028" width="10.28125" style="254" customWidth="1"/>
    <col min="1029" max="1029" width="13.8515625" style="254" customWidth="1"/>
    <col min="1030" max="1030" width="16.421875" style="254" customWidth="1"/>
    <col min="1031" max="1032" width="11.8515625" style="254" customWidth="1"/>
    <col min="1033" max="1278" width="8.140625" style="254" customWidth="1"/>
    <col min="1279" max="1279" width="5.28125" style="254" customWidth="1"/>
    <col min="1280" max="1280" width="6.00390625" style="254" customWidth="1"/>
    <col min="1281" max="1281" width="9.140625" style="254" customWidth="1"/>
    <col min="1282" max="1282" width="38.8515625" style="254" customWidth="1"/>
    <col min="1283" max="1283" width="4.28125" style="254" customWidth="1"/>
    <col min="1284" max="1284" width="10.28125" style="254" customWidth="1"/>
    <col min="1285" max="1285" width="13.8515625" style="254" customWidth="1"/>
    <col min="1286" max="1286" width="16.421875" style="254" customWidth="1"/>
    <col min="1287" max="1288" width="11.8515625" style="254" customWidth="1"/>
    <col min="1289" max="1534" width="8.140625" style="254" customWidth="1"/>
    <col min="1535" max="1535" width="5.28125" style="254" customWidth="1"/>
    <col min="1536" max="1536" width="6.00390625" style="254" customWidth="1"/>
    <col min="1537" max="1537" width="9.140625" style="254" customWidth="1"/>
    <col min="1538" max="1538" width="38.8515625" style="254" customWidth="1"/>
    <col min="1539" max="1539" width="4.28125" style="254" customWidth="1"/>
    <col min="1540" max="1540" width="10.28125" style="254" customWidth="1"/>
    <col min="1541" max="1541" width="13.8515625" style="254" customWidth="1"/>
    <col min="1542" max="1542" width="16.421875" style="254" customWidth="1"/>
    <col min="1543" max="1544" width="11.8515625" style="254" customWidth="1"/>
    <col min="1545" max="1790" width="8.140625" style="254" customWidth="1"/>
    <col min="1791" max="1791" width="5.28125" style="254" customWidth="1"/>
    <col min="1792" max="1792" width="6.00390625" style="254" customWidth="1"/>
    <col min="1793" max="1793" width="9.140625" style="254" customWidth="1"/>
    <col min="1794" max="1794" width="38.8515625" style="254" customWidth="1"/>
    <col min="1795" max="1795" width="4.28125" style="254" customWidth="1"/>
    <col min="1796" max="1796" width="10.28125" style="254" customWidth="1"/>
    <col min="1797" max="1797" width="13.8515625" style="254" customWidth="1"/>
    <col min="1798" max="1798" width="16.421875" style="254" customWidth="1"/>
    <col min="1799" max="1800" width="11.8515625" style="254" customWidth="1"/>
    <col min="1801" max="2046" width="8.140625" style="254" customWidth="1"/>
    <col min="2047" max="2047" width="5.28125" style="254" customWidth="1"/>
    <col min="2048" max="2048" width="6.00390625" style="254" customWidth="1"/>
    <col min="2049" max="2049" width="9.140625" style="254" customWidth="1"/>
    <col min="2050" max="2050" width="38.8515625" style="254" customWidth="1"/>
    <col min="2051" max="2051" width="4.28125" style="254" customWidth="1"/>
    <col min="2052" max="2052" width="10.28125" style="254" customWidth="1"/>
    <col min="2053" max="2053" width="13.8515625" style="254" customWidth="1"/>
    <col min="2054" max="2054" width="16.421875" style="254" customWidth="1"/>
    <col min="2055" max="2056" width="11.8515625" style="254" customWidth="1"/>
    <col min="2057" max="2302" width="8.140625" style="254" customWidth="1"/>
    <col min="2303" max="2303" width="5.28125" style="254" customWidth="1"/>
    <col min="2304" max="2304" width="6.00390625" style="254" customWidth="1"/>
    <col min="2305" max="2305" width="9.140625" style="254" customWidth="1"/>
    <col min="2306" max="2306" width="38.8515625" style="254" customWidth="1"/>
    <col min="2307" max="2307" width="4.28125" style="254" customWidth="1"/>
    <col min="2308" max="2308" width="10.28125" style="254" customWidth="1"/>
    <col min="2309" max="2309" width="13.8515625" style="254" customWidth="1"/>
    <col min="2310" max="2310" width="16.421875" style="254" customWidth="1"/>
    <col min="2311" max="2312" width="11.8515625" style="254" customWidth="1"/>
    <col min="2313" max="2558" width="8.140625" style="254" customWidth="1"/>
    <col min="2559" max="2559" width="5.28125" style="254" customWidth="1"/>
    <col min="2560" max="2560" width="6.00390625" style="254" customWidth="1"/>
    <col min="2561" max="2561" width="9.140625" style="254" customWidth="1"/>
    <col min="2562" max="2562" width="38.8515625" style="254" customWidth="1"/>
    <col min="2563" max="2563" width="4.28125" style="254" customWidth="1"/>
    <col min="2564" max="2564" width="10.28125" style="254" customWidth="1"/>
    <col min="2565" max="2565" width="13.8515625" style="254" customWidth="1"/>
    <col min="2566" max="2566" width="16.421875" style="254" customWidth="1"/>
    <col min="2567" max="2568" width="11.8515625" style="254" customWidth="1"/>
    <col min="2569" max="2814" width="8.140625" style="254" customWidth="1"/>
    <col min="2815" max="2815" width="5.28125" style="254" customWidth="1"/>
    <col min="2816" max="2816" width="6.00390625" style="254" customWidth="1"/>
    <col min="2817" max="2817" width="9.140625" style="254" customWidth="1"/>
    <col min="2818" max="2818" width="38.8515625" style="254" customWidth="1"/>
    <col min="2819" max="2819" width="4.28125" style="254" customWidth="1"/>
    <col min="2820" max="2820" width="10.28125" style="254" customWidth="1"/>
    <col min="2821" max="2821" width="13.8515625" style="254" customWidth="1"/>
    <col min="2822" max="2822" width="16.421875" style="254" customWidth="1"/>
    <col min="2823" max="2824" width="11.8515625" style="254" customWidth="1"/>
    <col min="2825" max="3070" width="8.140625" style="254" customWidth="1"/>
    <col min="3071" max="3071" width="5.28125" style="254" customWidth="1"/>
    <col min="3072" max="3072" width="6.00390625" style="254" customWidth="1"/>
    <col min="3073" max="3073" width="9.140625" style="254" customWidth="1"/>
    <col min="3074" max="3074" width="38.8515625" style="254" customWidth="1"/>
    <col min="3075" max="3075" width="4.28125" style="254" customWidth="1"/>
    <col min="3076" max="3076" width="10.28125" style="254" customWidth="1"/>
    <col min="3077" max="3077" width="13.8515625" style="254" customWidth="1"/>
    <col min="3078" max="3078" width="16.421875" style="254" customWidth="1"/>
    <col min="3079" max="3080" width="11.8515625" style="254" customWidth="1"/>
    <col min="3081" max="3326" width="8.140625" style="254" customWidth="1"/>
    <col min="3327" max="3327" width="5.28125" style="254" customWidth="1"/>
    <col min="3328" max="3328" width="6.00390625" style="254" customWidth="1"/>
    <col min="3329" max="3329" width="9.140625" style="254" customWidth="1"/>
    <col min="3330" max="3330" width="38.8515625" style="254" customWidth="1"/>
    <col min="3331" max="3331" width="4.28125" style="254" customWidth="1"/>
    <col min="3332" max="3332" width="10.28125" style="254" customWidth="1"/>
    <col min="3333" max="3333" width="13.8515625" style="254" customWidth="1"/>
    <col min="3334" max="3334" width="16.421875" style="254" customWidth="1"/>
    <col min="3335" max="3336" width="11.8515625" style="254" customWidth="1"/>
    <col min="3337" max="3582" width="8.140625" style="254" customWidth="1"/>
    <col min="3583" max="3583" width="5.28125" style="254" customWidth="1"/>
    <col min="3584" max="3584" width="6.00390625" style="254" customWidth="1"/>
    <col min="3585" max="3585" width="9.140625" style="254" customWidth="1"/>
    <col min="3586" max="3586" width="38.8515625" style="254" customWidth="1"/>
    <col min="3587" max="3587" width="4.28125" style="254" customWidth="1"/>
    <col min="3588" max="3588" width="10.28125" style="254" customWidth="1"/>
    <col min="3589" max="3589" width="13.8515625" style="254" customWidth="1"/>
    <col min="3590" max="3590" width="16.421875" style="254" customWidth="1"/>
    <col min="3591" max="3592" width="11.8515625" style="254" customWidth="1"/>
    <col min="3593" max="3838" width="8.140625" style="254" customWidth="1"/>
    <col min="3839" max="3839" width="5.28125" style="254" customWidth="1"/>
    <col min="3840" max="3840" width="6.00390625" style="254" customWidth="1"/>
    <col min="3841" max="3841" width="9.140625" style="254" customWidth="1"/>
    <col min="3842" max="3842" width="38.8515625" style="254" customWidth="1"/>
    <col min="3843" max="3843" width="4.28125" style="254" customWidth="1"/>
    <col min="3844" max="3844" width="10.28125" style="254" customWidth="1"/>
    <col min="3845" max="3845" width="13.8515625" style="254" customWidth="1"/>
    <col min="3846" max="3846" width="16.421875" style="254" customWidth="1"/>
    <col min="3847" max="3848" width="11.8515625" style="254" customWidth="1"/>
    <col min="3849" max="4094" width="8.140625" style="254" customWidth="1"/>
    <col min="4095" max="4095" width="5.28125" style="254" customWidth="1"/>
    <col min="4096" max="4096" width="6.00390625" style="254" customWidth="1"/>
    <col min="4097" max="4097" width="9.140625" style="254" customWidth="1"/>
    <col min="4098" max="4098" width="38.8515625" style="254" customWidth="1"/>
    <col min="4099" max="4099" width="4.28125" style="254" customWidth="1"/>
    <col min="4100" max="4100" width="10.28125" style="254" customWidth="1"/>
    <col min="4101" max="4101" width="13.8515625" style="254" customWidth="1"/>
    <col min="4102" max="4102" width="16.421875" style="254" customWidth="1"/>
    <col min="4103" max="4104" width="11.8515625" style="254" customWidth="1"/>
    <col min="4105" max="4350" width="8.140625" style="254" customWidth="1"/>
    <col min="4351" max="4351" width="5.28125" style="254" customWidth="1"/>
    <col min="4352" max="4352" width="6.00390625" style="254" customWidth="1"/>
    <col min="4353" max="4353" width="9.140625" style="254" customWidth="1"/>
    <col min="4354" max="4354" width="38.8515625" style="254" customWidth="1"/>
    <col min="4355" max="4355" width="4.28125" style="254" customWidth="1"/>
    <col min="4356" max="4356" width="10.28125" style="254" customWidth="1"/>
    <col min="4357" max="4357" width="13.8515625" style="254" customWidth="1"/>
    <col min="4358" max="4358" width="16.421875" style="254" customWidth="1"/>
    <col min="4359" max="4360" width="11.8515625" style="254" customWidth="1"/>
    <col min="4361" max="4606" width="8.140625" style="254" customWidth="1"/>
    <col min="4607" max="4607" width="5.28125" style="254" customWidth="1"/>
    <col min="4608" max="4608" width="6.00390625" style="254" customWidth="1"/>
    <col min="4609" max="4609" width="9.140625" style="254" customWidth="1"/>
    <col min="4610" max="4610" width="38.8515625" style="254" customWidth="1"/>
    <col min="4611" max="4611" width="4.28125" style="254" customWidth="1"/>
    <col min="4612" max="4612" width="10.28125" style="254" customWidth="1"/>
    <col min="4613" max="4613" width="13.8515625" style="254" customWidth="1"/>
    <col min="4614" max="4614" width="16.421875" style="254" customWidth="1"/>
    <col min="4615" max="4616" width="11.8515625" style="254" customWidth="1"/>
    <col min="4617" max="4862" width="8.140625" style="254" customWidth="1"/>
    <col min="4863" max="4863" width="5.28125" style="254" customWidth="1"/>
    <col min="4864" max="4864" width="6.00390625" style="254" customWidth="1"/>
    <col min="4865" max="4865" width="9.140625" style="254" customWidth="1"/>
    <col min="4866" max="4866" width="38.8515625" style="254" customWidth="1"/>
    <col min="4867" max="4867" width="4.28125" style="254" customWidth="1"/>
    <col min="4868" max="4868" width="10.28125" style="254" customWidth="1"/>
    <col min="4869" max="4869" width="13.8515625" style="254" customWidth="1"/>
    <col min="4870" max="4870" width="16.421875" style="254" customWidth="1"/>
    <col min="4871" max="4872" width="11.8515625" style="254" customWidth="1"/>
    <col min="4873" max="5118" width="8.140625" style="254" customWidth="1"/>
    <col min="5119" max="5119" width="5.28125" style="254" customWidth="1"/>
    <col min="5120" max="5120" width="6.00390625" style="254" customWidth="1"/>
    <col min="5121" max="5121" width="9.140625" style="254" customWidth="1"/>
    <col min="5122" max="5122" width="38.8515625" style="254" customWidth="1"/>
    <col min="5123" max="5123" width="4.28125" style="254" customWidth="1"/>
    <col min="5124" max="5124" width="10.28125" style="254" customWidth="1"/>
    <col min="5125" max="5125" width="13.8515625" style="254" customWidth="1"/>
    <col min="5126" max="5126" width="16.421875" style="254" customWidth="1"/>
    <col min="5127" max="5128" width="11.8515625" style="254" customWidth="1"/>
    <col min="5129" max="5374" width="8.140625" style="254" customWidth="1"/>
    <col min="5375" max="5375" width="5.28125" style="254" customWidth="1"/>
    <col min="5376" max="5376" width="6.00390625" style="254" customWidth="1"/>
    <col min="5377" max="5377" width="9.140625" style="254" customWidth="1"/>
    <col min="5378" max="5378" width="38.8515625" style="254" customWidth="1"/>
    <col min="5379" max="5379" width="4.28125" style="254" customWidth="1"/>
    <col min="5380" max="5380" width="10.28125" style="254" customWidth="1"/>
    <col min="5381" max="5381" width="13.8515625" style="254" customWidth="1"/>
    <col min="5382" max="5382" width="16.421875" style="254" customWidth="1"/>
    <col min="5383" max="5384" width="11.8515625" style="254" customWidth="1"/>
    <col min="5385" max="5630" width="8.140625" style="254" customWidth="1"/>
    <col min="5631" max="5631" width="5.28125" style="254" customWidth="1"/>
    <col min="5632" max="5632" width="6.00390625" style="254" customWidth="1"/>
    <col min="5633" max="5633" width="9.140625" style="254" customWidth="1"/>
    <col min="5634" max="5634" width="38.8515625" style="254" customWidth="1"/>
    <col min="5635" max="5635" width="4.28125" style="254" customWidth="1"/>
    <col min="5636" max="5636" width="10.28125" style="254" customWidth="1"/>
    <col min="5637" max="5637" width="13.8515625" style="254" customWidth="1"/>
    <col min="5638" max="5638" width="16.421875" style="254" customWidth="1"/>
    <col min="5639" max="5640" width="11.8515625" style="254" customWidth="1"/>
    <col min="5641" max="5886" width="8.140625" style="254" customWidth="1"/>
    <col min="5887" max="5887" width="5.28125" style="254" customWidth="1"/>
    <col min="5888" max="5888" width="6.00390625" style="254" customWidth="1"/>
    <col min="5889" max="5889" width="9.140625" style="254" customWidth="1"/>
    <col min="5890" max="5890" width="38.8515625" style="254" customWidth="1"/>
    <col min="5891" max="5891" width="4.28125" style="254" customWidth="1"/>
    <col min="5892" max="5892" width="10.28125" style="254" customWidth="1"/>
    <col min="5893" max="5893" width="13.8515625" style="254" customWidth="1"/>
    <col min="5894" max="5894" width="16.421875" style="254" customWidth="1"/>
    <col min="5895" max="5896" width="11.8515625" style="254" customWidth="1"/>
    <col min="5897" max="6142" width="8.140625" style="254" customWidth="1"/>
    <col min="6143" max="6143" width="5.28125" style="254" customWidth="1"/>
    <col min="6144" max="6144" width="6.00390625" style="254" customWidth="1"/>
    <col min="6145" max="6145" width="9.140625" style="254" customWidth="1"/>
    <col min="6146" max="6146" width="38.8515625" style="254" customWidth="1"/>
    <col min="6147" max="6147" width="4.28125" style="254" customWidth="1"/>
    <col min="6148" max="6148" width="10.28125" style="254" customWidth="1"/>
    <col min="6149" max="6149" width="13.8515625" style="254" customWidth="1"/>
    <col min="6150" max="6150" width="16.421875" style="254" customWidth="1"/>
    <col min="6151" max="6152" width="11.8515625" style="254" customWidth="1"/>
    <col min="6153" max="6398" width="8.140625" style="254" customWidth="1"/>
    <col min="6399" max="6399" width="5.28125" style="254" customWidth="1"/>
    <col min="6400" max="6400" width="6.00390625" style="254" customWidth="1"/>
    <col min="6401" max="6401" width="9.140625" style="254" customWidth="1"/>
    <col min="6402" max="6402" width="38.8515625" style="254" customWidth="1"/>
    <col min="6403" max="6403" width="4.28125" style="254" customWidth="1"/>
    <col min="6404" max="6404" width="10.28125" style="254" customWidth="1"/>
    <col min="6405" max="6405" width="13.8515625" style="254" customWidth="1"/>
    <col min="6406" max="6406" width="16.421875" style="254" customWidth="1"/>
    <col min="6407" max="6408" width="11.8515625" style="254" customWidth="1"/>
    <col min="6409" max="6654" width="8.140625" style="254" customWidth="1"/>
    <col min="6655" max="6655" width="5.28125" style="254" customWidth="1"/>
    <col min="6656" max="6656" width="6.00390625" style="254" customWidth="1"/>
    <col min="6657" max="6657" width="9.140625" style="254" customWidth="1"/>
    <col min="6658" max="6658" width="38.8515625" style="254" customWidth="1"/>
    <col min="6659" max="6659" width="4.28125" style="254" customWidth="1"/>
    <col min="6660" max="6660" width="10.28125" style="254" customWidth="1"/>
    <col min="6661" max="6661" width="13.8515625" style="254" customWidth="1"/>
    <col min="6662" max="6662" width="16.421875" style="254" customWidth="1"/>
    <col min="6663" max="6664" width="11.8515625" style="254" customWidth="1"/>
    <col min="6665" max="6910" width="8.140625" style="254" customWidth="1"/>
    <col min="6911" max="6911" width="5.28125" style="254" customWidth="1"/>
    <col min="6912" max="6912" width="6.00390625" style="254" customWidth="1"/>
    <col min="6913" max="6913" width="9.140625" style="254" customWidth="1"/>
    <col min="6914" max="6914" width="38.8515625" style="254" customWidth="1"/>
    <col min="6915" max="6915" width="4.28125" style="254" customWidth="1"/>
    <col min="6916" max="6916" width="10.28125" style="254" customWidth="1"/>
    <col min="6917" max="6917" width="13.8515625" style="254" customWidth="1"/>
    <col min="6918" max="6918" width="16.421875" style="254" customWidth="1"/>
    <col min="6919" max="6920" width="11.8515625" style="254" customWidth="1"/>
    <col min="6921" max="7166" width="8.140625" style="254" customWidth="1"/>
    <col min="7167" max="7167" width="5.28125" style="254" customWidth="1"/>
    <col min="7168" max="7168" width="6.00390625" style="254" customWidth="1"/>
    <col min="7169" max="7169" width="9.140625" style="254" customWidth="1"/>
    <col min="7170" max="7170" width="38.8515625" style="254" customWidth="1"/>
    <col min="7171" max="7171" width="4.28125" style="254" customWidth="1"/>
    <col min="7172" max="7172" width="10.28125" style="254" customWidth="1"/>
    <col min="7173" max="7173" width="13.8515625" style="254" customWidth="1"/>
    <col min="7174" max="7174" width="16.421875" style="254" customWidth="1"/>
    <col min="7175" max="7176" width="11.8515625" style="254" customWidth="1"/>
    <col min="7177" max="7422" width="8.140625" style="254" customWidth="1"/>
    <col min="7423" max="7423" width="5.28125" style="254" customWidth="1"/>
    <col min="7424" max="7424" width="6.00390625" style="254" customWidth="1"/>
    <col min="7425" max="7425" width="9.140625" style="254" customWidth="1"/>
    <col min="7426" max="7426" width="38.8515625" style="254" customWidth="1"/>
    <col min="7427" max="7427" width="4.28125" style="254" customWidth="1"/>
    <col min="7428" max="7428" width="10.28125" style="254" customWidth="1"/>
    <col min="7429" max="7429" width="13.8515625" style="254" customWidth="1"/>
    <col min="7430" max="7430" width="16.421875" style="254" customWidth="1"/>
    <col min="7431" max="7432" width="11.8515625" style="254" customWidth="1"/>
    <col min="7433" max="7678" width="8.140625" style="254" customWidth="1"/>
    <col min="7679" max="7679" width="5.28125" style="254" customWidth="1"/>
    <col min="7680" max="7680" width="6.00390625" style="254" customWidth="1"/>
    <col min="7681" max="7681" width="9.140625" style="254" customWidth="1"/>
    <col min="7682" max="7682" width="38.8515625" style="254" customWidth="1"/>
    <col min="7683" max="7683" width="4.28125" style="254" customWidth="1"/>
    <col min="7684" max="7684" width="10.28125" style="254" customWidth="1"/>
    <col min="7685" max="7685" width="13.8515625" style="254" customWidth="1"/>
    <col min="7686" max="7686" width="16.421875" style="254" customWidth="1"/>
    <col min="7687" max="7688" width="11.8515625" style="254" customWidth="1"/>
    <col min="7689" max="7934" width="8.140625" style="254" customWidth="1"/>
    <col min="7935" max="7935" width="5.28125" style="254" customWidth="1"/>
    <col min="7936" max="7936" width="6.00390625" style="254" customWidth="1"/>
    <col min="7937" max="7937" width="9.140625" style="254" customWidth="1"/>
    <col min="7938" max="7938" width="38.8515625" style="254" customWidth="1"/>
    <col min="7939" max="7939" width="4.28125" style="254" customWidth="1"/>
    <col min="7940" max="7940" width="10.28125" style="254" customWidth="1"/>
    <col min="7941" max="7941" width="13.8515625" style="254" customWidth="1"/>
    <col min="7942" max="7942" width="16.421875" style="254" customWidth="1"/>
    <col min="7943" max="7944" width="11.8515625" style="254" customWidth="1"/>
    <col min="7945" max="8190" width="8.140625" style="254" customWidth="1"/>
    <col min="8191" max="8191" width="5.28125" style="254" customWidth="1"/>
    <col min="8192" max="8192" width="6.00390625" style="254" customWidth="1"/>
    <col min="8193" max="8193" width="9.140625" style="254" customWidth="1"/>
    <col min="8194" max="8194" width="38.8515625" style="254" customWidth="1"/>
    <col min="8195" max="8195" width="4.28125" style="254" customWidth="1"/>
    <col min="8196" max="8196" width="10.28125" style="254" customWidth="1"/>
    <col min="8197" max="8197" width="13.8515625" style="254" customWidth="1"/>
    <col min="8198" max="8198" width="16.421875" style="254" customWidth="1"/>
    <col min="8199" max="8200" width="11.8515625" style="254" customWidth="1"/>
    <col min="8201" max="8446" width="8.140625" style="254" customWidth="1"/>
    <col min="8447" max="8447" width="5.28125" style="254" customWidth="1"/>
    <col min="8448" max="8448" width="6.00390625" style="254" customWidth="1"/>
    <col min="8449" max="8449" width="9.140625" style="254" customWidth="1"/>
    <col min="8450" max="8450" width="38.8515625" style="254" customWidth="1"/>
    <col min="8451" max="8451" width="4.28125" style="254" customWidth="1"/>
    <col min="8452" max="8452" width="10.28125" style="254" customWidth="1"/>
    <col min="8453" max="8453" width="13.8515625" style="254" customWidth="1"/>
    <col min="8454" max="8454" width="16.421875" style="254" customWidth="1"/>
    <col min="8455" max="8456" width="11.8515625" style="254" customWidth="1"/>
    <col min="8457" max="8702" width="8.140625" style="254" customWidth="1"/>
    <col min="8703" max="8703" width="5.28125" style="254" customWidth="1"/>
    <col min="8704" max="8704" width="6.00390625" style="254" customWidth="1"/>
    <col min="8705" max="8705" width="9.140625" style="254" customWidth="1"/>
    <col min="8706" max="8706" width="38.8515625" style="254" customWidth="1"/>
    <col min="8707" max="8707" width="4.28125" style="254" customWidth="1"/>
    <col min="8708" max="8708" width="10.28125" style="254" customWidth="1"/>
    <col min="8709" max="8709" width="13.8515625" style="254" customWidth="1"/>
    <col min="8710" max="8710" width="16.421875" style="254" customWidth="1"/>
    <col min="8711" max="8712" width="11.8515625" style="254" customWidth="1"/>
    <col min="8713" max="8958" width="8.140625" style="254" customWidth="1"/>
    <col min="8959" max="8959" width="5.28125" style="254" customWidth="1"/>
    <col min="8960" max="8960" width="6.00390625" style="254" customWidth="1"/>
    <col min="8961" max="8961" width="9.140625" style="254" customWidth="1"/>
    <col min="8962" max="8962" width="38.8515625" style="254" customWidth="1"/>
    <col min="8963" max="8963" width="4.28125" style="254" customWidth="1"/>
    <col min="8964" max="8964" width="10.28125" style="254" customWidth="1"/>
    <col min="8965" max="8965" width="13.8515625" style="254" customWidth="1"/>
    <col min="8966" max="8966" width="16.421875" style="254" customWidth="1"/>
    <col min="8967" max="8968" width="11.8515625" style="254" customWidth="1"/>
    <col min="8969" max="9214" width="8.140625" style="254" customWidth="1"/>
    <col min="9215" max="9215" width="5.28125" style="254" customWidth="1"/>
    <col min="9216" max="9216" width="6.00390625" style="254" customWidth="1"/>
    <col min="9217" max="9217" width="9.140625" style="254" customWidth="1"/>
    <col min="9218" max="9218" width="38.8515625" style="254" customWidth="1"/>
    <col min="9219" max="9219" width="4.28125" style="254" customWidth="1"/>
    <col min="9220" max="9220" width="10.28125" style="254" customWidth="1"/>
    <col min="9221" max="9221" width="13.8515625" style="254" customWidth="1"/>
    <col min="9222" max="9222" width="16.421875" style="254" customWidth="1"/>
    <col min="9223" max="9224" width="11.8515625" style="254" customWidth="1"/>
    <col min="9225" max="9470" width="8.140625" style="254" customWidth="1"/>
    <col min="9471" max="9471" width="5.28125" style="254" customWidth="1"/>
    <col min="9472" max="9472" width="6.00390625" style="254" customWidth="1"/>
    <col min="9473" max="9473" width="9.140625" style="254" customWidth="1"/>
    <col min="9474" max="9474" width="38.8515625" style="254" customWidth="1"/>
    <col min="9475" max="9475" width="4.28125" style="254" customWidth="1"/>
    <col min="9476" max="9476" width="10.28125" style="254" customWidth="1"/>
    <col min="9477" max="9477" width="13.8515625" style="254" customWidth="1"/>
    <col min="9478" max="9478" width="16.421875" style="254" customWidth="1"/>
    <col min="9479" max="9480" width="11.8515625" style="254" customWidth="1"/>
    <col min="9481" max="9726" width="8.140625" style="254" customWidth="1"/>
    <col min="9727" max="9727" width="5.28125" style="254" customWidth="1"/>
    <col min="9728" max="9728" width="6.00390625" style="254" customWidth="1"/>
    <col min="9729" max="9729" width="9.140625" style="254" customWidth="1"/>
    <col min="9730" max="9730" width="38.8515625" style="254" customWidth="1"/>
    <col min="9731" max="9731" width="4.28125" style="254" customWidth="1"/>
    <col min="9732" max="9732" width="10.28125" style="254" customWidth="1"/>
    <col min="9733" max="9733" width="13.8515625" style="254" customWidth="1"/>
    <col min="9734" max="9734" width="16.421875" style="254" customWidth="1"/>
    <col min="9735" max="9736" width="11.8515625" style="254" customWidth="1"/>
    <col min="9737" max="9982" width="8.140625" style="254" customWidth="1"/>
    <col min="9983" max="9983" width="5.28125" style="254" customWidth="1"/>
    <col min="9984" max="9984" width="6.00390625" style="254" customWidth="1"/>
    <col min="9985" max="9985" width="9.140625" style="254" customWidth="1"/>
    <col min="9986" max="9986" width="38.8515625" style="254" customWidth="1"/>
    <col min="9987" max="9987" width="4.28125" style="254" customWidth="1"/>
    <col min="9988" max="9988" width="10.28125" style="254" customWidth="1"/>
    <col min="9989" max="9989" width="13.8515625" style="254" customWidth="1"/>
    <col min="9990" max="9990" width="16.421875" style="254" customWidth="1"/>
    <col min="9991" max="9992" width="11.8515625" style="254" customWidth="1"/>
    <col min="9993" max="10238" width="8.140625" style="254" customWidth="1"/>
    <col min="10239" max="10239" width="5.28125" style="254" customWidth="1"/>
    <col min="10240" max="10240" width="6.00390625" style="254" customWidth="1"/>
    <col min="10241" max="10241" width="9.140625" style="254" customWidth="1"/>
    <col min="10242" max="10242" width="38.8515625" style="254" customWidth="1"/>
    <col min="10243" max="10243" width="4.28125" style="254" customWidth="1"/>
    <col min="10244" max="10244" width="10.28125" style="254" customWidth="1"/>
    <col min="10245" max="10245" width="13.8515625" style="254" customWidth="1"/>
    <col min="10246" max="10246" width="16.421875" style="254" customWidth="1"/>
    <col min="10247" max="10248" width="11.8515625" style="254" customWidth="1"/>
    <col min="10249" max="10494" width="8.140625" style="254" customWidth="1"/>
    <col min="10495" max="10495" width="5.28125" style="254" customWidth="1"/>
    <col min="10496" max="10496" width="6.00390625" style="254" customWidth="1"/>
    <col min="10497" max="10497" width="9.140625" style="254" customWidth="1"/>
    <col min="10498" max="10498" width="38.8515625" style="254" customWidth="1"/>
    <col min="10499" max="10499" width="4.28125" style="254" customWidth="1"/>
    <col min="10500" max="10500" width="10.28125" style="254" customWidth="1"/>
    <col min="10501" max="10501" width="13.8515625" style="254" customWidth="1"/>
    <col min="10502" max="10502" width="16.421875" style="254" customWidth="1"/>
    <col min="10503" max="10504" width="11.8515625" style="254" customWidth="1"/>
    <col min="10505" max="10750" width="8.140625" style="254" customWidth="1"/>
    <col min="10751" max="10751" width="5.28125" style="254" customWidth="1"/>
    <col min="10752" max="10752" width="6.00390625" style="254" customWidth="1"/>
    <col min="10753" max="10753" width="9.140625" style="254" customWidth="1"/>
    <col min="10754" max="10754" width="38.8515625" style="254" customWidth="1"/>
    <col min="10755" max="10755" width="4.28125" style="254" customWidth="1"/>
    <col min="10756" max="10756" width="10.28125" style="254" customWidth="1"/>
    <col min="10757" max="10757" width="13.8515625" style="254" customWidth="1"/>
    <col min="10758" max="10758" width="16.421875" style="254" customWidth="1"/>
    <col min="10759" max="10760" width="11.8515625" style="254" customWidth="1"/>
    <col min="10761" max="11006" width="8.140625" style="254" customWidth="1"/>
    <col min="11007" max="11007" width="5.28125" style="254" customWidth="1"/>
    <col min="11008" max="11008" width="6.00390625" style="254" customWidth="1"/>
    <col min="11009" max="11009" width="9.140625" style="254" customWidth="1"/>
    <col min="11010" max="11010" width="38.8515625" style="254" customWidth="1"/>
    <col min="11011" max="11011" width="4.28125" style="254" customWidth="1"/>
    <col min="11012" max="11012" width="10.28125" style="254" customWidth="1"/>
    <col min="11013" max="11013" width="13.8515625" style="254" customWidth="1"/>
    <col min="11014" max="11014" width="16.421875" style="254" customWidth="1"/>
    <col min="11015" max="11016" width="11.8515625" style="254" customWidth="1"/>
    <col min="11017" max="11262" width="8.140625" style="254" customWidth="1"/>
    <col min="11263" max="11263" width="5.28125" style="254" customWidth="1"/>
    <col min="11264" max="11264" width="6.00390625" style="254" customWidth="1"/>
    <col min="11265" max="11265" width="9.140625" style="254" customWidth="1"/>
    <col min="11266" max="11266" width="38.8515625" style="254" customWidth="1"/>
    <col min="11267" max="11267" width="4.28125" style="254" customWidth="1"/>
    <col min="11268" max="11268" width="10.28125" style="254" customWidth="1"/>
    <col min="11269" max="11269" width="13.8515625" style="254" customWidth="1"/>
    <col min="11270" max="11270" width="16.421875" style="254" customWidth="1"/>
    <col min="11271" max="11272" width="11.8515625" style="254" customWidth="1"/>
    <col min="11273" max="11518" width="8.140625" style="254" customWidth="1"/>
    <col min="11519" max="11519" width="5.28125" style="254" customWidth="1"/>
    <col min="11520" max="11520" width="6.00390625" style="254" customWidth="1"/>
    <col min="11521" max="11521" width="9.140625" style="254" customWidth="1"/>
    <col min="11522" max="11522" width="38.8515625" style="254" customWidth="1"/>
    <col min="11523" max="11523" width="4.28125" style="254" customWidth="1"/>
    <col min="11524" max="11524" width="10.28125" style="254" customWidth="1"/>
    <col min="11525" max="11525" width="13.8515625" style="254" customWidth="1"/>
    <col min="11526" max="11526" width="16.421875" style="254" customWidth="1"/>
    <col min="11527" max="11528" width="11.8515625" style="254" customWidth="1"/>
    <col min="11529" max="11774" width="8.140625" style="254" customWidth="1"/>
    <col min="11775" max="11775" width="5.28125" style="254" customWidth="1"/>
    <col min="11776" max="11776" width="6.00390625" style="254" customWidth="1"/>
    <col min="11777" max="11777" width="9.140625" style="254" customWidth="1"/>
    <col min="11778" max="11778" width="38.8515625" style="254" customWidth="1"/>
    <col min="11779" max="11779" width="4.28125" style="254" customWidth="1"/>
    <col min="11780" max="11780" width="10.28125" style="254" customWidth="1"/>
    <col min="11781" max="11781" width="13.8515625" style="254" customWidth="1"/>
    <col min="11782" max="11782" width="16.421875" style="254" customWidth="1"/>
    <col min="11783" max="11784" width="11.8515625" style="254" customWidth="1"/>
    <col min="11785" max="12030" width="8.140625" style="254" customWidth="1"/>
    <col min="12031" max="12031" width="5.28125" style="254" customWidth="1"/>
    <col min="12032" max="12032" width="6.00390625" style="254" customWidth="1"/>
    <col min="12033" max="12033" width="9.140625" style="254" customWidth="1"/>
    <col min="12034" max="12034" width="38.8515625" style="254" customWidth="1"/>
    <col min="12035" max="12035" width="4.28125" style="254" customWidth="1"/>
    <col min="12036" max="12036" width="10.28125" style="254" customWidth="1"/>
    <col min="12037" max="12037" width="13.8515625" style="254" customWidth="1"/>
    <col min="12038" max="12038" width="16.421875" style="254" customWidth="1"/>
    <col min="12039" max="12040" width="11.8515625" style="254" customWidth="1"/>
    <col min="12041" max="12286" width="8.140625" style="254" customWidth="1"/>
    <col min="12287" max="12287" width="5.28125" style="254" customWidth="1"/>
    <col min="12288" max="12288" width="6.00390625" style="254" customWidth="1"/>
    <col min="12289" max="12289" width="9.140625" style="254" customWidth="1"/>
    <col min="12290" max="12290" width="38.8515625" style="254" customWidth="1"/>
    <col min="12291" max="12291" width="4.28125" style="254" customWidth="1"/>
    <col min="12292" max="12292" width="10.28125" style="254" customWidth="1"/>
    <col min="12293" max="12293" width="13.8515625" style="254" customWidth="1"/>
    <col min="12294" max="12294" width="16.421875" style="254" customWidth="1"/>
    <col min="12295" max="12296" width="11.8515625" style="254" customWidth="1"/>
    <col min="12297" max="12542" width="8.140625" style="254" customWidth="1"/>
    <col min="12543" max="12543" width="5.28125" style="254" customWidth="1"/>
    <col min="12544" max="12544" width="6.00390625" style="254" customWidth="1"/>
    <col min="12545" max="12545" width="9.140625" style="254" customWidth="1"/>
    <col min="12546" max="12546" width="38.8515625" style="254" customWidth="1"/>
    <col min="12547" max="12547" width="4.28125" style="254" customWidth="1"/>
    <col min="12548" max="12548" width="10.28125" style="254" customWidth="1"/>
    <col min="12549" max="12549" width="13.8515625" style="254" customWidth="1"/>
    <col min="12550" max="12550" width="16.421875" style="254" customWidth="1"/>
    <col min="12551" max="12552" width="11.8515625" style="254" customWidth="1"/>
    <col min="12553" max="12798" width="8.140625" style="254" customWidth="1"/>
    <col min="12799" max="12799" width="5.28125" style="254" customWidth="1"/>
    <col min="12800" max="12800" width="6.00390625" style="254" customWidth="1"/>
    <col min="12801" max="12801" width="9.140625" style="254" customWidth="1"/>
    <col min="12802" max="12802" width="38.8515625" style="254" customWidth="1"/>
    <col min="12803" max="12803" width="4.28125" style="254" customWidth="1"/>
    <col min="12804" max="12804" width="10.28125" style="254" customWidth="1"/>
    <col min="12805" max="12805" width="13.8515625" style="254" customWidth="1"/>
    <col min="12806" max="12806" width="16.421875" style="254" customWidth="1"/>
    <col min="12807" max="12808" width="11.8515625" style="254" customWidth="1"/>
    <col min="12809" max="13054" width="8.140625" style="254" customWidth="1"/>
    <col min="13055" max="13055" width="5.28125" style="254" customWidth="1"/>
    <col min="13056" max="13056" width="6.00390625" style="254" customWidth="1"/>
    <col min="13057" max="13057" width="9.140625" style="254" customWidth="1"/>
    <col min="13058" max="13058" width="38.8515625" style="254" customWidth="1"/>
    <col min="13059" max="13059" width="4.28125" style="254" customWidth="1"/>
    <col min="13060" max="13060" width="10.28125" style="254" customWidth="1"/>
    <col min="13061" max="13061" width="13.8515625" style="254" customWidth="1"/>
    <col min="13062" max="13062" width="16.421875" style="254" customWidth="1"/>
    <col min="13063" max="13064" width="11.8515625" style="254" customWidth="1"/>
    <col min="13065" max="13310" width="8.140625" style="254" customWidth="1"/>
    <col min="13311" max="13311" width="5.28125" style="254" customWidth="1"/>
    <col min="13312" max="13312" width="6.00390625" style="254" customWidth="1"/>
    <col min="13313" max="13313" width="9.140625" style="254" customWidth="1"/>
    <col min="13314" max="13314" width="38.8515625" style="254" customWidth="1"/>
    <col min="13315" max="13315" width="4.28125" style="254" customWidth="1"/>
    <col min="13316" max="13316" width="10.28125" style="254" customWidth="1"/>
    <col min="13317" max="13317" width="13.8515625" style="254" customWidth="1"/>
    <col min="13318" max="13318" width="16.421875" style="254" customWidth="1"/>
    <col min="13319" max="13320" width="11.8515625" style="254" customWidth="1"/>
    <col min="13321" max="13566" width="8.140625" style="254" customWidth="1"/>
    <col min="13567" max="13567" width="5.28125" style="254" customWidth="1"/>
    <col min="13568" max="13568" width="6.00390625" style="254" customWidth="1"/>
    <col min="13569" max="13569" width="9.140625" style="254" customWidth="1"/>
    <col min="13570" max="13570" width="38.8515625" style="254" customWidth="1"/>
    <col min="13571" max="13571" width="4.28125" style="254" customWidth="1"/>
    <col min="13572" max="13572" width="10.28125" style="254" customWidth="1"/>
    <col min="13573" max="13573" width="13.8515625" style="254" customWidth="1"/>
    <col min="13574" max="13574" width="16.421875" style="254" customWidth="1"/>
    <col min="13575" max="13576" width="11.8515625" style="254" customWidth="1"/>
    <col min="13577" max="13822" width="8.140625" style="254" customWidth="1"/>
    <col min="13823" max="13823" width="5.28125" style="254" customWidth="1"/>
    <col min="13824" max="13824" width="6.00390625" style="254" customWidth="1"/>
    <col min="13825" max="13825" width="9.140625" style="254" customWidth="1"/>
    <col min="13826" max="13826" width="38.8515625" style="254" customWidth="1"/>
    <col min="13827" max="13827" width="4.28125" style="254" customWidth="1"/>
    <col min="13828" max="13828" width="10.28125" style="254" customWidth="1"/>
    <col min="13829" max="13829" width="13.8515625" style="254" customWidth="1"/>
    <col min="13830" max="13830" width="16.421875" style="254" customWidth="1"/>
    <col min="13831" max="13832" width="11.8515625" style="254" customWidth="1"/>
    <col min="13833" max="14078" width="8.140625" style="254" customWidth="1"/>
    <col min="14079" max="14079" width="5.28125" style="254" customWidth="1"/>
    <col min="14080" max="14080" width="6.00390625" style="254" customWidth="1"/>
    <col min="14081" max="14081" width="9.140625" style="254" customWidth="1"/>
    <col min="14082" max="14082" width="38.8515625" style="254" customWidth="1"/>
    <col min="14083" max="14083" width="4.28125" style="254" customWidth="1"/>
    <col min="14084" max="14084" width="10.28125" style="254" customWidth="1"/>
    <col min="14085" max="14085" width="13.8515625" style="254" customWidth="1"/>
    <col min="14086" max="14086" width="16.421875" style="254" customWidth="1"/>
    <col min="14087" max="14088" width="11.8515625" style="254" customWidth="1"/>
    <col min="14089" max="14334" width="8.140625" style="254" customWidth="1"/>
    <col min="14335" max="14335" width="5.28125" style="254" customWidth="1"/>
    <col min="14336" max="14336" width="6.00390625" style="254" customWidth="1"/>
    <col min="14337" max="14337" width="9.140625" style="254" customWidth="1"/>
    <col min="14338" max="14338" width="38.8515625" style="254" customWidth="1"/>
    <col min="14339" max="14339" width="4.28125" style="254" customWidth="1"/>
    <col min="14340" max="14340" width="10.28125" style="254" customWidth="1"/>
    <col min="14341" max="14341" width="13.8515625" style="254" customWidth="1"/>
    <col min="14342" max="14342" width="16.421875" style="254" customWidth="1"/>
    <col min="14343" max="14344" width="11.8515625" style="254" customWidth="1"/>
    <col min="14345" max="14590" width="8.140625" style="254" customWidth="1"/>
    <col min="14591" max="14591" width="5.28125" style="254" customWidth="1"/>
    <col min="14592" max="14592" width="6.00390625" style="254" customWidth="1"/>
    <col min="14593" max="14593" width="9.140625" style="254" customWidth="1"/>
    <col min="14594" max="14594" width="38.8515625" style="254" customWidth="1"/>
    <col min="14595" max="14595" width="4.28125" style="254" customWidth="1"/>
    <col min="14596" max="14596" width="10.28125" style="254" customWidth="1"/>
    <col min="14597" max="14597" width="13.8515625" style="254" customWidth="1"/>
    <col min="14598" max="14598" width="16.421875" style="254" customWidth="1"/>
    <col min="14599" max="14600" width="11.8515625" style="254" customWidth="1"/>
    <col min="14601" max="14846" width="8.140625" style="254" customWidth="1"/>
    <col min="14847" max="14847" width="5.28125" style="254" customWidth="1"/>
    <col min="14848" max="14848" width="6.00390625" style="254" customWidth="1"/>
    <col min="14849" max="14849" width="9.140625" style="254" customWidth="1"/>
    <col min="14850" max="14850" width="38.8515625" style="254" customWidth="1"/>
    <col min="14851" max="14851" width="4.28125" style="254" customWidth="1"/>
    <col min="14852" max="14852" width="10.28125" style="254" customWidth="1"/>
    <col min="14853" max="14853" width="13.8515625" style="254" customWidth="1"/>
    <col min="14854" max="14854" width="16.421875" style="254" customWidth="1"/>
    <col min="14855" max="14856" width="11.8515625" style="254" customWidth="1"/>
    <col min="14857" max="15102" width="8.140625" style="254" customWidth="1"/>
    <col min="15103" max="15103" width="5.28125" style="254" customWidth="1"/>
    <col min="15104" max="15104" width="6.00390625" style="254" customWidth="1"/>
    <col min="15105" max="15105" width="9.140625" style="254" customWidth="1"/>
    <col min="15106" max="15106" width="38.8515625" style="254" customWidth="1"/>
    <col min="15107" max="15107" width="4.28125" style="254" customWidth="1"/>
    <col min="15108" max="15108" width="10.28125" style="254" customWidth="1"/>
    <col min="15109" max="15109" width="13.8515625" style="254" customWidth="1"/>
    <col min="15110" max="15110" width="16.421875" style="254" customWidth="1"/>
    <col min="15111" max="15112" width="11.8515625" style="254" customWidth="1"/>
    <col min="15113" max="15358" width="8.140625" style="254" customWidth="1"/>
    <col min="15359" max="15359" width="5.28125" style="254" customWidth="1"/>
    <col min="15360" max="15360" width="6.00390625" style="254" customWidth="1"/>
    <col min="15361" max="15361" width="9.140625" style="254" customWidth="1"/>
    <col min="15362" max="15362" width="38.8515625" style="254" customWidth="1"/>
    <col min="15363" max="15363" width="4.28125" style="254" customWidth="1"/>
    <col min="15364" max="15364" width="10.28125" style="254" customWidth="1"/>
    <col min="15365" max="15365" width="13.8515625" style="254" customWidth="1"/>
    <col min="15366" max="15366" width="16.421875" style="254" customWidth="1"/>
    <col min="15367" max="15368" width="11.8515625" style="254" customWidth="1"/>
    <col min="15369" max="15614" width="8.140625" style="254" customWidth="1"/>
    <col min="15615" max="15615" width="5.28125" style="254" customWidth="1"/>
    <col min="15616" max="15616" width="6.00390625" style="254" customWidth="1"/>
    <col min="15617" max="15617" width="9.140625" style="254" customWidth="1"/>
    <col min="15618" max="15618" width="38.8515625" style="254" customWidth="1"/>
    <col min="15619" max="15619" width="4.28125" style="254" customWidth="1"/>
    <col min="15620" max="15620" width="10.28125" style="254" customWidth="1"/>
    <col min="15621" max="15621" width="13.8515625" style="254" customWidth="1"/>
    <col min="15622" max="15622" width="16.421875" style="254" customWidth="1"/>
    <col min="15623" max="15624" width="11.8515625" style="254" customWidth="1"/>
    <col min="15625" max="15870" width="8.140625" style="254" customWidth="1"/>
    <col min="15871" max="15871" width="5.28125" style="254" customWidth="1"/>
    <col min="15872" max="15872" width="6.00390625" style="254" customWidth="1"/>
    <col min="15873" max="15873" width="9.140625" style="254" customWidth="1"/>
    <col min="15874" max="15874" width="38.8515625" style="254" customWidth="1"/>
    <col min="15875" max="15875" width="4.28125" style="254" customWidth="1"/>
    <col min="15876" max="15876" width="10.28125" style="254" customWidth="1"/>
    <col min="15877" max="15877" width="13.8515625" style="254" customWidth="1"/>
    <col min="15878" max="15878" width="16.421875" style="254" customWidth="1"/>
    <col min="15879" max="15880" width="11.8515625" style="254" customWidth="1"/>
    <col min="15881" max="16126" width="8.140625" style="254" customWidth="1"/>
    <col min="16127" max="16127" width="5.28125" style="254" customWidth="1"/>
    <col min="16128" max="16128" width="6.00390625" style="254" customWidth="1"/>
    <col min="16129" max="16129" width="9.140625" style="254" customWidth="1"/>
    <col min="16130" max="16130" width="38.8515625" style="254" customWidth="1"/>
    <col min="16131" max="16131" width="4.28125" style="254" customWidth="1"/>
    <col min="16132" max="16132" width="10.28125" style="254" customWidth="1"/>
    <col min="16133" max="16133" width="13.8515625" style="254" customWidth="1"/>
    <col min="16134" max="16134" width="16.421875" style="254" customWidth="1"/>
    <col min="16135" max="16136" width="11.8515625" style="254" customWidth="1"/>
    <col min="16137" max="16384" width="8.140625" style="254" customWidth="1"/>
  </cols>
  <sheetData>
    <row r="1" spans="1:8" s="255" customFormat="1" ht="18" customHeight="1">
      <c r="A1" s="309" t="s">
        <v>1457</v>
      </c>
      <c r="B1" s="309"/>
      <c r="C1" s="309"/>
      <c r="D1" s="309"/>
      <c r="E1" s="309"/>
      <c r="F1" s="310"/>
      <c r="G1" s="309"/>
      <c r="H1" s="309"/>
    </row>
    <row r="2" spans="1:8" s="255" customFormat="1" ht="13.5" customHeight="1">
      <c r="A2" s="256" t="s">
        <v>1458</v>
      </c>
      <c r="B2" s="256"/>
      <c r="C2" s="256"/>
      <c r="D2" s="256"/>
      <c r="E2" s="256"/>
      <c r="F2" s="257"/>
      <c r="G2" s="256"/>
      <c r="H2" s="256"/>
    </row>
    <row r="3" spans="1:8" s="255" customFormat="1" ht="13.5" customHeight="1">
      <c r="A3" s="256" t="s">
        <v>1459</v>
      </c>
      <c r="B3" s="256"/>
      <c r="C3" s="256"/>
      <c r="D3" s="256"/>
      <c r="E3" s="256"/>
      <c r="F3" s="257"/>
      <c r="G3" s="256"/>
      <c r="H3" s="256"/>
    </row>
    <row r="4" spans="1:8" s="255" customFormat="1" ht="13.5" customHeight="1">
      <c r="A4" s="258"/>
      <c r="B4" s="256"/>
      <c r="C4" s="258"/>
      <c r="D4" s="256"/>
      <c r="E4" s="256"/>
      <c r="F4" s="257"/>
      <c r="G4" s="256"/>
      <c r="H4" s="256"/>
    </row>
    <row r="5" spans="1:8" s="255" customFormat="1" ht="13.5" customHeight="1">
      <c r="A5" s="259"/>
      <c r="B5" s="259"/>
      <c r="C5" s="259"/>
      <c r="D5" s="259"/>
      <c r="E5" s="259"/>
      <c r="F5" s="254"/>
      <c r="G5" s="260"/>
      <c r="H5" s="259"/>
    </row>
    <row r="6" spans="1:8" s="255" customFormat="1" ht="13.5" customHeight="1">
      <c r="A6" s="261" t="s">
        <v>1460</v>
      </c>
      <c r="B6" s="262"/>
      <c r="C6" s="262"/>
      <c r="D6" s="262"/>
      <c r="E6" s="262"/>
      <c r="F6" s="263"/>
      <c r="G6" s="264"/>
      <c r="H6" s="264"/>
    </row>
    <row r="7" spans="1:8" s="255" customFormat="1" ht="13.5" customHeight="1">
      <c r="A7" s="261" t="s">
        <v>1461</v>
      </c>
      <c r="B7" s="262"/>
      <c r="C7" s="262"/>
      <c r="D7" s="262"/>
      <c r="E7" s="262"/>
      <c r="F7" s="263"/>
      <c r="G7" s="261" t="s">
        <v>1462</v>
      </c>
      <c r="H7" s="264"/>
    </row>
    <row r="8" spans="1:8" s="255" customFormat="1" ht="13.5" customHeight="1">
      <c r="A8" s="261" t="s">
        <v>1463</v>
      </c>
      <c r="B8" s="262"/>
      <c r="C8" s="262"/>
      <c r="D8" s="262"/>
      <c r="E8" s="262"/>
      <c r="F8" s="263"/>
      <c r="G8" s="261" t="s">
        <v>1464</v>
      </c>
      <c r="H8" s="264"/>
    </row>
    <row r="9" spans="1:8" s="255" customFormat="1" ht="13.5" customHeight="1">
      <c r="A9" s="260"/>
      <c r="B9" s="260"/>
      <c r="C9" s="260"/>
      <c r="D9" s="260"/>
      <c r="E9" s="260"/>
      <c r="F9" s="254"/>
      <c r="G9" s="260"/>
      <c r="H9" s="260"/>
    </row>
    <row r="10" spans="1:8" s="255" customFormat="1" ht="24" customHeight="1">
      <c r="A10" s="265" t="s">
        <v>1465</v>
      </c>
      <c r="B10" s="265" t="s">
        <v>1466</v>
      </c>
      <c r="C10" s="265" t="s">
        <v>1467</v>
      </c>
      <c r="D10" s="265" t="s">
        <v>1</v>
      </c>
      <c r="E10" s="265" t="s">
        <v>30</v>
      </c>
      <c r="F10" s="266" t="s">
        <v>1468</v>
      </c>
      <c r="G10" s="265" t="s">
        <v>1469</v>
      </c>
      <c r="H10" s="265" t="s">
        <v>1470</v>
      </c>
    </row>
    <row r="11" spans="1:8" s="255" customFormat="1" ht="13.5" customHeight="1">
      <c r="A11" s="265" t="s">
        <v>1471</v>
      </c>
      <c r="B11" s="265" t="s">
        <v>535</v>
      </c>
      <c r="C11" s="265" t="s">
        <v>1472</v>
      </c>
      <c r="D11" s="265" t="s">
        <v>1473</v>
      </c>
      <c r="E11" s="265" t="s">
        <v>1474</v>
      </c>
      <c r="F11" s="267" t="s">
        <v>1475</v>
      </c>
      <c r="G11" s="265" t="s">
        <v>1476</v>
      </c>
      <c r="H11" s="265" t="s">
        <v>1477</v>
      </c>
    </row>
    <row r="12" spans="1:8" s="255" customFormat="1" ht="13.5" customHeight="1">
      <c r="A12" s="260"/>
      <c r="B12" s="260"/>
      <c r="C12" s="260"/>
      <c r="D12" s="260"/>
      <c r="E12" s="260"/>
      <c r="F12" s="254"/>
      <c r="G12" s="260"/>
      <c r="H12" s="260"/>
    </row>
    <row r="13" spans="1:8" s="255" customFormat="1" ht="30.75" customHeight="1">
      <c r="A13" s="268"/>
      <c r="B13" s="269"/>
      <c r="C13" s="269" t="s">
        <v>1478</v>
      </c>
      <c r="D13" s="269" t="s">
        <v>1479</v>
      </c>
      <c r="E13" s="269"/>
      <c r="F13" s="270"/>
      <c r="G13" s="271"/>
      <c r="H13" s="271">
        <f>SUM(H15:H104)</f>
        <v>0</v>
      </c>
    </row>
    <row r="14" spans="1:8" s="255" customFormat="1" ht="28.5" customHeight="1">
      <c r="A14" s="272"/>
      <c r="B14" s="273"/>
      <c r="C14" s="273" t="s">
        <v>1480</v>
      </c>
      <c r="D14" s="273" t="s">
        <v>1481</v>
      </c>
      <c r="E14" s="273"/>
      <c r="F14" s="274"/>
      <c r="G14" s="275"/>
      <c r="H14" s="275"/>
    </row>
    <row r="15" spans="1:8" s="255" customFormat="1" ht="24" customHeight="1">
      <c r="A15" s="276">
        <v>1</v>
      </c>
      <c r="B15" s="277" t="s">
        <v>1482</v>
      </c>
      <c r="C15" s="277" t="s">
        <v>1483</v>
      </c>
      <c r="D15" s="277" t="s">
        <v>1484</v>
      </c>
      <c r="E15" s="277" t="s">
        <v>110</v>
      </c>
      <c r="F15" s="278">
        <v>1</v>
      </c>
      <c r="G15" s="279"/>
      <c r="H15" s="279"/>
    </row>
    <row r="16" spans="1:8" s="255" customFormat="1" ht="20.4">
      <c r="A16" s="280"/>
      <c r="B16" s="281"/>
      <c r="C16" s="281"/>
      <c r="D16" s="281" t="s">
        <v>1485</v>
      </c>
      <c r="E16" s="281"/>
      <c r="F16" s="282"/>
      <c r="G16" s="283"/>
      <c r="H16" s="283"/>
    </row>
    <row r="17" spans="1:8" s="255" customFormat="1" ht="30.6">
      <c r="A17" s="280"/>
      <c r="B17" s="281"/>
      <c r="C17" s="281"/>
      <c r="D17" s="281" t="s">
        <v>1486</v>
      </c>
      <c r="E17" s="281"/>
      <c r="F17" s="282"/>
      <c r="G17" s="283"/>
      <c r="H17" s="283"/>
    </row>
    <row r="18" spans="1:8" s="255" customFormat="1" ht="20.4">
      <c r="A18" s="280"/>
      <c r="B18" s="281"/>
      <c r="C18" s="281"/>
      <c r="D18" s="281" t="s">
        <v>1487</v>
      </c>
      <c r="E18" s="281"/>
      <c r="F18" s="282"/>
      <c r="G18" s="283"/>
      <c r="H18" s="283"/>
    </row>
    <row r="19" spans="1:8" s="255" customFormat="1" ht="20.4">
      <c r="A19" s="280"/>
      <c r="B19" s="281"/>
      <c r="C19" s="281"/>
      <c r="D19" s="281" t="s">
        <v>1488</v>
      </c>
      <c r="E19" s="281"/>
      <c r="F19" s="282">
        <v>1</v>
      </c>
      <c r="G19" s="283"/>
      <c r="H19" s="283"/>
    </row>
    <row r="20" spans="1:8" s="255" customFormat="1" ht="26.4" customHeight="1">
      <c r="A20" s="284"/>
      <c r="B20" s="285"/>
      <c r="C20" s="285"/>
      <c r="D20" s="286" t="s">
        <v>1489</v>
      </c>
      <c r="E20" s="285"/>
      <c r="F20" s="287">
        <v>1</v>
      </c>
      <c r="G20" s="288"/>
      <c r="H20" s="288"/>
    </row>
    <row r="21" spans="1:8" s="255" customFormat="1" ht="28.5" customHeight="1">
      <c r="A21" s="272"/>
      <c r="B21" s="273"/>
      <c r="C21" s="273" t="s">
        <v>1490</v>
      </c>
      <c r="D21" s="289" t="s">
        <v>1491</v>
      </c>
      <c r="E21" s="273"/>
      <c r="F21" s="274"/>
      <c r="G21" s="275"/>
      <c r="H21" s="275"/>
    </row>
    <row r="22" spans="1:8" s="255" customFormat="1" ht="24" customHeight="1">
      <c r="A22" s="272"/>
      <c r="B22" s="273"/>
      <c r="C22" s="273"/>
      <c r="D22" s="273" t="s">
        <v>1492</v>
      </c>
      <c r="E22" s="273"/>
      <c r="F22" s="274"/>
      <c r="G22" s="275"/>
      <c r="H22" s="275"/>
    </row>
    <row r="23" spans="1:8" s="255" customFormat="1" ht="20.4">
      <c r="A23" s="276">
        <v>6</v>
      </c>
      <c r="B23" s="277" t="s">
        <v>1482</v>
      </c>
      <c r="C23" s="277" t="s">
        <v>1493</v>
      </c>
      <c r="D23" s="277" t="s">
        <v>1492</v>
      </c>
      <c r="E23" s="277" t="s">
        <v>110</v>
      </c>
      <c r="F23" s="278">
        <v>1</v>
      </c>
      <c r="G23" s="279"/>
      <c r="H23" s="279"/>
    </row>
    <row r="24" spans="1:8" s="255" customFormat="1" ht="30.6">
      <c r="A24" s="280"/>
      <c r="B24" s="281"/>
      <c r="C24" s="281"/>
      <c r="D24" s="281" t="s">
        <v>1494</v>
      </c>
      <c r="E24" s="281"/>
      <c r="F24" s="282"/>
      <c r="G24" s="283"/>
      <c r="H24" s="283"/>
    </row>
    <row r="25" spans="1:8" s="255" customFormat="1" ht="30.6">
      <c r="A25" s="280"/>
      <c r="B25" s="281"/>
      <c r="C25" s="281"/>
      <c r="D25" s="281" t="s">
        <v>1495</v>
      </c>
      <c r="E25" s="281"/>
      <c r="F25" s="282"/>
      <c r="G25" s="283"/>
      <c r="H25" s="283"/>
    </row>
    <row r="26" spans="1:8" s="255" customFormat="1" ht="20.4">
      <c r="A26" s="280"/>
      <c r="B26" s="281"/>
      <c r="C26" s="281"/>
      <c r="D26" s="281" t="s">
        <v>1496</v>
      </c>
      <c r="E26" s="281"/>
      <c r="F26" s="282"/>
      <c r="G26" s="283"/>
      <c r="H26" s="283"/>
    </row>
    <row r="27" spans="1:8" s="255" customFormat="1" ht="30.6">
      <c r="A27" s="280"/>
      <c r="B27" s="281"/>
      <c r="C27" s="281"/>
      <c r="D27" s="281" t="s">
        <v>1497</v>
      </c>
      <c r="E27" s="281"/>
      <c r="F27" s="282"/>
      <c r="G27" s="283"/>
      <c r="H27" s="283"/>
    </row>
    <row r="28" spans="1:8" s="255" customFormat="1" ht="30.6">
      <c r="A28" s="280"/>
      <c r="B28" s="281"/>
      <c r="C28" s="281"/>
      <c r="D28" s="281" t="s">
        <v>1498</v>
      </c>
      <c r="E28" s="281"/>
      <c r="F28" s="282"/>
      <c r="G28" s="283"/>
      <c r="H28" s="283"/>
    </row>
    <row r="29" spans="1:8" s="255" customFormat="1" ht="13.5" customHeight="1">
      <c r="A29" s="280"/>
      <c r="B29" s="281"/>
      <c r="C29" s="281"/>
      <c r="D29" s="281" t="s">
        <v>1499</v>
      </c>
      <c r="E29" s="281"/>
      <c r="F29" s="282"/>
      <c r="G29" s="283"/>
      <c r="H29" s="283"/>
    </row>
    <row r="30" spans="1:8" s="255" customFormat="1" ht="24" customHeight="1">
      <c r="A30" s="290"/>
      <c r="B30" s="289"/>
      <c r="C30" s="289"/>
      <c r="D30" s="289" t="s">
        <v>1491</v>
      </c>
      <c r="E30" s="289"/>
      <c r="F30" s="291">
        <v>1</v>
      </c>
      <c r="G30" s="292"/>
      <c r="H30" s="292"/>
    </row>
    <row r="31" spans="1:8" s="255" customFormat="1" ht="20.4">
      <c r="A31" s="276">
        <v>7</v>
      </c>
      <c r="B31" s="277" t="s">
        <v>1482</v>
      </c>
      <c r="C31" s="277" t="s">
        <v>1500</v>
      </c>
      <c r="D31" s="277" t="s">
        <v>1501</v>
      </c>
      <c r="E31" s="277" t="s">
        <v>110</v>
      </c>
      <c r="F31" s="278">
        <v>1</v>
      </c>
      <c r="G31" s="279"/>
      <c r="H31" s="279"/>
    </row>
    <row r="32" spans="1:8" s="255" customFormat="1" ht="13.5" customHeight="1">
      <c r="A32" s="280"/>
      <c r="B32" s="281"/>
      <c r="C32" s="281"/>
      <c r="D32" s="281" t="s">
        <v>1502</v>
      </c>
      <c r="E32" s="281"/>
      <c r="F32" s="282"/>
      <c r="G32" s="283"/>
      <c r="H32" s="283"/>
    </row>
    <row r="33" spans="1:8" s="255" customFormat="1" ht="24" customHeight="1">
      <c r="A33" s="290"/>
      <c r="B33" s="289"/>
      <c r="C33" s="289"/>
      <c r="D33" s="289" t="s">
        <v>1491</v>
      </c>
      <c r="E33" s="289"/>
      <c r="F33" s="291">
        <v>1</v>
      </c>
      <c r="G33" s="292"/>
      <c r="H33" s="292"/>
    </row>
    <row r="34" spans="1:8" s="255" customFormat="1" ht="20.4">
      <c r="A34" s="276">
        <v>8</v>
      </c>
      <c r="B34" s="277" t="s">
        <v>1482</v>
      </c>
      <c r="C34" s="277" t="s">
        <v>1503</v>
      </c>
      <c r="D34" s="277" t="s">
        <v>1504</v>
      </c>
      <c r="E34" s="277" t="s">
        <v>110</v>
      </c>
      <c r="F34" s="278">
        <v>1</v>
      </c>
      <c r="G34" s="279"/>
      <c r="H34" s="279"/>
    </row>
    <row r="35" spans="1:8" s="255" customFormat="1" ht="20.4">
      <c r="A35" s="280"/>
      <c r="B35" s="281"/>
      <c r="C35" s="281"/>
      <c r="D35" s="281" t="s">
        <v>1505</v>
      </c>
      <c r="E35" s="281"/>
      <c r="F35" s="282"/>
      <c r="G35" s="283"/>
      <c r="H35" s="283"/>
    </row>
    <row r="36" spans="1:8" s="255" customFormat="1" ht="13.5" customHeight="1">
      <c r="A36" s="280"/>
      <c r="B36" s="281"/>
      <c r="C36" s="281"/>
      <c r="D36" s="281" t="s">
        <v>1506</v>
      </c>
      <c r="E36" s="281"/>
      <c r="F36" s="282"/>
      <c r="G36" s="283"/>
      <c r="H36" s="283"/>
    </row>
    <row r="37" spans="1:8" s="255" customFormat="1" ht="24" customHeight="1">
      <c r="A37" s="290"/>
      <c r="B37" s="289"/>
      <c r="C37" s="289"/>
      <c r="D37" s="289" t="s">
        <v>1491</v>
      </c>
      <c r="E37" s="289"/>
      <c r="F37" s="291">
        <v>1</v>
      </c>
      <c r="G37" s="292"/>
      <c r="H37" s="292"/>
    </row>
    <row r="38" spans="1:8" s="255" customFormat="1" ht="20.4">
      <c r="A38" s="276">
        <v>9</v>
      </c>
      <c r="B38" s="277" t="s">
        <v>1482</v>
      </c>
      <c r="C38" s="277" t="s">
        <v>1507</v>
      </c>
      <c r="D38" s="277" t="s">
        <v>1508</v>
      </c>
      <c r="E38" s="277" t="s">
        <v>110</v>
      </c>
      <c r="F38" s="278">
        <v>1</v>
      </c>
      <c r="G38" s="279"/>
      <c r="H38" s="279"/>
    </row>
    <row r="39" spans="1:8" s="255" customFormat="1" ht="30.6">
      <c r="A39" s="280"/>
      <c r="B39" s="281"/>
      <c r="C39" s="281"/>
      <c r="D39" s="281" t="s">
        <v>1509</v>
      </c>
      <c r="E39" s="281"/>
      <c r="F39" s="282"/>
      <c r="G39" s="283"/>
      <c r="H39" s="283"/>
    </row>
    <row r="40" spans="1:8" s="255" customFormat="1" ht="20.4">
      <c r="A40" s="280"/>
      <c r="B40" s="281"/>
      <c r="C40" s="281"/>
      <c r="D40" s="281" t="s">
        <v>1510</v>
      </c>
      <c r="E40" s="281"/>
      <c r="F40" s="282"/>
      <c r="G40" s="283"/>
      <c r="H40" s="283"/>
    </row>
    <row r="41" spans="1:8" s="255" customFormat="1" ht="30.6">
      <c r="A41" s="280"/>
      <c r="B41" s="281"/>
      <c r="C41" s="281"/>
      <c r="D41" s="281" t="s">
        <v>1511</v>
      </c>
      <c r="E41" s="281"/>
      <c r="F41" s="282"/>
      <c r="G41" s="283"/>
      <c r="H41" s="283"/>
    </row>
    <row r="42" spans="1:8" s="255" customFormat="1" ht="13.5" customHeight="1">
      <c r="A42" s="280"/>
      <c r="B42" s="281"/>
      <c r="C42" s="281"/>
      <c r="D42" s="281" t="s">
        <v>1512</v>
      </c>
      <c r="E42" s="281"/>
      <c r="F42" s="282"/>
      <c r="G42" s="283"/>
      <c r="H42" s="283"/>
    </row>
    <row r="43" spans="1:8" s="255" customFormat="1" ht="24" customHeight="1">
      <c r="A43" s="290"/>
      <c r="B43" s="289"/>
      <c r="C43" s="289"/>
      <c r="D43" s="289" t="s">
        <v>1491</v>
      </c>
      <c r="E43" s="289"/>
      <c r="F43" s="291">
        <v>1</v>
      </c>
      <c r="G43" s="292"/>
      <c r="H43" s="292"/>
    </row>
    <row r="44" spans="1:8" s="255" customFormat="1" ht="20.4">
      <c r="A44" s="276">
        <v>10</v>
      </c>
      <c r="B44" s="277" t="s">
        <v>1482</v>
      </c>
      <c r="C44" s="277" t="s">
        <v>1513</v>
      </c>
      <c r="D44" s="277" t="s">
        <v>1514</v>
      </c>
      <c r="E44" s="277" t="s">
        <v>110</v>
      </c>
      <c r="F44" s="278">
        <v>1</v>
      </c>
      <c r="G44" s="279"/>
      <c r="H44" s="279"/>
    </row>
    <row r="45" spans="1:8" s="255" customFormat="1" ht="20.4">
      <c r="A45" s="280"/>
      <c r="B45" s="281"/>
      <c r="C45" s="281"/>
      <c r="D45" s="281" t="s">
        <v>1515</v>
      </c>
      <c r="E45" s="281"/>
      <c r="F45" s="282"/>
      <c r="G45" s="283"/>
      <c r="H45" s="283"/>
    </row>
    <row r="46" spans="1:8" s="255" customFormat="1" ht="13.5" customHeight="1">
      <c r="A46" s="280"/>
      <c r="B46" s="281"/>
      <c r="C46" s="281"/>
      <c r="D46" s="281" t="s">
        <v>1516</v>
      </c>
      <c r="E46" s="281"/>
      <c r="F46" s="282"/>
      <c r="G46" s="283"/>
      <c r="H46" s="283"/>
    </row>
    <row r="47" spans="1:8" s="255" customFormat="1" ht="24" customHeight="1">
      <c r="A47" s="290"/>
      <c r="B47" s="289"/>
      <c r="C47" s="289"/>
      <c r="D47" s="289" t="s">
        <v>1491</v>
      </c>
      <c r="E47" s="289"/>
      <c r="F47" s="291">
        <v>1</v>
      </c>
      <c r="G47" s="292"/>
      <c r="H47" s="292"/>
    </row>
    <row r="48" spans="1:8" s="255" customFormat="1" ht="20.4">
      <c r="A48" s="276">
        <v>11</v>
      </c>
      <c r="B48" s="277" t="s">
        <v>1482</v>
      </c>
      <c r="C48" s="277" t="s">
        <v>1517</v>
      </c>
      <c r="D48" s="277" t="s">
        <v>1518</v>
      </c>
      <c r="E48" s="277" t="s">
        <v>110</v>
      </c>
      <c r="F48" s="278">
        <v>1</v>
      </c>
      <c r="G48" s="279"/>
      <c r="H48" s="279"/>
    </row>
    <row r="49" spans="1:8" s="255" customFormat="1" ht="20.4">
      <c r="A49" s="280"/>
      <c r="B49" s="281"/>
      <c r="C49" s="281"/>
      <c r="D49" s="281" t="s">
        <v>1519</v>
      </c>
      <c r="E49" s="281"/>
      <c r="F49" s="282"/>
      <c r="G49" s="283"/>
      <c r="H49" s="283"/>
    </row>
    <row r="50" spans="1:8" s="255" customFormat="1" ht="20.4">
      <c r="A50" s="280"/>
      <c r="B50" s="281"/>
      <c r="C50" s="281"/>
      <c r="D50" s="281" t="s">
        <v>1520</v>
      </c>
      <c r="E50" s="281"/>
      <c r="F50" s="282"/>
      <c r="G50" s="283"/>
      <c r="H50" s="283"/>
    </row>
    <row r="51" spans="1:8" s="255" customFormat="1" ht="13.5" customHeight="1">
      <c r="A51" s="280"/>
      <c r="B51" s="281"/>
      <c r="C51" s="281"/>
      <c r="D51" s="281" t="s">
        <v>1521</v>
      </c>
      <c r="E51" s="281"/>
      <c r="F51" s="282"/>
      <c r="G51" s="283"/>
      <c r="H51" s="283"/>
    </row>
    <row r="52" spans="1:8" s="255" customFormat="1" ht="28.5" customHeight="1">
      <c r="A52" s="290"/>
      <c r="B52" s="289"/>
      <c r="C52" s="289"/>
      <c r="D52" s="289" t="s">
        <v>1491</v>
      </c>
      <c r="E52" s="289"/>
      <c r="F52" s="291">
        <v>1</v>
      </c>
      <c r="G52" s="292"/>
      <c r="H52" s="292"/>
    </row>
    <row r="53" spans="1:8" s="255" customFormat="1" ht="24" customHeight="1">
      <c r="A53" s="272"/>
      <c r="B53" s="273"/>
      <c r="C53" s="273" t="s">
        <v>1522</v>
      </c>
      <c r="D53" s="273" t="s">
        <v>1523</v>
      </c>
      <c r="E53" s="273"/>
      <c r="F53" s="274"/>
      <c r="G53" s="275"/>
      <c r="H53" s="275"/>
    </row>
    <row r="54" spans="1:8" s="255" customFormat="1" ht="20.4">
      <c r="A54" s="276">
        <v>12</v>
      </c>
      <c r="B54" s="277" t="s">
        <v>1482</v>
      </c>
      <c r="C54" s="277" t="s">
        <v>1524</v>
      </c>
      <c r="D54" s="277" t="s">
        <v>1525</v>
      </c>
      <c r="E54" s="277" t="s">
        <v>110</v>
      </c>
      <c r="F54" s="278">
        <v>1</v>
      </c>
      <c r="G54" s="279"/>
      <c r="H54" s="279"/>
    </row>
    <row r="55" spans="1:8" s="255" customFormat="1" ht="30.6">
      <c r="A55" s="280"/>
      <c r="B55" s="281"/>
      <c r="C55" s="281"/>
      <c r="D55" s="281" t="s">
        <v>1526</v>
      </c>
      <c r="E55" s="281"/>
      <c r="F55" s="282"/>
      <c r="G55" s="283"/>
      <c r="H55" s="283"/>
    </row>
    <row r="56" spans="1:8" s="255" customFormat="1" ht="20.4">
      <c r="A56" s="280"/>
      <c r="B56" s="281"/>
      <c r="C56" s="281"/>
      <c r="D56" s="281" t="s">
        <v>1527</v>
      </c>
      <c r="E56" s="281"/>
      <c r="F56" s="282"/>
      <c r="G56" s="283"/>
      <c r="H56" s="283"/>
    </row>
    <row r="57" spans="1:8" s="255" customFormat="1" ht="20.4">
      <c r="A57" s="280"/>
      <c r="B57" s="281"/>
      <c r="C57" s="281"/>
      <c r="D57" s="281" t="s">
        <v>1528</v>
      </c>
      <c r="E57" s="281"/>
      <c r="F57" s="282"/>
      <c r="G57" s="283"/>
      <c r="H57" s="283"/>
    </row>
    <row r="58" spans="1:8" s="255" customFormat="1" ht="20.4">
      <c r="A58" s="280"/>
      <c r="B58" s="281"/>
      <c r="C58" s="281"/>
      <c r="D58" s="281" t="s">
        <v>1529</v>
      </c>
      <c r="E58" s="281"/>
      <c r="F58" s="282"/>
      <c r="G58" s="283"/>
      <c r="H58" s="283"/>
    </row>
    <row r="59" spans="1:8" s="255" customFormat="1" ht="30.6">
      <c r="A59" s="280"/>
      <c r="B59" s="281"/>
      <c r="C59" s="281"/>
      <c r="D59" s="281" t="s">
        <v>1530</v>
      </c>
      <c r="E59" s="281"/>
      <c r="F59" s="282"/>
      <c r="G59" s="283"/>
      <c r="H59" s="283"/>
    </row>
    <row r="60" spans="1:8" s="255" customFormat="1" ht="20.4">
      <c r="A60" s="280"/>
      <c r="B60" s="281"/>
      <c r="C60" s="281"/>
      <c r="D60" s="281" t="s">
        <v>1531</v>
      </c>
      <c r="E60" s="281"/>
      <c r="F60" s="282"/>
      <c r="G60" s="283"/>
      <c r="H60" s="283"/>
    </row>
    <row r="61" spans="1:8" s="255" customFormat="1" ht="20.4">
      <c r="A61" s="280"/>
      <c r="B61" s="281"/>
      <c r="C61" s="281"/>
      <c r="D61" s="281" t="s">
        <v>1532</v>
      </c>
      <c r="E61" s="281"/>
      <c r="F61" s="282"/>
      <c r="G61" s="283"/>
      <c r="H61" s="283"/>
    </row>
    <row r="62" spans="1:8" s="255" customFormat="1" ht="30.6">
      <c r="A62" s="280"/>
      <c r="B62" s="281"/>
      <c r="C62" s="281"/>
      <c r="D62" s="281" t="s">
        <v>1533</v>
      </c>
      <c r="E62" s="281"/>
      <c r="F62" s="282"/>
      <c r="G62" s="283"/>
      <c r="H62" s="283"/>
    </row>
    <row r="63" spans="1:8" s="255" customFormat="1" ht="20.4">
      <c r="A63" s="280"/>
      <c r="B63" s="281"/>
      <c r="C63" s="281"/>
      <c r="D63" s="281" t="s">
        <v>1534</v>
      </c>
      <c r="E63" s="281"/>
      <c r="F63" s="282"/>
      <c r="G63" s="283"/>
      <c r="H63" s="283"/>
    </row>
    <row r="64" spans="1:8" s="255" customFormat="1" ht="13.5" customHeight="1">
      <c r="A64" s="280"/>
      <c r="B64" s="281"/>
      <c r="C64" s="281"/>
      <c r="D64" s="281" t="s">
        <v>1535</v>
      </c>
      <c r="E64" s="281"/>
      <c r="F64" s="282"/>
      <c r="G64" s="283"/>
      <c r="H64" s="283"/>
    </row>
    <row r="65" spans="1:8" s="255" customFormat="1" ht="28.5" customHeight="1">
      <c r="A65" s="290"/>
      <c r="B65" s="289"/>
      <c r="C65" s="289"/>
      <c r="D65" s="289" t="s">
        <v>1491</v>
      </c>
      <c r="E65" s="289"/>
      <c r="F65" s="291">
        <v>1</v>
      </c>
      <c r="G65" s="292"/>
      <c r="H65" s="292"/>
    </row>
    <row r="66" spans="1:8" s="255" customFormat="1" ht="24" customHeight="1">
      <c r="A66" s="272"/>
      <c r="B66" s="273"/>
      <c r="C66" s="273" t="s">
        <v>1536</v>
      </c>
      <c r="D66" s="273" t="s">
        <v>1537</v>
      </c>
      <c r="E66" s="273"/>
      <c r="F66" s="274"/>
      <c r="G66" s="275"/>
      <c r="H66" s="275"/>
    </row>
    <row r="67" spans="1:8" s="255" customFormat="1" ht="20.4">
      <c r="A67" s="276">
        <v>13</v>
      </c>
      <c r="B67" s="277" t="s">
        <v>1482</v>
      </c>
      <c r="C67" s="277" t="s">
        <v>1538</v>
      </c>
      <c r="D67" s="277" t="s">
        <v>1539</v>
      </c>
      <c r="E67" s="277" t="s">
        <v>110</v>
      </c>
      <c r="F67" s="278">
        <v>1</v>
      </c>
      <c r="G67" s="279"/>
      <c r="H67" s="279"/>
    </row>
    <row r="68" spans="1:8" s="255" customFormat="1" ht="30.6">
      <c r="A68" s="280"/>
      <c r="B68" s="281"/>
      <c r="C68" s="281"/>
      <c r="D68" s="281" t="s">
        <v>1540</v>
      </c>
      <c r="E68" s="281"/>
      <c r="F68" s="282"/>
      <c r="G68" s="283"/>
      <c r="H68" s="283"/>
    </row>
    <row r="69" spans="1:8" s="255" customFormat="1" ht="20.4">
      <c r="A69" s="280"/>
      <c r="B69" s="281"/>
      <c r="C69" s="281"/>
      <c r="D69" s="281" t="s">
        <v>1541</v>
      </c>
      <c r="E69" s="281"/>
      <c r="F69" s="282"/>
      <c r="G69" s="283"/>
      <c r="H69" s="283"/>
    </row>
    <row r="70" spans="1:8" s="255" customFormat="1" ht="13.5" customHeight="1">
      <c r="A70" s="280"/>
      <c r="B70" s="281"/>
      <c r="C70" s="281"/>
      <c r="D70" s="281" t="s">
        <v>1542</v>
      </c>
      <c r="E70" s="281"/>
      <c r="F70" s="282"/>
      <c r="G70" s="283"/>
      <c r="H70" s="283"/>
    </row>
    <row r="71" spans="1:8" s="255" customFormat="1" ht="24" customHeight="1">
      <c r="A71" s="290"/>
      <c r="B71" s="289"/>
      <c r="C71" s="289"/>
      <c r="D71" s="289" t="s">
        <v>1491</v>
      </c>
      <c r="E71" s="289"/>
      <c r="F71" s="291">
        <v>1</v>
      </c>
      <c r="G71" s="292"/>
      <c r="H71" s="292"/>
    </row>
    <row r="72" spans="1:8" s="255" customFormat="1" ht="20.4">
      <c r="A72" s="276">
        <v>14</v>
      </c>
      <c r="B72" s="277" t="s">
        <v>1482</v>
      </c>
      <c r="C72" s="277" t="s">
        <v>1543</v>
      </c>
      <c r="D72" s="277" t="s">
        <v>1544</v>
      </c>
      <c r="E72" s="277" t="s">
        <v>110</v>
      </c>
      <c r="F72" s="278">
        <v>1</v>
      </c>
      <c r="G72" s="279"/>
      <c r="H72" s="279"/>
    </row>
    <row r="73" spans="1:8" s="255" customFormat="1" ht="13.5" customHeight="1">
      <c r="A73" s="280"/>
      <c r="B73" s="281"/>
      <c r="C73" s="281"/>
      <c r="D73" s="281" t="s">
        <v>1545</v>
      </c>
      <c r="E73" s="281"/>
      <c r="F73" s="282"/>
      <c r="G73" s="283"/>
      <c r="H73" s="283"/>
    </row>
    <row r="74" spans="1:8" s="255" customFormat="1" ht="24" customHeight="1">
      <c r="A74" s="290"/>
      <c r="B74" s="289"/>
      <c r="C74" s="289"/>
      <c r="D74" s="289" t="s">
        <v>1491</v>
      </c>
      <c r="E74" s="289"/>
      <c r="F74" s="291">
        <v>1</v>
      </c>
      <c r="G74" s="292"/>
      <c r="H74" s="292"/>
    </row>
    <row r="75" spans="1:8" s="255" customFormat="1" ht="20.4">
      <c r="A75" s="276">
        <v>15</v>
      </c>
      <c r="B75" s="277" t="s">
        <v>1482</v>
      </c>
      <c r="C75" s="277" t="s">
        <v>1546</v>
      </c>
      <c r="D75" s="277" t="s">
        <v>1547</v>
      </c>
      <c r="E75" s="277" t="s">
        <v>110</v>
      </c>
      <c r="F75" s="278">
        <v>1</v>
      </c>
      <c r="G75" s="279"/>
      <c r="H75" s="279"/>
    </row>
    <row r="76" spans="1:8" s="255" customFormat="1" ht="13.5" customHeight="1">
      <c r="A76" s="280"/>
      <c r="B76" s="281"/>
      <c r="C76" s="281"/>
      <c r="D76" s="281" t="s">
        <v>1548</v>
      </c>
      <c r="E76" s="281"/>
      <c r="F76" s="282"/>
      <c r="G76" s="283"/>
      <c r="H76" s="283"/>
    </row>
    <row r="77" spans="1:8" s="255" customFormat="1" ht="24" customHeight="1">
      <c r="A77" s="290"/>
      <c r="B77" s="289"/>
      <c r="C77" s="289"/>
      <c r="D77" s="289" t="s">
        <v>1491</v>
      </c>
      <c r="E77" s="289"/>
      <c r="F77" s="291">
        <v>1</v>
      </c>
      <c r="G77" s="292"/>
      <c r="H77" s="292"/>
    </row>
    <row r="78" spans="1:8" s="255" customFormat="1" ht="20.4">
      <c r="A78" s="276">
        <v>16</v>
      </c>
      <c r="B78" s="277" t="s">
        <v>1482</v>
      </c>
      <c r="C78" s="277" t="s">
        <v>1549</v>
      </c>
      <c r="D78" s="277" t="s">
        <v>1550</v>
      </c>
      <c r="E78" s="277" t="s">
        <v>110</v>
      </c>
      <c r="F78" s="278">
        <v>1</v>
      </c>
      <c r="G78" s="279"/>
      <c r="H78" s="279"/>
    </row>
    <row r="79" spans="1:8" s="255" customFormat="1" ht="13.5" customHeight="1">
      <c r="A79" s="280"/>
      <c r="B79" s="281"/>
      <c r="C79" s="281"/>
      <c r="D79" s="281" t="s">
        <v>1551</v>
      </c>
      <c r="E79" s="281"/>
      <c r="F79" s="282"/>
      <c r="G79" s="283"/>
      <c r="H79" s="283"/>
    </row>
    <row r="80" spans="1:8" s="255" customFormat="1" ht="28.5" customHeight="1">
      <c r="A80" s="290"/>
      <c r="B80" s="289"/>
      <c r="C80" s="289"/>
      <c r="D80" s="289" t="s">
        <v>1491</v>
      </c>
      <c r="E80" s="289"/>
      <c r="F80" s="291">
        <v>1</v>
      </c>
      <c r="G80" s="292"/>
      <c r="H80" s="292"/>
    </row>
    <row r="81" spans="1:8" s="255" customFormat="1" ht="24" customHeight="1">
      <c r="A81" s="272"/>
      <c r="B81" s="273"/>
      <c r="C81" s="273" t="s">
        <v>1552</v>
      </c>
      <c r="D81" s="273" t="s">
        <v>1553</v>
      </c>
      <c r="E81" s="273"/>
      <c r="F81" s="274"/>
      <c r="G81" s="275"/>
      <c r="H81" s="275"/>
    </row>
    <row r="82" spans="1:8" s="255" customFormat="1" ht="20.4">
      <c r="A82" s="276">
        <v>17</v>
      </c>
      <c r="B82" s="277" t="s">
        <v>1482</v>
      </c>
      <c r="C82" s="277" t="s">
        <v>1554</v>
      </c>
      <c r="D82" s="277" t="s">
        <v>1555</v>
      </c>
      <c r="E82" s="277" t="s">
        <v>110</v>
      </c>
      <c r="F82" s="278">
        <v>1</v>
      </c>
      <c r="G82" s="279"/>
      <c r="H82" s="279"/>
    </row>
    <row r="83" spans="1:8" s="255" customFormat="1" ht="13.5" customHeight="1">
      <c r="A83" s="280"/>
      <c r="B83" s="281"/>
      <c r="C83" s="281"/>
      <c r="D83" s="281" t="s">
        <v>1556</v>
      </c>
      <c r="E83" s="281"/>
      <c r="F83" s="282"/>
      <c r="G83" s="283"/>
      <c r="H83" s="283"/>
    </row>
    <row r="84" spans="1:8" s="255" customFormat="1" ht="24" customHeight="1">
      <c r="A84" s="290"/>
      <c r="B84" s="289"/>
      <c r="C84" s="289"/>
      <c r="D84" s="289" t="s">
        <v>1491</v>
      </c>
      <c r="E84" s="289"/>
      <c r="F84" s="291">
        <v>1</v>
      </c>
      <c r="G84" s="292"/>
      <c r="H84" s="292"/>
    </row>
    <row r="85" spans="1:8" s="255" customFormat="1" ht="20.4">
      <c r="A85" s="276">
        <v>18</v>
      </c>
      <c r="B85" s="277" t="s">
        <v>1482</v>
      </c>
      <c r="C85" s="277" t="s">
        <v>1557</v>
      </c>
      <c r="D85" s="277" t="s">
        <v>1558</v>
      </c>
      <c r="E85" s="277" t="s">
        <v>110</v>
      </c>
      <c r="F85" s="278">
        <v>1</v>
      </c>
      <c r="G85" s="279"/>
      <c r="H85" s="279"/>
    </row>
    <row r="86" spans="1:8" s="255" customFormat="1" ht="30.6">
      <c r="A86" s="280"/>
      <c r="B86" s="281"/>
      <c r="C86" s="281"/>
      <c r="D86" s="281" t="s">
        <v>1559</v>
      </c>
      <c r="E86" s="281"/>
      <c r="F86" s="282"/>
      <c r="G86" s="283"/>
      <c r="H86" s="283"/>
    </row>
    <row r="87" spans="1:8" s="255" customFormat="1" ht="13.5" customHeight="1">
      <c r="A87" s="280"/>
      <c r="B87" s="281"/>
      <c r="C87" s="281"/>
      <c r="D87" s="281" t="s">
        <v>1560</v>
      </c>
      <c r="E87" s="281"/>
      <c r="F87" s="282"/>
      <c r="G87" s="283"/>
      <c r="H87" s="283"/>
    </row>
    <row r="88" spans="1:8" s="255" customFormat="1" ht="28.5" customHeight="1">
      <c r="A88" s="290"/>
      <c r="B88" s="289"/>
      <c r="C88" s="289"/>
      <c r="D88" s="289" t="s">
        <v>1491</v>
      </c>
      <c r="E88" s="289"/>
      <c r="F88" s="291">
        <v>1</v>
      </c>
      <c r="G88" s="292"/>
      <c r="H88" s="292"/>
    </row>
    <row r="89" spans="1:8" s="255" customFormat="1" ht="24" customHeight="1">
      <c r="A89" s="272"/>
      <c r="B89" s="273"/>
      <c r="C89" s="273" t="s">
        <v>1561</v>
      </c>
      <c r="D89" s="273" t="s">
        <v>1562</v>
      </c>
      <c r="E89" s="273"/>
      <c r="F89" s="274"/>
      <c r="G89" s="275"/>
      <c r="H89" s="275"/>
    </row>
    <row r="90" spans="1:8" s="255" customFormat="1" ht="20.4">
      <c r="A90" s="276">
        <v>19</v>
      </c>
      <c r="B90" s="277" t="s">
        <v>1482</v>
      </c>
      <c r="C90" s="277" t="s">
        <v>1563</v>
      </c>
      <c r="D90" s="277" t="s">
        <v>1564</v>
      </c>
      <c r="E90" s="277" t="s">
        <v>110</v>
      </c>
      <c r="F90" s="278">
        <v>1</v>
      </c>
      <c r="G90" s="279"/>
      <c r="H90" s="279"/>
    </row>
    <row r="91" spans="1:8" s="255" customFormat="1" ht="20.4">
      <c r="A91" s="280"/>
      <c r="B91" s="281"/>
      <c r="C91" s="281"/>
      <c r="D91" s="281" t="s">
        <v>1565</v>
      </c>
      <c r="E91" s="281"/>
      <c r="F91" s="282"/>
      <c r="G91" s="283"/>
      <c r="H91" s="283"/>
    </row>
    <row r="92" spans="1:8" s="255" customFormat="1" ht="20.4">
      <c r="A92" s="280"/>
      <c r="B92" s="281"/>
      <c r="C92" s="281"/>
      <c r="D92" s="281" t="s">
        <v>1566</v>
      </c>
      <c r="E92" s="281"/>
      <c r="F92" s="282"/>
      <c r="G92" s="283"/>
      <c r="H92" s="283"/>
    </row>
    <row r="93" spans="1:8" s="255" customFormat="1" ht="20.4">
      <c r="A93" s="280"/>
      <c r="B93" s="281"/>
      <c r="C93" s="281"/>
      <c r="D93" s="281" t="s">
        <v>1567</v>
      </c>
      <c r="E93" s="281"/>
      <c r="F93" s="282"/>
      <c r="G93" s="283"/>
      <c r="H93" s="283"/>
    </row>
    <row r="94" spans="1:8" s="255" customFormat="1" ht="13.5" customHeight="1">
      <c r="A94" s="280"/>
      <c r="B94" s="281"/>
      <c r="C94" s="281"/>
      <c r="D94" s="281" t="s">
        <v>1568</v>
      </c>
      <c r="E94" s="281"/>
      <c r="F94" s="282"/>
      <c r="G94" s="283"/>
      <c r="H94" s="283"/>
    </row>
    <row r="95" spans="1:8" s="255" customFormat="1" ht="24" customHeight="1">
      <c r="A95" s="290"/>
      <c r="B95" s="289"/>
      <c r="C95" s="289"/>
      <c r="D95" s="289" t="s">
        <v>1491</v>
      </c>
      <c r="E95" s="289"/>
      <c r="F95" s="291">
        <v>1</v>
      </c>
      <c r="G95" s="292"/>
      <c r="H95" s="292"/>
    </row>
    <row r="96" spans="1:8" s="255" customFormat="1" ht="20.4">
      <c r="A96" s="276">
        <v>20</v>
      </c>
      <c r="B96" s="277" t="s">
        <v>1482</v>
      </c>
      <c r="C96" s="277" t="s">
        <v>1569</v>
      </c>
      <c r="D96" s="277" t="s">
        <v>1562</v>
      </c>
      <c r="E96" s="277" t="s">
        <v>110</v>
      </c>
      <c r="F96" s="278">
        <v>1</v>
      </c>
      <c r="G96" s="279"/>
      <c r="H96" s="279"/>
    </row>
    <row r="97" spans="1:8" s="255" customFormat="1" ht="20.4">
      <c r="A97" s="280"/>
      <c r="B97" s="281"/>
      <c r="C97" s="281"/>
      <c r="D97" s="281" t="s">
        <v>1570</v>
      </c>
      <c r="E97" s="281"/>
      <c r="F97" s="282"/>
      <c r="G97" s="283"/>
      <c r="H97" s="283"/>
    </row>
    <row r="98" spans="1:8" s="255" customFormat="1" ht="20.4">
      <c r="A98" s="280"/>
      <c r="B98" s="281"/>
      <c r="C98" s="281"/>
      <c r="D98" s="281" t="s">
        <v>1571</v>
      </c>
      <c r="E98" s="281"/>
      <c r="F98" s="282"/>
      <c r="G98" s="283"/>
      <c r="H98" s="283"/>
    </row>
    <row r="99" spans="1:8" s="255" customFormat="1" ht="20.4">
      <c r="A99" s="280"/>
      <c r="B99" s="281"/>
      <c r="C99" s="281"/>
      <c r="D99" s="281" t="s">
        <v>1572</v>
      </c>
      <c r="E99" s="281"/>
      <c r="F99" s="282"/>
      <c r="G99" s="283"/>
      <c r="H99" s="283"/>
    </row>
    <row r="100" spans="1:8" s="255" customFormat="1" ht="20.4">
      <c r="A100" s="280"/>
      <c r="B100" s="281"/>
      <c r="C100" s="281"/>
      <c r="D100" s="281" t="s">
        <v>1573</v>
      </c>
      <c r="E100" s="281"/>
      <c r="F100" s="282"/>
      <c r="G100" s="283"/>
      <c r="H100" s="283"/>
    </row>
    <row r="101" spans="1:8" s="255" customFormat="1" ht="30.6">
      <c r="A101" s="280"/>
      <c r="B101" s="281"/>
      <c r="C101" s="281"/>
      <c r="D101" s="281" t="s">
        <v>1574</v>
      </c>
      <c r="E101" s="281"/>
      <c r="F101" s="282"/>
      <c r="G101" s="283"/>
      <c r="H101" s="283"/>
    </row>
    <row r="102" spans="1:8" s="255" customFormat="1" ht="13.5" customHeight="1">
      <c r="A102" s="280"/>
      <c r="B102" s="281"/>
      <c r="C102" s="281"/>
      <c r="D102" s="281" t="s">
        <v>1575</v>
      </c>
      <c r="E102" s="281"/>
      <c r="F102" s="282"/>
      <c r="G102" s="283"/>
      <c r="H102" s="283"/>
    </row>
    <row r="103" spans="1:8" s="255" customFormat="1" ht="24" customHeight="1">
      <c r="A103" s="290"/>
      <c r="B103" s="289"/>
      <c r="C103" s="289"/>
      <c r="D103" s="289" t="s">
        <v>1491</v>
      </c>
      <c r="E103" s="289"/>
      <c r="F103" s="291">
        <v>1</v>
      </c>
      <c r="G103" s="292"/>
      <c r="H103" s="292"/>
    </row>
    <row r="104" spans="1:8" s="255" customFormat="1" ht="20.4">
      <c r="A104" s="276">
        <v>21</v>
      </c>
      <c r="B104" s="277" t="s">
        <v>1482</v>
      </c>
      <c r="C104" s="277" t="s">
        <v>1576</v>
      </c>
      <c r="D104" s="277" t="s">
        <v>1577</v>
      </c>
      <c r="E104" s="277" t="s">
        <v>110</v>
      </c>
      <c r="F104" s="278">
        <v>1</v>
      </c>
      <c r="G104" s="279"/>
      <c r="H104" s="279"/>
    </row>
    <row r="105" spans="1:8" s="255" customFormat="1" ht="20.4">
      <c r="A105" s="280"/>
      <c r="B105" s="281"/>
      <c r="C105" s="281"/>
      <c r="D105" s="281" t="s">
        <v>1578</v>
      </c>
      <c r="E105" s="281"/>
      <c r="F105" s="282"/>
      <c r="G105" s="283"/>
      <c r="H105" s="283"/>
    </row>
    <row r="106" spans="1:8" s="255" customFormat="1" ht="20.4">
      <c r="A106" s="280"/>
      <c r="B106" s="281"/>
      <c r="C106" s="281"/>
      <c r="D106" s="281" t="s">
        <v>1579</v>
      </c>
      <c r="E106" s="281"/>
      <c r="F106" s="282"/>
      <c r="G106" s="283"/>
      <c r="H106" s="283"/>
    </row>
    <row r="107" spans="1:8" s="255" customFormat="1" ht="20.4">
      <c r="A107" s="280"/>
      <c r="B107" s="281"/>
      <c r="C107" s="281"/>
      <c r="D107" s="281" t="s">
        <v>1580</v>
      </c>
      <c r="E107" s="281"/>
      <c r="F107" s="282"/>
      <c r="G107" s="283"/>
      <c r="H107" s="283"/>
    </row>
    <row r="108" spans="1:8" s="255" customFormat="1" ht="13.5" customHeight="1">
      <c r="A108" s="280"/>
      <c r="B108" s="281"/>
      <c r="C108" s="281"/>
      <c r="D108" s="281" t="s">
        <v>1581</v>
      </c>
      <c r="E108" s="281"/>
      <c r="F108" s="282"/>
      <c r="G108" s="283"/>
      <c r="H108" s="283"/>
    </row>
    <row r="109" spans="1:8" s="255" customFormat="1" ht="30.75" customHeight="1">
      <c r="A109" s="290"/>
      <c r="B109" s="289"/>
      <c r="C109" s="289"/>
      <c r="D109" s="289" t="s">
        <v>1491</v>
      </c>
      <c r="E109" s="289"/>
      <c r="F109" s="291">
        <v>1</v>
      </c>
      <c r="G109" s="292"/>
      <c r="H109" s="292"/>
    </row>
    <row r="110" spans="1:8" ht="12" customHeight="1">
      <c r="A110" s="293"/>
      <c r="B110" s="294"/>
      <c r="C110" s="294"/>
      <c r="D110" s="294" t="s">
        <v>1582</v>
      </c>
      <c r="E110" s="294"/>
      <c r="F110" s="295"/>
      <c r="G110" s="296"/>
      <c r="H110" s="296"/>
    </row>
  </sheetData>
  <mergeCells count="1">
    <mergeCell ref="A1:H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2017-02-14T11:54:22Z</dcterms:modified>
  <cp:category/>
  <cp:version/>
  <cp:contentType/>
  <cp:contentStatus/>
</cp:coreProperties>
</file>